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https://kimleyhorn-my.sharepoint.com/personal/macy_falcon_kimley-horn_com/Documents/OPP/20_Grant Support/Federal Grant Support/Narratives/SMART St. Augustine RAISE 2022/"/>
    </mc:Choice>
  </mc:AlternateContent>
  <xr:revisionPtr revIDLastSave="8" documentId="8_{39BEE406-0F62-4B34-8305-607BB8F5B943}" xr6:coauthVersionLast="46" xr6:coauthVersionMax="46" xr10:uidLastSave="{46B26298-5758-4DB3-82C0-5A25516F009D}"/>
  <bookViews>
    <workbookView xWindow="28680" yWindow="-375" windowWidth="29040" windowHeight="15840" firstSheet="1" activeTab="4" xr2:uid="{97DE45A6-3AB0-4D0C-B2C8-1AD513902029}"/>
  </bookViews>
  <sheets>
    <sheet name="A - Inputs" sheetId="24" r:id="rId1"/>
    <sheet name="B - Output Table" sheetId="39" r:id="rId2"/>
    <sheet name="C - Summary" sheetId="35" r:id="rId3"/>
    <sheet name="D - Cost and Mtce" sheetId="25" r:id="rId4"/>
    <sheet name="E - Safety" sheetId="32" r:id="rId5"/>
    <sheet name="F - Travel Time" sheetId="47" r:id="rId6"/>
    <sheet name="G - Environmental" sheetId="45" r:id="rId7"/>
  </sheets>
  <definedNames>
    <definedName name="__IntlFixup" hidden="1">TRUE</definedName>
    <definedName name="_xlnm._FilterDatabase" localSheetId="3" hidden="1">'D - Cost and Mtce'!$A$5:$AA$52</definedName>
    <definedName name="_xlnm._FilterDatabase" localSheetId="6" hidden="1">'G - Environmental'!$AB$5:$AD$5</definedName>
    <definedName name="AnalysisEnd">'A - Inputs'!$C$13</definedName>
    <definedName name="AnalysisPd">'A - Inputs'!$C$11</definedName>
    <definedName name="BaseYear">'A - Inputs'!$C$6</definedName>
    <definedName name="BenefitStart">'A - Inputs'!$C$10</definedName>
    <definedName name="disc1">'A - Inputs'!$C$15</definedName>
    <definedName name="disc2">'A - Inputs'!$C$16</definedName>
    <definedName name="_xlnm.Print_Area" localSheetId="1">'B - Output Table'!$A$1:$E$9</definedName>
    <definedName name="_xlnm.Print_Area" localSheetId="3">'D - Cost and Mtce'!$B$1:$L$48,'D - Cost and Mtce'!$O$4:$Z$42</definedName>
    <definedName name="_xlnm.Print_Area" localSheetId="4">'E - Safety'!$B$2:$N$53,'E - Safety'!$D$57:$P$94</definedName>
    <definedName name="_xlnm.Print_Area" localSheetId="5">'F - Travel Time'!$B$2:$I$54,'F - Travel Time'!$F$57:$P$94</definedName>
    <definedName name="_xlnm.Print_Area" localSheetId="6">'G - Environmental'!$B$4:$AM$43</definedName>
    <definedName name="_xlnm.Print_Titles" localSheetId="4">'E - Safety'!$D:$E</definedName>
    <definedName name="ProjStartYr">'A - Inputs'!$C$7</definedName>
    <definedName name="ProjUseStart">'A - Inputs'!$C$10</definedName>
    <definedName name="YearDays">'A - Inputs'!$C$14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40" i="25" l="1"/>
  <c r="W39" i="25"/>
  <c r="W38" i="25"/>
  <c r="W37" i="25"/>
  <c r="W36" i="25"/>
  <c r="W35" i="25"/>
  <c r="W34" i="25"/>
  <c r="W33" i="25"/>
  <c r="W32" i="25"/>
  <c r="W31" i="25"/>
  <c r="W30" i="25"/>
  <c r="W29" i="25"/>
  <c r="W28" i="25"/>
  <c r="W27" i="25"/>
  <c r="W26" i="25"/>
  <c r="W25" i="25"/>
  <c r="W24" i="25"/>
  <c r="W23" i="25"/>
  <c r="W22" i="25"/>
  <c r="W21" i="25"/>
  <c r="W20" i="25"/>
  <c r="W19" i="25"/>
  <c r="W18" i="25"/>
  <c r="W16" i="25"/>
  <c r="W15" i="25"/>
  <c r="W14" i="25"/>
  <c r="W13" i="25"/>
  <c r="W12" i="25"/>
  <c r="W11" i="25"/>
  <c r="W10" i="25"/>
  <c r="W9" i="25"/>
  <c r="W8" i="25"/>
  <c r="W7" i="25"/>
  <c r="W6" i="25"/>
  <c r="Q11" i="25"/>
  <c r="Q10" i="25"/>
  <c r="Q9" i="25"/>
  <c r="Q8" i="25"/>
  <c r="Q7" i="25"/>
  <c r="Q6" i="25"/>
  <c r="E28" i="25"/>
  <c r="E31" i="25" s="1"/>
  <c r="E36" i="25" s="1"/>
  <c r="D28" i="25"/>
  <c r="E45" i="25"/>
  <c r="D45" i="25"/>
  <c r="I40" i="25"/>
  <c r="J33" i="25"/>
  <c r="C20" i="47" l="1"/>
  <c r="E46" i="25" l="1"/>
  <c r="G45" i="25"/>
  <c r="H45" i="25"/>
  <c r="I45" i="25"/>
  <c r="J45" i="25"/>
  <c r="K45" i="25"/>
  <c r="D35" i="25"/>
  <c r="K35" i="25"/>
  <c r="M33" i="25"/>
  <c r="M32" i="25"/>
  <c r="C6" i="47" l="1"/>
  <c r="C5" i="47"/>
  <c r="J58" i="47"/>
  <c r="L58" i="47" s="1"/>
  <c r="K58" i="47"/>
  <c r="M58" i="47" s="1"/>
  <c r="O58" i="47"/>
  <c r="P58" i="47"/>
  <c r="F59" i="47"/>
  <c r="G60" i="47"/>
  <c r="G61" i="47" s="1"/>
  <c r="G62" i="47" s="1"/>
  <c r="G63" i="47" s="1"/>
  <c r="G64" i="47" s="1"/>
  <c r="G65" i="47" s="1"/>
  <c r="G66" i="47" s="1"/>
  <c r="G67" i="47" s="1"/>
  <c r="G68" i="47" s="1"/>
  <c r="G69" i="47" s="1"/>
  <c r="G70" i="47" s="1"/>
  <c r="G71" i="47" s="1"/>
  <c r="G72" i="47" s="1"/>
  <c r="G73" i="47" s="1"/>
  <c r="G74" i="47" s="1"/>
  <c r="G75" i="47" s="1"/>
  <c r="G76" i="47" s="1"/>
  <c r="G77" i="47" s="1"/>
  <c r="G78" i="47" s="1"/>
  <c r="G79" i="47" s="1"/>
  <c r="G80" i="47" s="1"/>
  <c r="G81" i="47" s="1"/>
  <c r="G82" i="47" s="1"/>
  <c r="G83" i="47" s="1"/>
  <c r="G84" i="47" s="1"/>
  <c r="G85" i="47" s="1"/>
  <c r="G86" i="47" s="1"/>
  <c r="G87" i="47" s="1"/>
  <c r="G88" i="47" s="1"/>
  <c r="G89" i="47" s="1"/>
  <c r="G90" i="47" s="1"/>
  <c r="G91" i="47" s="1"/>
  <c r="G92" i="47" s="1"/>
  <c r="G93" i="47" s="1"/>
  <c r="D34" i="47"/>
  <c r="C16" i="47" s="1"/>
  <c r="C32" i="47"/>
  <c r="C31" i="47"/>
  <c r="C14" i="47"/>
  <c r="C13" i="47"/>
  <c r="B6" i="45"/>
  <c r="AI39" i="45"/>
  <c r="AD29" i="45"/>
  <c r="AD28" i="45"/>
  <c r="AD27" i="45"/>
  <c r="AD26" i="45"/>
  <c r="AE11" i="45"/>
  <c r="AD11" i="45"/>
  <c r="AM7" i="45"/>
  <c r="AM8" i="45" s="1"/>
  <c r="AM9" i="45" s="1"/>
  <c r="AM10" i="45" s="1"/>
  <c r="AM11" i="45" s="1"/>
  <c r="AM12" i="45" s="1"/>
  <c r="AM13" i="45" s="1"/>
  <c r="AM14" i="45" s="1"/>
  <c r="AM15" i="45" s="1"/>
  <c r="AM16" i="45" s="1"/>
  <c r="AM17" i="45" s="1"/>
  <c r="AM18" i="45" s="1"/>
  <c r="AM19" i="45" s="1"/>
  <c r="AM20" i="45" s="1"/>
  <c r="AM21" i="45" s="1"/>
  <c r="AM22" i="45" s="1"/>
  <c r="AM23" i="45" s="1"/>
  <c r="AM24" i="45" s="1"/>
  <c r="AM25" i="45" s="1"/>
  <c r="AM26" i="45" s="1"/>
  <c r="AM27" i="45" s="1"/>
  <c r="AM28" i="45" s="1"/>
  <c r="AM29" i="45" s="1"/>
  <c r="AM30" i="45" s="1"/>
  <c r="AM31" i="45" s="1"/>
  <c r="AM32" i="45" s="1"/>
  <c r="AM33" i="45" s="1"/>
  <c r="AM34" i="45" s="1"/>
  <c r="AM35" i="45" s="1"/>
  <c r="AM36" i="45" s="1"/>
  <c r="C7" i="45"/>
  <c r="Y5" i="45"/>
  <c r="X5" i="45"/>
  <c r="O5" i="45"/>
  <c r="O2" i="45" s="1"/>
  <c r="N5" i="45"/>
  <c r="M5" i="45"/>
  <c r="H5" i="45" s="1"/>
  <c r="H2" i="45" s="1"/>
  <c r="L5" i="45"/>
  <c r="L2" i="45" s="1"/>
  <c r="K5" i="45"/>
  <c r="K2" i="45" s="1"/>
  <c r="I5" i="45"/>
  <c r="S5" i="45" s="1"/>
  <c r="E2" i="45"/>
  <c r="N2" i="45" l="1"/>
  <c r="C15" i="47"/>
  <c r="C17" i="47" s="1"/>
  <c r="C7" i="47"/>
  <c r="C34" i="47"/>
  <c r="C8" i="47" s="1"/>
  <c r="F60" i="47"/>
  <c r="G5" i="45"/>
  <c r="G2" i="45" s="1"/>
  <c r="F5" i="45"/>
  <c r="J5" i="45"/>
  <c r="T5" i="45" s="1"/>
  <c r="T6" i="45" s="1"/>
  <c r="I2" i="45"/>
  <c r="S6" i="45"/>
  <c r="R5" i="45"/>
  <c r="B7" i="45"/>
  <c r="M2" i="45"/>
  <c r="C8" i="45"/>
  <c r="Q5" i="45" l="1"/>
  <c r="C9" i="47"/>
  <c r="C19" i="47" s="1"/>
  <c r="F61" i="47"/>
  <c r="J2" i="45"/>
  <c r="P5" i="45"/>
  <c r="F2" i="45"/>
  <c r="T7" i="45"/>
  <c r="B8" i="45"/>
  <c r="S7" i="45"/>
  <c r="C9" i="45"/>
  <c r="F62" i="47" l="1"/>
  <c r="C22" i="47"/>
  <c r="C21" i="47"/>
  <c r="B9" i="45"/>
  <c r="S8" i="45"/>
  <c r="T8" i="45"/>
  <c r="C10" i="45"/>
  <c r="F63" i="47" l="1"/>
  <c r="F64" i="47" s="1"/>
  <c r="C11" i="45"/>
  <c r="B10" i="45"/>
  <c r="T9" i="45"/>
  <c r="S9" i="45"/>
  <c r="F65" i="47" l="1"/>
  <c r="S10" i="45"/>
  <c r="T10" i="45"/>
  <c r="B11" i="45"/>
  <c r="C12" i="45"/>
  <c r="F66" i="47" l="1"/>
  <c r="C13" i="45"/>
  <c r="B12" i="45"/>
  <c r="P12" i="45" s="1"/>
  <c r="T11" i="45"/>
  <c r="S11" i="45"/>
  <c r="F67" i="47" l="1"/>
  <c r="T12" i="45"/>
  <c r="S12" i="45"/>
  <c r="B13" i="45"/>
  <c r="C14" i="45"/>
  <c r="F68" i="47" l="1"/>
  <c r="T13" i="45"/>
  <c r="S13" i="45"/>
  <c r="B14" i="45"/>
  <c r="C15" i="45"/>
  <c r="F69" i="47" l="1"/>
  <c r="C16" i="45"/>
  <c r="T14" i="45"/>
  <c r="B15" i="45"/>
  <c r="S14" i="45"/>
  <c r="F70" i="47" l="1"/>
  <c r="B16" i="45"/>
  <c r="S15" i="45"/>
  <c r="T15" i="45"/>
  <c r="C17" i="45"/>
  <c r="F71" i="47" l="1"/>
  <c r="T16" i="45"/>
  <c r="B17" i="45"/>
  <c r="S16" i="45"/>
  <c r="C18" i="45"/>
  <c r="F72" i="47" l="1"/>
  <c r="T17" i="45"/>
  <c r="B18" i="45"/>
  <c r="S17" i="45"/>
  <c r="C19" i="45"/>
  <c r="F73" i="47" l="1"/>
  <c r="C20" i="45"/>
  <c r="T18" i="45"/>
  <c r="B19" i="45"/>
  <c r="S18" i="45"/>
  <c r="F74" i="47" l="1"/>
  <c r="B20" i="45"/>
  <c r="S19" i="45"/>
  <c r="T19" i="45"/>
  <c r="C21" i="45"/>
  <c r="F75" i="47" l="1"/>
  <c r="C22" i="45"/>
  <c r="T20" i="45"/>
  <c r="B21" i="45"/>
  <c r="S20" i="45"/>
  <c r="F76" i="47" l="1"/>
  <c r="T21" i="45"/>
  <c r="B22" i="45"/>
  <c r="S21" i="45"/>
  <c r="C23" i="45"/>
  <c r="F77" i="47" l="1"/>
  <c r="B23" i="45"/>
  <c r="T22" i="45"/>
  <c r="S22" i="45"/>
  <c r="C24" i="45"/>
  <c r="F78" i="47" l="1"/>
  <c r="B24" i="45"/>
  <c r="S23" i="45"/>
  <c r="T23" i="45"/>
  <c r="C25" i="45"/>
  <c r="F79" i="47" l="1"/>
  <c r="T24" i="45"/>
  <c r="B25" i="45"/>
  <c r="S24" i="45"/>
  <c r="C26" i="45"/>
  <c r="F80" i="47" l="1"/>
  <c r="C27" i="45"/>
  <c r="B26" i="45"/>
  <c r="S25" i="45"/>
  <c r="T25" i="45"/>
  <c r="F81" i="47" l="1"/>
  <c r="C28" i="45"/>
  <c r="B27" i="45"/>
  <c r="T26" i="45"/>
  <c r="S26" i="45"/>
  <c r="F82" i="47" l="1"/>
  <c r="B28" i="45"/>
  <c r="T27" i="45"/>
  <c r="S27" i="45"/>
  <c r="C29" i="45"/>
  <c r="F83" i="47" l="1"/>
  <c r="B29" i="45"/>
  <c r="T28" i="45"/>
  <c r="S28" i="45"/>
  <c r="C30" i="45"/>
  <c r="F84" i="47" l="1"/>
  <c r="C31" i="45"/>
  <c r="B30" i="45"/>
  <c r="T29" i="45"/>
  <c r="S29" i="45"/>
  <c r="F85" i="47" l="1"/>
  <c r="T30" i="45"/>
  <c r="S30" i="45"/>
  <c r="B31" i="45"/>
  <c r="C32" i="45"/>
  <c r="F86" i="47" l="1"/>
  <c r="C33" i="45"/>
  <c r="B32" i="45"/>
  <c r="S31" i="45"/>
  <c r="T31" i="45"/>
  <c r="F87" i="47" l="1"/>
  <c r="S32" i="45"/>
  <c r="T32" i="45"/>
  <c r="B33" i="45"/>
  <c r="C34" i="45"/>
  <c r="F88" i="47" l="1"/>
  <c r="S33" i="45"/>
  <c r="T33" i="45"/>
  <c r="B34" i="45"/>
  <c r="C35" i="45"/>
  <c r="F89" i="47" l="1"/>
  <c r="C36" i="45"/>
  <c r="T34" i="45"/>
  <c r="S34" i="45"/>
  <c r="B35" i="45"/>
  <c r="F90" i="47" l="1"/>
  <c r="C37" i="45"/>
  <c r="B36" i="45"/>
  <c r="S35" i="45"/>
  <c r="T35" i="45"/>
  <c r="F91" i="47" l="1"/>
  <c r="B37" i="45"/>
  <c r="T36" i="45"/>
  <c r="S36" i="45"/>
  <c r="C38" i="45"/>
  <c r="F92" i="47" l="1"/>
  <c r="B38" i="45"/>
  <c r="T37" i="45"/>
  <c r="S37" i="45"/>
  <c r="C39" i="45"/>
  <c r="F93" i="47" l="1"/>
  <c r="C40" i="45"/>
  <c r="S38" i="45"/>
  <c r="T38" i="45"/>
  <c r="B39" i="45"/>
  <c r="T39" i="45" l="1"/>
  <c r="S39" i="45"/>
  <c r="B40" i="45"/>
  <c r="T40" i="45" l="1"/>
  <c r="S40" i="45"/>
  <c r="M44" i="25" l="1"/>
  <c r="M43" i="25"/>
  <c r="M42" i="25"/>
  <c r="M41" i="25"/>
  <c r="M40" i="25"/>
  <c r="M39" i="25"/>
  <c r="M38" i="25"/>
  <c r="F45" i="25"/>
  <c r="M45" i="25" l="1"/>
  <c r="I28" i="25" l="1"/>
  <c r="J28" i="25"/>
  <c r="M25" i="25"/>
  <c r="M24" i="25"/>
  <c r="H5" i="25"/>
  <c r="I5" i="25" s="1"/>
  <c r="J5" i="25" s="1"/>
  <c r="K5" i="25" s="1"/>
  <c r="B33" i="32" l="1"/>
  <c r="G29" i="32"/>
  <c r="G27" i="32"/>
  <c r="I27" i="32" s="1"/>
  <c r="G26" i="32"/>
  <c r="I26" i="32" s="1"/>
  <c r="G25" i="32"/>
  <c r="I25" i="32" s="1"/>
  <c r="F5" i="32" l="1"/>
  <c r="G5" i="32"/>
  <c r="F6" i="32"/>
  <c r="G6" i="32"/>
  <c r="G4" i="32"/>
  <c r="F4" i="32"/>
  <c r="E6" i="32"/>
  <c r="H6" i="32" s="1"/>
  <c r="G15" i="32" s="1"/>
  <c r="E4" i="32"/>
  <c r="H4" i="32" s="1"/>
  <c r="G11" i="32" s="1"/>
  <c r="E5" i="32" l="1"/>
  <c r="H5" i="32" l="1"/>
  <c r="G12" i="32" s="1"/>
  <c r="M58" i="32" l="1"/>
  <c r="L58" i="32"/>
  <c r="J58" i="32"/>
  <c r="I58" i="32"/>
  <c r="G58" i="32"/>
  <c r="F58" i="32"/>
  <c r="K6" i="32"/>
  <c r="L6" i="32" s="1" a="1"/>
  <c r="L6" i="32" s="1"/>
  <c r="K5" i="32"/>
  <c r="L5" i="32" s="1" a="1"/>
  <c r="L5" i="32" s="1"/>
  <c r="K4" i="32"/>
  <c r="L4" i="32" s="1" a="1"/>
  <c r="L4" i="32" s="1"/>
  <c r="C16" i="32"/>
  <c r="L15" i="32"/>
  <c r="F15" i="32"/>
  <c r="H15" i="32" s="1"/>
  <c r="L14" i="32"/>
  <c r="F14" i="32"/>
  <c r="H14" i="32" s="1"/>
  <c r="L13" i="32"/>
  <c r="F13" i="32"/>
  <c r="H13" i="32" s="1"/>
  <c r="J13" i="32" s="1"/>
  <c r="L12" i="32"/>
  <c r="F12" i="32"/>
  <c r="H12" i="32" s="1"/>
  <c r="L11" i="32"/>
  <c r="F11" i="32"/>
  <c r="H11" i="32" s="1"/>
  <c r="H10" i="32"/>
  <c r="G10" i="32"/>
  <c r="F10" i="32"/>
  <c r="D7" i="32"/>
  <c r="C7" i="32"/>
  <c r="G3" i="32"/>
  <c r="H3" i="32"/>
  <c r="F3" i="32"/>
  <c r="H16" i="32" l="1"/>
  <c r="N13" i="32"/>
  <c r="M14" i="32"/>
  <c r="J14" i="32"/>
  <c r="N14" i="32" s="1"/>
  <c r="M13" i="32"/>
  <c r="M5" i="32"/>
  <c r="J4" i="32"/>
  <c r="N4" i="32" s="1"/>
  <c r="M6" i="32"/>
  <c r="E7" i="32"/>
  <c r="F16" i="32"/>
  <c r="F7" i="32"/>
  <c r="G7" i="32"/>
  <c r="J5" i="32" l="1"/>
  <c r="N5" i="32" s="1"/>
  <c r="M4" i="32"/>
  <c r="M7" i="32" s="1"/>
  <c r="J12" i="32"/>
  <c r="N12" i="32" s="1"/>
  <c r="M12" i="32"/>
  <c r="J15" i="32"/>
  <c r="N15" i="32" s="1"/>
  <c r="M15" i="32"/>
  <c r="J6" i="32"/>
  <c r="N6" i="32" s="1"/>
  <c r="H7" i="32"/>
  <c r="G16" i="32"/>
  <c r="N7" i="32" l="1"/>
  <c r="N8" i="32" s="1"/>
  <c r="M11" i="32"/>
  <c r="M16" i="32" s="1"/>
  <c r="J11" i="32"/>
  <c r="N11" i="32" s="1"/>
  <c r="N16" i="32" s="1"/>
  <c r="F61" i="32"/>
  <c r="F64" i="32"/>
  <c r="F66" i="32"/>
  <c r="F73" i="32"/>
  <c r="F75" i="32"/>
  <c r="F80" i="32"/>
  <c r="F82" i="32"/>
  <c r="F89" i="32"/>
  <c r="F91" i="32"/>
  <c r="F60" i="32"/>
  <c r="F65" i="32"/>
  <c r="F67" i="32"/>
  <c r="F72" i="32"/>
  <c r="F74" i="32"/>
  <c r="F81" i="32"/>
  <c r="F83" i="32"/>
  <c r="F88" i="32"/>
  <c r="F90" i="32"/>
  <c r="F63" i="32"/>
  <c r="F69" i="32"/>
  <c r="F71" i="32"/>
  <c r="F76" i="32"/>
  <c r="F78" i="32"/>
  <c r="F85" i="32"/>
  <c r="F87" i="32"/>
  <c r="F92" i="32"/>
  <c r="F59" i="32"/>
  <c r="F79" i="32"/>
  <c r="F86" i="32"/>
  <c r="F93" i="32"/>
  <c r="F70" i="32"/>
  <c r="F84" i="32"/>
  <c r="F68" i="32"/>
  <c r="F62" i="32"/>
  <c r="F77" i="32"/>
  <c r="I60" i="32" l="1"/>
  <c r="I65" i="32"/>
  <c r="I67" i="32"/>
  <c r="I72" i="32"/>
  <c r="I74" i="32"/>
  <c r="I81" i="32"/>
  <c r="I83" i="32"/>
  <c r="I88" i="32"/>
  <c r="I90" i="32"/>
  <c r="I63" i="32"/>
  <c r="I61" i="32"/>
  <c r="I64" i="32"/>
  <c r="I66" i="32"/>
  <c r="I73" i="32"/>
  <c r="I75" i="32"/>
  <c r="I80" i="32"/>
  <c r="I82" i="32"/>
  <c r="I89" i="32"/>
  <c r="I91" i="32"/>
  <c r="I59" i="32"/>
  <c r="I62" i="32"/>
  <c r="I68" i="32"/>
  <c r="I70" i="32"/>
  <c r="I77" i="32"/>
  <c r="I79" i="32"/>
  <c r="I84" i="32"/>
  <c r="I86" i="32"/>
  <c r="I93" i="32"/>
  <c r="I69" i="32"/>
  <c r="I71" i="32"/>
  <c r="I87" i="32"/>
  <c r="I78" i="32"/>
  <c r="I92" i="32"/>
  <c r="I76" i="32"/>
  <c r="I85" i="32"/>
  <c r="N17" i="32"/>
  <c r="F94" i="32" l="1"/>
  <c r="Z5" i="25" l="1"/>
  <c r="Y5" i="25"/>
  <c r="U6" i="25"/>
  <c r="R5" i="25"/>
  <c r="S5" i="25"/>
  <c r="O6" i="25"/>
  <c r="O7" i="25" l="1"/>
  <c r="O8" i="25" s="1"/>
  <c r="O9" i="25" s="1"/>
  <c r="O10" i="25" l="1"/>
  <c r="O11" i="25" s="1"/>
  <c r="O12" i="25" s="1"/>
  <c r="O13" i="25" s="1"/>
  <c r="O14" i="25" l="1"/>
  <c r="O15" i="25" l="1"/>
  <c r="O16" i="25" l="1"/>
  <c r="Q16" i="25" s="1"/>
  <c r="O17" i="25" l="1"/>
  <c r="Q17" i="25" s="1"/>
  <c r="O18" i="25" l="1"/>
  <c r="Q18" i="25" s="1"/>
  <c r="O19" i="25" l="1"/>
  <c r="Q19" i="25" s="1"/>
  <c r="O20" i="25" l="1"/>
  <c r="Q20" i="25" s="1"/>
  <c r="O21" i="25" l="1"/>
  <c r="Q21" i="25" s="1"/>
  <c r="O22" i="25" l="1"/>
  <c r="Q22" i="25" s="1"/>
  <c r="O23" i="25" l="1"/>
  <c r="Q23" i="25" s="1"/>
  <c r="O24" i="25" l="1"/>
  <c r="Q24" i="25" s="1"/>
  <c r="O25" i="25" l="1"/>
  <c r="Q25" i="25" s="1"/>
  <c r="O26" i="25" l="1"/>
  <c r="Q26" i="25" s="1"/>
  <c r="O27" i="25" l="1"/>
  <c r="Q27" i="25" s="1"/>
  <c r="O28" i="25" l="1"/>
  <c r="Q28" i="25" s="1"/>
  <c r="O29" i="25" l="1"/>
  <c r="Q29" i="25" s="1"/>
  <c r="O30" i="25" l="1"/>
  <c r="Q30" i="25" s="1"/>
  <c r="O31" i="25" l="1"/>
  <c r="Q31" i="25" s="1"/>
  <c r="O32" i="25" l="1"/>
  <c r="Q32" i="25" s="1"/>
  <c r="O33" i="25" l="1"/>
  <c r="Q33" i="25" s="1"/>
  <c r="O34" i="25" l="1"/>
  <c r="Q34" i="25" s="1"/>
  <c r="O35" i="25" l="1"/>
  <c r="Q35" i="25" s="1"/>
  <c r="O36" i="25" l="1"/>
  <c r="Q36" i="25" s="1"/>
  <c r="O37" i="25" l="1"/>
  <c r="Q37" i="25" s="1"/>
  <c r="O38" i="25" l="1"/>
  <c r="Q38" i="25" s="1"/>
  <c r="O39" i="25" l="1"/>
  <c r="Q39" i="25" s="1"/>
  <c r="O40" i="25" l="1"/>
  <c r="Q40" i="25" s="1"/>
  <c r="C10" i="24" l="1"/>
  <c r="M7" i="25"/>
  <c r="M8" i="25"/>
  <c r="M9" i="25"/>
  <c r="M10" i="25"/>
  <c r="M11" i="25"/>
  <c r="M12" i="25"/>
  <c r="M13" i="25"/>
  <c r="M14" i="25"/>
  <c r="M15" i="25"/>
  <c r="M16" i="25"/>
  <c r="M17" i="25"/>
  <c r="M18" i="25"/>
  <c r="M19" i="25"/>
  <c r="M20" i="25"/>
  <c r="M21" i="25"/>
  <c r="M22" i="25"/>
  <c r="M23" i="25"/>
  <c r="M26" i="25"/>
  <c r="M27" i="25"/>
  <c r="J34" i="25" l="1"/>
  <c r="J29" i="25"/>
  <c r="I29" i="25"/>
  <c r="I34" i="25"/>
  <c r="H6" i="45"/>
  <c r="O6" i="45"/>
  <c r="F6" i="45"/>
  <c r="M6" i="45"/>
  <c r="J6" i="45"/>
  <c r="H59" i="47"/>
  <c r="I59" i="47"/>
  <c r="K6" i="45"/>
  <c r="I6" i="45"/>
  <c r="G6" i="45"/>
  <c r="L6" i="45"/>
  <c r="N6" i="45"/>
  <c r="L7" i="45"/>
  <c r="G7" i="45"/>
  <c r="F7" i="45"/>
  <c r="I7" i="45"/>
  <c r="H7" i="45"/>
  <c r="J7" i="45"/>
  <c r="O7" i="45"/>
  <c r="H60" i="47"/>
  <c r="M7" i="45"/>
  <c r="N7" i="45"/>
  <c r="I60" i="47"/>
  <c r="K7" i="45"/>
  <c r="G8" i="45"/>
  <c r="F8" i="45"/>
  <c r="H8" i="45"/>
  <c r="J8" i="45"/>
  <c r="K8" i="45"/>
  <c r="I8" i="45"/>
  <c r="M8" i="45"/>
  <c r="I61" i="47"/>
  <c r="H61" i="47"/>
  <c r="O8" i="45"/>
  <c r="N8" i="45"/>
  <c r="L8" i="45"/>
  <c r="I62" i="47"/>
  <c r="H62" i="47"/>
  <c r="N9" i="45"/>
  <c r="G9" i="45"/>
  <c r="M9" i="45"/>
  <c r="O9" i="45"/>
  <c r="L9" i="45"/>
  <c r="H63" i="47"/>
  <c r="J9" i="45"/>
  <c r="K9" i="45"/>
  <c r="H9" i="45"/>
  <c r="I63" i="47"/>
  <c r="F9" i="45"/>
  <c r="I9" i="45"/>
  <c r="M10" i="45"/>
  <c r="F10" i="45"/>
  <c r="N10" i="45"/>
  <c r="H10" i="45"/>
  <c r="J10" i="45"/>
  <c r="I10" i="45"/>
  <c r="O10" i="45"/>
  <c r="L10" i="45"/>
  <c r="G10" i="45"/>
  <c r="I64" i="47"/>
  <c r="K10" i="45"/>
  <c r="H64" i="47"/>
  <c r="J11" i="45"/>
  <c r="G11" i="45"/>
  <c r="O11" i="45"/>
  <c r="M11" i="45"/>
  <c r="L11" i="45"/>
  <c r="N11" i="45"/>
  <c r="H65" i="47"/>
  <c r="I65" i="47"/>
  <c r="I11" i="45"/>
  <c r="H11" i="45"/>
  <c r="F11" i="45"/>
  <c r="K11" i="45"/>
  <c r="I66" i="47"/>
  <c r="H66" i="47"/>
  <c r="H67" i="47"/>
  <c r="I67" i="47"/>
  <c r="H68" i="47"/>
  <c r="I68" i="47"/>
  <c r="I69" i="47"/>
  <c r="H69" i="47"/>
  <c r="H70" i="47"/>
  <c r="I70" i="47"/>
  <c r="H71" i="47"/>
  <c r="I71" i="47"/>
  <c r="I72" i="47"/>
  <c r="H72" i="47"/>
  <c r="H73" i="47"/>
  <c r="I73" i="47"/>
  <c r="H74" i="47"/>
  <c r="I74" i="47"/>
  <c r="H75" i="47"/>
  <c r="I75" i="47"/>
  <c r="H76" i="47"/>
  <c r="I76" i="47"/>
  <c r="I77" i="47"/>
  <c r="H77" i="47"/>
  <c r="I78" i="47"/>
  <c r="H78" i="47"/>
  <c r="H79" i="47"/>
  <c r="I79" i="47"/>
  <c r="H80" i="47"/>
  <c r="I80" i="47"/>
  <c r="H81" i="47"/>
  <c r="I81" i="47"/>
  <c r="I82" i="47"/>
  <c r="H82" i="47"/>
  <c r="I83" i="47"/>
  <c r="H83" i="47"/>
  <c r="I84" i="47"/>
  <c r="H84" i="47"/>
  <c r="H85" i="47"/>
  <c r="I85" i="47"/>
  <c r="I86" i="47"/>
  <c r="H86" i="47"/>
  <c r="I87" i="47"/>
  <c r="H87" i="47"/>
  <c r="I88" i="47"/>
  <c r="H88" i="47"/>
  <c r="I89" i="47"/>
  <c r="H89" i="47"/>
  <c r="I90" i="47"/>
  <c r="H90" i="47"/>
  <c r="H91" i="47"/>
  <c r="I91" i="47"/>
  <c r="H92" i="47"/>
  <c r="I92" i="47"/>
  <c r="I93" i="47"/>
  <c r="H93" i="47"/>
  <c r="D29" i="25"/>
  <c r="M6" i="25"/>
  <c r="F28" i="25"/>
  <c r="H28" i="25"/>
  <c r="K28" i="25"/>
  <c r="G28" i="25"/>
  <c r="V7" i="45" l="1"/>
  <c r="D31" i="25"/>
  <c r="D36" i="25" s="1"/>
  <c r="I35" i="25"/>
  <c r="J35" i="25"/>
  <c r="V9" i="45"/>
  <c r="V10" i="45"/>
  <c r="K80" i="47"/>
  <c r="M80" i="47" s="1"/>
  <c r="E27" i="45"/>
  <c r="J92" i="47"/>
  <c r="L92" i="47" s="1"/>
  <c r="D39" i="45"/>
  <c r="K88" i="47"/>
  <c r="M88" i="47" s="1"/>
  <c r="E35" i="45"/>
  <c r="J85" i="47"/>
  <c r="L85" i="47" s="1"/>
  <c r="D32" i="45"/>
  <c r="J80" i="47"/>
  <c r="L80" i="47" s="1"/>
  <c r="D27" i="45"/>
  <c r="E32" i="45"/>
  <c r="K85" i="47"/>
  <c r="M85" i="47" s="1"/>
  <c r="H34" i="25"/>
  <c r="H29" i="25"/>
  <c r="E36" i="45"/>
  <c r="K89" i="47"/>
  <c r="M89" i="47" s="1"/>
  <c r="K86" i="47"/>
  <c r="M86" i="47" s="1"/>
  <c r="E33" i="45"/>
  <c r="U10" i="45"/>
  <c r="V6" i="45"/>
  <c r="F34" i="25"/>
  <c r="F29" i="25"/>
  <c r="D40" i="45"/>
  <c r="J93" i="47"/>
  <c r="L93" i="47" s="1"/>
  <c r="J89" i="47"/>
  <c r="L89" i="47" s="1"/>
  <c r="D36" i="45"/>
  <c r="D31" i="45"/>
  <c r="J84" i="47"/>
  <c r="L84" i="47" s="1"/>
  <c r="K83" i="47"/>
  <c r="M83" i="47" s="1"/>
  <c r="E30" i="45"/>
  <c r="E29" i="45"/>
  <c r="K82" i="47"/>
  <c r="M82" i="47" s="1"/>
  <c r="D25" i="45"/>
  <c r="J78" i="47"/>
  <c r="L78" i="47" s="1"/>
  <c r="J75" i="47"/>
  <c r="L75" i="47" s="1"/>
  <c r="D22" i="45"/>
  <c r="K74" i="47"/>
  <c r="M74" i="47" s="1"/>
  <c r="E21" i="45"/>
  <c r="J72" i="47"/>
  <c r="L72" i="47" s="1"/>
  <c r="D19" i="45"/>
  <c r="K72" i="47"/>
  <c r="M72" i="47" s="1"/>
  <c r="E19" i="45"/>
  <c r="K68" i="47"/>
  <c r="M68" i="47" s="1"/>
  <c r="E15" i="45"/>
  <c r="K60" i="47"/>
  <c r="M60" i="47" s="1"/>
  <c r="E7" i="45"/>
  <c r="U7" i="45"/>
  <c r="K59" i="47"/>
  <c r="E6" i="45"/>
  <c r="I94" i="47"/>
  <c r="U6" i="45"/>
  <c r="I30" i="25"/>
  <c r="K78" i="47"/>
  <c r="M78" i="47" s="1"/>
  <c r="E25" i="45"/>
  <c r="K76" i="47"/>
  <c r="M76" i="47" s="1"/>
  <c r="E23" i="45"/>
  <c r="K71" i="47"/>
  <c r="M71" i="47" s="1"/>
  <c r="E18" i="45"/>
  <c r="K66" i="47"/>
  <c r="M66" i="47" s="1"/>
  <c r="E13" i="45"/>
  <c r="K64" i="47"/>
  <c r="M64" i="47" s="1"/>
  <c r="E11" i="45"/>
  <c r="E10" i="45"/>
  <c r="K63" i="47"/>
  <c r="M63" i="47" s="1"/>
  <c r="K61" i="47"/>
  <c r="M61" i="47" s="1"/>
  <c r="E8" i="45"/>
  <c r="D7" i="45"/>
  <c r="J60" i="47"/>
  <c r="L60" i="47" s="1"/>
  <c r="G34" i="25"/>
  <c r="G29" i="25"/>
  <c r="K92" i="47"/>
  <c r="M92" i="47" s="1"/>
  <c r="E39" i="45"/>
  <c r="K90" i="47"/>
  <c r="M90" i="47" s="1"/>
  <c r="E37" i="45"/>
  <c r="E34" i="45"/>
  <c r="K87" i="47"/>
  <c r="M87" i="47" s="1"/>
  <c r="J86" i="47"/>
  <c r="L86" i="47" s="1"/>
  <c r="D33" i="45"/>
  <c r="J83" i="47"/>
  <c r="L83" i="47" s="1"/>
  <c r="D30" i="45"/>
  <c r="K77" i="47"/>
  <c r="M77" i="47" s="1"/>
  <c r="E24" i="45"/>
  <c r="D23" i="45"/>
  <c r="J76" i="47"/>
  <c r="L76" i="47" s="1"/>
  <c r="J73" i="47"/>
  <c r="L73" i="47" s="1"/>
  <c r="D20" i="45"/>
  <c r="D18" i="45"/>
  <c r="J71" i="47"/>
  <c r="L71" i="47" s="1"/>
  <c r="E17" i="45"/>
  <c r="K70" i="47"/>
  <c r="M70" i="47" s="1"/>
  <c r="D17" i="45"/>
  <c r="J70" i="47"/>
  <c r="L70" i="47" s="1"/>
  <c r="K67" i="47"/>
  <c r="M67" i="47" s="1"/>
  <c r="E14" i="45"/>
  <c r="J66" i="47"/>
  <c r="L66" i="47" s="1"/>
  <c r="D13" i="45"/>
  <c r="V11" i="45"/>
  <c r="E12" i="45"/>
  <c r="K65" i="47"/>
  <c r="M65" i="47" s="1"/>
  <c r="J64" i="47"/>
  <c r="L64" i="47" s="1"/>
  <c r="D11" i="45"/>
  <c r="J62" i="47"/>
  <c r="L62" i="47" s="1"/>
  <c r="D9" i="45"/>
  <c r="U8" i="45"/>
  <c r="D6" i="45"/>
  <c r="J59" i="47"/>
  <c r="H94" i="47"/>
  <c r="D10" i="45"/>
  <c r="J63" i="47"/>
  <c r="L63" i="47" s="1"/>
  <c r="E40" i="45"/>
  <c r="K93" i="47"/>
  <c r="M93" i="47" s="1"/>
  <c r="E38" i="45"/>
  <c r="K91" i="47"/>
  <c r="M91" i="47" s="1"/>
  <c r="D38" i="45"/>
  <c r="J91" i="47"/>
  <c r="L91" i="47" s="1"/>
  <c r="D37" i="45"/>
  <c r="J90" i="47"/>
  <c r="L90" i="47" s="1"/>
  <c r="D35" i="45"/>
  <c r="J88" i="47"/>
  <c r="L88" i="47" s="1"/>
  <c r="D34" i="45"/>
  <c r="J87" i="47"/>
  <c r="L87" i="47" s="1"/>
  <c r="E31" i="45"/>
  <c r="K84" i="47"/>
  <c r="M84" i="47" s="1"/>
  <c r="J82" i="47"/>
  <c r="L82" i="47" s="1"/>
  <c r="D29" i="45"/>
  <c r="K81" i="47"/>
  <c r="M81" i="47" s="1"/>
  <c r="E28" i="45"/>
  <c r="D28" i="45"/>
  <c r="J81" i="47"/>
  <c r="L81" i="47" s="1"/>
  <c r="E26" i="45"/>
  <c r="K79" i="47"/>
  <c r="M79" i="47" s="1"/>
  <c r="J79" i="47"/>
  <c r="L79" i="47" s="1"/>
  <c r="D26" i="45"/>
  <c r="J77" i="47"/>
  <c r="L77" i="47" s="1"/>
  <c r="D24" i="45"/>
  <c r="K75" i="47"/>
  <c r="M75" i="47" s="1"/>
  <c r="E22" i="45"/>
  <c r="D21" i="45"/>
  <c r="J74" i="47"/>
  <c r="L74" i="47" s="1"/>
  <c r="E20" i="45"/>
  <c r="K73" i="47"/>
  <c r="M73" i="47" s="1"/>
  <c r="D16" i="45"/>
  <c r="J69" i="47"/>
  <c r="L69" i="47" s="1"/>
  <c r="K69" i="47"/>
  <c r="M69" i="47" s="1"/>
  <c r="E16" i="45"/>
  <c r="D15" i="45"/>
  <c r="J68" i="47"/>
  <c r="L68" i="47" s="1"/>
  <c r="D14" i="45"/>
  <c r="J67" i="47"/>
  <c r="L67" i="47" s="1"/>
  <c r="U11" i="45"/>
  <c r="D12" i="45"/>
  <c r="J65" i="47"/>
  <c r="L65" i="47" s="1"/>
  <c r="U9" i="45"/>
  <c r="K62" i="47"/>
  <c r="M62" i="47" s="1"/>
  <c r="E9" i="45"/>
  <c r="J61" i="47"/>
  <c r="L61" i="47" s="1"/>
  <c r="D8" i="45"/>
  <c r="V8" i="45"/>
  <c r="K29" i="25"/>
  <c r="F31" i="25" l="1"/>
  <c r="G35" i="25"/>
  <c r="H35" i="25"/>
  <c r="K31" i="25"/>
  <c r="H31" i="25"/>
  <c r="G31" i="25"/>
  <c r="I37" i="45"/>
  <c r="J37" i="45"/>
  <c r="H37" i="45"/>
  <c r="G37" i="45"/>
  <c r="F37" i="45"/>
  <c r="J20" i="45"/>
  <c r="G20" i="45"/>
  <c r="F20" i="45"/>
  <c r="I20" i="45"/>
  <c r="H20" i="45"/>
  <c r="J30" i="25"/>
  <c r="M30" i="25" s="1"/>
  <c r="M17" i="45"/>
  <c r="L17" i="45"/>
  <c r="O17" i="45"/>
  <c r="K17" i="45"/>
  <c r="N17" i="45"/>
  <c r="I31" i="25"/>
  <c r="M59" i="47"/>
  <c r="M94" i="47" s="1"/>
  <c r="K94" i="47"/>
  <c r="L15" i="45"/>
  <c r="N15" i="45"/>
  <c r="K15" i="45"/>
  <c r="O15" i="45"/>
  <c r="M15" i="45"/>
  <c r="F19" i="45"/>
  <c r="G19" i="45"/>
  <c r="J19" i="45"/>
  <c r="H19" i="45"/>
  <c r="I19" i="45"/>
  <c r="F22" i="45"/>
  <c r="J22" i="45"/>
  <c r="H22" i="45"/>
  <c r="I22" i="45"/>
  <c r="G22" i="45"/>
  <c r="M34" i="25"/>
  <c r="F35" i="25"/>
  <c r="O32" i="45"/>
  <c r="K32" i="45"/>
  <c r="N32" i="45"/>
  <c r="L32" i="45"/>
  <c r="M32" i="45"/>
  <c r="L20" i="45"/>
  <c r="O20" i="45"/>
  <c r="K20" i="45"/>
  <c r="N20" i="45"/>
  <c r="M20" i="45"/>
  <c r="H28" i="45"/>
  <c r="G28" i="45"/>
  <c r="J28" i="45"/>
  <c r="F28" i="45"/>
  <c r="I28" i="45"/>
  <c r="H34" i="45"/>
  <c r="I34" i="45"/>
  <c r="J34" i="45"/>
  <c r="G34" i="45"/>
  <c r="F34" i="45"/>
  <c r="M12" i="45"/>
  <c r="L12" i="45"/>
  <c r="O12" i="45"/>
  <c r="K12" i="45"/>
  <c r="N12" i="45"/>
  <c r="M24" i="45"/>
  <c r="O24" i="45"/>
  <c r="L24" i="45"/>
  <c r="K24" i="45"/>
  <c r="N24" i="45"/>
  <c r="F33" i="45"/>
  <c r="H33" i="45"/>
  <c r="J33" i="45"/>
  <c r="I33" i="45"/>
  <c r="G33" i="45"/>
  <c r="M37" i="45"/>
  <c r="L37" i="45"/>
  <c r="N37" i="45"/>
  <c r="K37" i="45"/>
  <c r="O37" i="45"/>
  <c r="K13" i="45"/>
  <c r="L13" i="45"/>
  <c r="M13" i="45"/>
  <c r="N13" i="45"/>
  <c r="O13" i="45"/>
  <c r="E41" i="45"/>
  <c r="H25" i="45"/>
  <c r="F25" i="45"/>
  <c r="G25" i="45"/>
  <c r="J25" i="45"/>
  <c r="I25" i="45"/>
  <c r="F39" i="45"/>
  <c r="G39" i="45"/>
  <c r="I39" i="45"/>
  <c r="H39" i="45"/>
  <c r="J39" i="45"/>
  <c r="J12" i="45"/>
  <c r="H12" i="45"/>
  <c r="F12" i="45"/>
  <c r="I12" i="45"/>
  <c r="G12" i="45"/>
  <c r="H24" i="45"/>
  <c r="I24" i="45"/>
  <c r="J24" i="45"/>
  <c r="F24" i="45"/>
  <c r="G24" i="45"/>
  <c r="L28" i="45"/>
  <c r="K28" i="45"/>
  <c r="O28" i="45"/>
  <c r="N28" i="45"/>
  <c r="M28" i="45"/>
  <c r="D41" i="45"/>
  <c r="H15" i="45"/>
  <c r="F15" i="45"/>
  <c r="I15" i="45"/>
  <c r="G15" i="45"/>
  <c r="J15" i="45"/>
  <c r="I16" i="45"/>
  <c r="H16" i="45"/>
  <c r="G16" i="45"/>
  <c r="J16" i="45"/>
  <c r="F16" i="45"/>
  <c r="G21" i="45"/>
  <c r="F21" i="45"/>
  <c r="I21" i="45"/>
  <c r="J21" i="45"/>
  <c r="H21" i="45"/>
  <c r="M26" i="45"/>
  <c r="N26" i="45"/>
  <c r="L26" i="45"/>
  <c r="K26" i="45"/>
  <c r="O26" i="45"/>
  <c r="N31" i="45"/>
  <c r="O31" i="45"/>
  <c r="L31" i="45"/>
  <c r="M31" i="45"/>
  <c r="K31" i="45"/>
  <c r="G35" i="45"/>
  <c r="H35" i="45"/>
  <c r="I35" i="45"/>
  <c r="F35" i="45"/>
  <c r="J35" i="45"/>
  <c r="I38" i="45"/>
  <c r="H38" i="45"/>
  <c r="J38" i="45"/>
  <c r="G38" i="45"/>
  <c r="F38" i="45"/>
  <c r="O40" i="45"/>
  <c r="N40" i="45"/>
  <c r="M40" i="45"/>
  <c r="L40" i="45"/>
  <c r="K40" i="45"/>
  <c r="J13" i="45"/>
  <c r="H13" i="45"/>
  <c r="F13" i="45"/>
  <c r="I13" i="45"/>
  <c r="G13" i="45"/>
  <c r="J30" i="45"/>
  <c r="I30" i="45"/>
  <c r="H30" i="45"/>
  <c r="G30" i="45"/>
  <c r="F30" i="45"/>
  <c r="L39" i="45"/>
  <c r="M39" i="45"/>
  <c r="O39" i="45"/>
  <c r="N39" i="45"/>
  <c r="K39" i="45"/>
  <c r="L18" i="45"/>
  <c r="K18" i="45"/>
  <c r="N18" i="45"/>
  <c r="M18" i="45"/>
  <c r="O18" i="45"/>
  <c r="K25" i="45"/>
  <c r="N25" i="45"/>
  <c r="O25" i="45"/>
  <c r="L25" i="45"/>
  <c r="M25" i="45"/>
  <c r="K29" i="45"/>
  <c r="N29" i="45"/>
  <c r="L29" i="45"/>
  <c r="M29" i="45"/>
  <c r="O29" i="45"/>
  <c r="G31" i="45"/>
  <c r="F31" i="45"/>
  <c r="J31" i="45"/>
  <c r="I31" i="45"/>
  <c r="H31" i="45"/>
  <c r="F40" i="45"/>
  <c r="G40" i="45"/>
  <c r="H40" i="45"/>
  <c r="J40" i="45"/>
  <c r="I40" i="45"/>
  <c r="F27" i="45"/>
  <c r="I27" i="45"/>
  <c r="J27" i="45"/>
  <c r="H27" i="45"/>
  <c r="G27" i="45"/>
  <c r="K35" i="45"/>
  <c r="M35" i="45"/>
  <c r="N35" i="45"/>
  <c r="O35" i="45"/>
  <c r="L35" i="45"/>
  <c r="M27" i="45"/>
  <c r="O27" i="45"/>
  <c r="L27" i="45"/>
  <c r="K27" i="45"/>
  <c r="N27" i="45"/>
  <c r="F14" i="45"/>
  <c r="H14" i="45"/>
  <c r="J14" i="45"/>
  <c r="I14" i="45"/>
  <c r="G14" i="45"/>
  <c r="O38" i="45"/>
  <c r="L38" i="45"/>
  <c r="M38" i="45"/>
  <c r="N38" i="45"/>
  <c r="K38" i="45"/>
  <c r="L59" i="47"/>
  <c r="J94" i="47"/>
  <c r="N14" i="45"/>
  <c r="L14" i="45"/>
  <c r="K14" i="45"/>
  <c r="O14" i="45"/>
  <c r="M14" i="45"/>
  <c r="O23" i="45"/>
  <c r="L23" i="45"/>
  <c r="N23" i="45"/>
  <c r="M23" i="45"/>
  <c r="K23" i="45"/>
  <c r="N33" i="45"/>
  <c r="M33" i="45"/>
  <c r="O33" i="45"/>
  <c r="L33" i="45"/>
  <c r="K33" i="45"/>
  <c r="J32" i="45"/>
  <c r="H32" i="45"/>
  <c r="F32" i="45"/>
  <c r="I32" i="45"/>
  <c r="G32" i="45"/>
  <c r="K16" i="45"/>
  <c r="N16" i="45"/>
  <c r="L16" i="45"/>
  <c r="O16" i="45"/>
  <c r="M16" i="45"/>
  <c r="L22" i="45"/>
  <c r="M22" i="45"/>
  <c r="N22" i="45"/>
  <c r="K22" i="45"/>
  <c r="O22" i="45"/>
  <c r="G26" i="45"/>
  <c r="I26" i="45"/>
  <c r="F26" i="45"/>
  <c r="H26" i="45"/>
  <c r="J26" i="45"/>
  <c r="J29" i="45"/>
  <c r="H29" i="45"/>
  <c r="G29" i="45"/>
  <c r="I29" i="45"/>
  <c r="F29" i="45"/>
  <c r="I17" i="45"/>
  <c r="G17" i="45"/>
  <c r="H17" i="45"/>
  <c r="J17" i="45"/>
  <c r="F17" i="45"/>
  <c r="H18" i="45"/>
  <c r="G18" i="45"/>
  <c r="I18" i="45"/>
  <c r="F18" i="45"/>
  <c r="J18" i="45"/>
  <c r="I23" i="45"/>
  <c r="G23" i="45"/>
  <c r="F23" i="45"/>
  <c r="H23" i="45"/>
  <c r="J23" i="45"/>
  <c r="N34" i="45"/>
  <c r="M34" i="45"/>
  <c r="O34" i="45"/>
  <c r="L34" i="45"/>
  <c r="K34" i="45"/>
  <c r="K19" i="45"/>
  <c r="N19" i="45"/>
  <c r="L19" i="45"/>
  <c r="M19" i="45"/>
  <c r="O19" i="45"/>
  <c r="K21" i="45"/>
  <c r="O21" i="45"/>
  <c r="M21" i="45"/>
  <c r="L21" i="45"/>
  <c r="N21" i="45"/>
  <c r="N30" i="45"/>
  <c r="M30" i="45"/>
  <c r="O30" i="45"/>
  <c r="L30" i="45"/>
  <c r="K30" i="45"/>
  <c r="F36" i="45"/>
  <c r="H36" i="45"/>
  <c r="G36" i="45"/>
  <c r="J36" i="45"/>
  <c r="I36" i="45"/>
  <c r="M29" i="25"/>
  <c r="L36" i="45"/>
  <c r="O36" i="45"/>
  <c r="N36" i="45"/>
  <c r="K36" i="45"/>
  <c r="M36" i="45"/>
  <c r="M28" i="25"/>
  <c r="V17" i="45" l="1"/>
  <c r="H36" i="25"/>
  <c r="H46" i="25" s="1"/>
  <c r="G36" i="25"/>
  <c r="J31" i="25"/>
  <c r="I36" i="25"/>
  <c r="G46" i="25"/>
  <c r="K36" i="25"/>
  <c r="V36" i="45"/>
  <c r="V21" i="45"/>
  <c r="U23" i="45"/>
  <c r="U18" i="45"/>
  <c r="U17" i="45"/>
  <c r="U26" i="45"/>
  <c r="V22" i="45"/>
  <c r="U31" i="45"/>
  <c r="V19" i="45"/>
  <c r="U20" i="45"/>
  <c r="V16" i="45"/>
  <c r="V15" i="45"/>
  <c r="U35" i="45"/>
  <c r="V31" i="45"/>
  <c r="U24" i="45"/>
  <c r="V13" i="45"/>
  <c r="V37" i="45"/>
  <c r="V33" i="45"/>
  <c r="U22" i="45"/>
  <c r="U36" i="45"/>
  <c r="U29" i="45"/>
  <c r="V23" i="45"/>
  <c r="V14" i="45"/>
  <c r="V27" i="45"/>
  <c r="V35" i="45"/>
  <c r="U40" i="45"/>
  <c r="V40" i="45"/>
  <c r="U38" i="45"/>
  <c r="U21" i="45"/>
  <c r="V28" i="45"/>
  <c r="U39" i="45"/>
  <c r="U25" i="45"/>
  <c r="V12" i="45"/>
  <c r="V20" i="45"/>
  <c r="F36" i="25"/>
  <c r="M35" i="25"/>
  <c r="U19" i="45"/>
  <c r="U32" i="45"/>
  <c r="V38" i="45"/>
  <c r="U27" i="45"/>
  <c r="V29" i="45"/>
  <c r="V39" i="45"/>
  <c r="U13" i="45"/>
  <c r="V26" i="45"/>
  <c r="U12" i="45"/>
  <c r="U33" i="45"/>
  <c r="U34" i="45"/>
  <c r="V34" i="45"/>
  <c r="V30" i="45"/>
  <c r="U14" i="45"/>
  <c r="V25" i="45"/>
  <c r="V18" i="45"/>
  <c r="U30" i="45"/>
  <c r="U16" i="45"/>
  <c r="U15" i="45"/>
  <c r="V24" i="45"/>
  <c r="U28" i="45"/>
  <c r="V32" i="45"/>
  <c r="L94" i="47"/>
  <c r="U37" i="45"/>
  <c r="D46" i="25"/>
  <c r="J36" i="25" l="1"/>
  <c r="M36" i="25" s="1"/>
  <c r="K46" i="25"/>
  <c r="I46" i="25"/>
  <c r="F46" i="25"/>
  <c r="V41" i="45"/>
  <c r="U41" i="45"/>
  <c r="M31" i="25"/>
  <c r="J46" i="25" l="1"/>
  <c r="E1" i="39"/>
  <c r="D1" i="39"/>
  <c r="P58" i="32"/>
  <c r="O58" i="32"/>
  <c r="P10" i="35"/>
  <c r="O10" i="35"/>
  <c r="F10" i="35"/>
  <c r="E10" i="35"/>
  <c r="Q15" i="25" l="1"/>
  <c r="Q12" i="25"/>
  <c r="Q14" i="25"/>
  <c r="Q13" i="25"/>
  <c r="I12" i="35"/>
  <c r="I13" i="35" s="1"/>
  <c r="I14" i="35" s="1"/>
  <c r="I15" i="35" s="1"/>
  <c r="I16" i="35" s="1"/>
  <c r="I17" i="35" s="1"/>
  <c r="I18" i="35" s="1"/>
  <c r="I19" i="35" s="1"/>
  <c r="I20" i="35" s="1"/>
  <c r="I21" i="35" s="1"/>
  <c r="I22" i="35" s="1"/>
  <c r="I23" i="35" s="1"/>
  <c r="I24" i="35" s="1"/>
  <c r="I25" i="35" s="1"/>
  <c r="I26" i="35" s="1"/>
  <c r="I27" i="35" s="1"/>
  <c r="I28" i="35" s="1"/>
  <c r="I29" i="35" s="1"/>
  <c r="I30" i="35" s="1"/>
  <c r="I31" i="35" s="1"/>
  <c r="I32" i="35" s="1"/>
  <c r="I33" i="35" s="1"/>
  <c r="I34" i="35" s="1"/>
  <c r="I35" i="35" s="1"/>
  <c r="I36" i="35" s="1"/>
  <c r="I37" i="35" s="1"/>
  <c r="I38" i="35" s="1"/>
  <c r="I39" i="35" s="1"/>
  <c r="I40" i="35" s="1"/>
  <c r="I41" i="35" s="1"/>
  <c r="I42" i="35" s="1"/>
  <c r="I43" i="35" s="1"/>
  <c r="I44" i="35" s="1"/>
  <c r="I45" i="35" s="1"/>
  <c r="H11" i="35"/>
  <c r="H12" i="35" s="1"/>
  <c r="H13" i="35" s="1"/>
  <c r="H14" i="35" s="1"/>
  <c r="H15" i="35" s="1"/>
  <c r="H16" i="35" s="1"/>
  <c r="H17" i="35" s="1"/>
  <c r="H18" i="35" s="1"/>
  <c r="H19" i="35" s="1"/>
  <c r="H20" i="35" s="1"/>
  <c r="H21" i="35" s="1"/>
  <c r="H22" i="35" s="1"/>
  <c r="H23" i="35" s="1"/>
  <c r="H24" i="35" s="1"/>
  <c r="H25" i="35" s="1"/>
  <c r="H26" i="35" s="1"/>
  <c r="H27" i="35" s="1"/>
  <c r="H28" i="35" s="1"/>
  <c r="H29" i="35" s="1"/>
  <c r="H30" i="35" s="1"/>
  <c r="H31" i="35" s="1"/>
  <c r="H32" i="35" s="1"/>
  <c r="H33" i="35" s="1"/>
  <c r="H34" i="35" s="1"/>
  <c r="H35" i="35" s="1"/>
  <c r="H36" i="35" s="1"/>
  <c r="H37" i="35" s="1"/>
  <c r="H38" i="35" s="1"/>
  <c r="H39" i="35" s="1"/>
  <c r="H40" i="35" s="1"/>
  <c r="H41" i="35" s="1"/>
  <c r="H42" i="35" s="1"/>
  <c r="H43" i="35" s="1"/>
  <c r="H44" i="35" s="1"/>
  <c r="H45" i="35" s="1"/>
  <c r="B12" i="35"/>
  <c r="B13" i="35" s="1"/>
  <c r="B14" i="35" s="1"/>
  <c r="B15" i="35" s="1"/>
  <c r="B16" i="35" s="1"/>
  <c r="B17" i="35" s="1"/>
  <c r="B18" i="35" s="1"/>
  <c r="B19" i="35" s="1"/>
  <c r="B20" i="35" s="1"/>
  <c r="B21" i="35" s="1"/>
  <c r="B22" i="35" s="1"/>
  <c r="B23" i="35" s="1"/>
  <c r="B24" i="35" s="1"/>
  <c r="B25" i="35" s="1"/>
  <c r="B26" i="35" s="1"/>
  <c r="B27" i="35" s="1"/>
  <c r="B28" i="35" s="1"/>
  <c r="B29" i="35" s="1"/>
  <c r="B30" i="35" s="1"/>
  <c r="B31" i="35" s="1"/>
  <c r="B32" i="35" s="1"/>
  <c r="B33" i="35" s="1"/>
  <c r="B34" i="35" s="1"/>
  <c r="B35" i="35" s="1"/>
  <c r="B36" i="35" s="1"/>
  <c r="B37" i="35" s="1"/>
  <c r="B38" i="35" s="1"/>
  <c r="B39" i="35" s="1"/>
  <c r="B40" i="35" s="1"/>
  <c r="B41" i="35" s="1"/>
  <c r="B42" i="35" s="1"/>
  <c r="B43" i="35" s="1"/>
  <c r="B44" i="35" s="1"/>
  <c r="B45" i="35" s="1"/>
  <c r="A11" i="35"/>
  <c r="A12" i="35" s="1"/>
  <c r="A13" i="35" s="1"/>
  <c r="A14" i="35" s="1"/>
  <c r="A15" i="35" s="1"/>
  <c r="A16" i="35" s="1"/>
  <c r="A17" i="35" s="1"/>
  <c r="A18" i="35" s="1"/>
  <c r="A19" i="35" s="1"/>
  <c r="A20" i="35" s="1"/>
  <c r="A21" i="35" s="1"/>
  <c r="A22" i="35" s="1"/>
  <c r="A23" i="35" s="1"/>
  <c r="A24" i="35" s="1"/>
  <c r="A25" i="35" s="1"/>
  <c r="A26" i="35" s="1"/>
  <c r="A27" i="35" s="1"/>
  <c r="A28" i="35" s="1"/>
  <c r="A29" i="35" s="1"/>
  <c r="A30" i="35" s="1"/>
  <c r="A31" i="35" s="1"/>
  <c r="A32" i="35" s="1"/>
  <c r="A33" i="35" s="1"/>
  <c r="A34" i="35" s="1"/>
  <c r="A35" i="35" s="1"/>
  <c r="A36" i="35" s="1"/>
  <c r="A37" i="35" s="1"/>
  <c r="A38" i="35" s="1"/>
  <c r="A39" i="35" s="1"/>
  <c r="A40" i="35" s="1"/>
  <c r="A41" i="35" s="1"/>
  <c r="A42" i="35" s="1"/>
  <c r="A43" i="35" s="1"/>
  <c r="A44" i="35" s="1"/>
  <c r="A45" i="35" s="1"/>
  <c r="D59" i="32" l="1"/>
  <c r="E60" i="32"/>
  <c r="M46" i="25" l="1"/>
  <c r="J59" i="32"/>
  <c r="K59" i="32" s="1"/>
  <c r="G59" i="32"/>
  <c r="E61" i="32"/>
  <c r="D60" i="32"/>
  <c r="R6" i="25" l="1"/>
  <c r="S6" i="25"/>
  <c r="H59" i="32"/>
  <c r="J60" i="32"/>
  <c r="K60" i="32" s="1"/>
  <c r="G60" i="32"/>
  <c r="H60" i="32" s="1"/>
  <c r="E62" i="32"/>
  <c r="D61" i="32"/>
  <c r="G61" i="32" l="1"/>
  <c r="H61" i="32" s="1"/>
  <c r="J61" i="32"/>
  <c r="K61" i="32" s="1"/>
  <c r="E63" i="32"/>
  <c r="D62" i="32"/>
  <c r="J62" i="32" l="1"/>
  <c r="K62" i="32" s="1"/>
  <c r="G62" i="32"/>
  <c r="H62" i="32" s="1"/>
  <c r="E64" i="32"/>
  <c r="D63" i="32"/>
  <c r="G63" i="32" l="1"/>
  <c r="J63" i="32"/>
  <c r="K63" i="32" s="1"/>
  <c r="E65" i="32"/>
  <c r="D64" i="32"/>
  <c r="J64" i="32" l="1"/>
  <c r="K64" i="32" s="1"/>
  <c r="G64" i="32"/>
  <c r="H64" i="32" s="1"/>
  <c r="H63" i="32"/>
  <c r="E66" i="32"/>
  <c r="D65" i="32"/>
  <c r="G65" i="32" l="1"/>
  <c r="J65" i="32"/>
  <c r="K65" i="32" s="1"/>
  <c r="E67" i="32"/>
  <c r="D66" i="32"/>
  <c r="J66" i="32" l="1"/>
  <c r="K66" i="32" s="1"/>
  <c r="G66" i="32"/>
  <c r="H66" i="32" s="1"/>
  <c r="H65" i="32"/>
  <c r="E68" i="32"/>
  <c r="D67" i="32"/>
  <c r="G67" i="32" l="1"/>
  <c r="H67" i="32" s="1"/>
  <c r="J67" i="32"/>
  <c r="K67" i="32" s="1"/>
  <c r="E69" i="32"/>
  <c r="D68" i="32"/>
  <c r="J68" i="32" l="1"/>
  <c r="K68" i="32" s="1"/>
  <c r="G68" i="32"/>
  <c r="H68" i="32" s="1"/>
  <c r="E70" i="32"/>
  <c r="D69" i="32"/>
  <c r="G69" i="32" l="1"/>
  <c r="H69" i="32" s="1"/>
  <c r="J69" i="32"/>
  <c r="K69" i="32" s="1"/>
  <c r="E71" i="32"/>
  <c r="D70" i="32"/>
  <c r="J70" i="32" l="1"/>
  <c r="K70" i="32" s="1"/>
  <c r="G70" i="32"/>
  <c r="H70" i="32" s="1"/>
  <c r="E72" i="32"/>
  <c r="D71" i="32"/>
  <c r="G71" i="32" l="1"/>
  <c r="H71" i="32" s="1"/>
  <c r="J71" i="32"/>
  <c r="K71" i="32" s="1"/>
  <c r="E73" i="32"/>
  <c r="D72" i="32"/>
  <c r="G72" i="32" l="1"/>
  <c r="H72" i="32" s="1"/>
  <c r="J72" i="32"/>
  <c r="K72" i="32" s="1"/>
  <c r="E74" i="32"/>
  <c r="D73" i="32"/>
  <c r="J73" i="32" l="1"/>
  <c r="K73" i="32" s="1"/>
  <c r="G73" i="32"/>
  <c r="H73" i="32" s="1"/>
  <c r="E75" i="32"/>
  <c r="D74" i="32"/>
  <c r="G74" i="32" l="1"/>
  <c r="H74" i="32" s="1"/>
  <c r="J74" i="32"/>
  <c r="K74" i="32" s="1"/>
  <c r="E76" i="32"/>
  <c r="D75" i="32"/>
  <c r="J75" i="32" l="1"/>
  <c r="K75" i="32" s="1"/>
  <c r="G75" i="32"/>
  <c r="H75" i="32" s="1"/>
  <c r="E77" i="32"/>
  <c r="D76" i="32"/>
  <c r="G76" i="32" l="1"/>
  <c r="H76" i="32" s="1"/>
  <c r="J76" i="32"/>
  <c r="K76" i="32" s="1"/>
  <c r="E78" i="32"/>
  <c r="D77" i="32"/>
  <c r="J77" i="32" l="1"/>
  <c r="K77" i="32" s="1"/>
  <c r="G77" i="32"/>
  <c r="H77" i="32" s="1"/>
  <c r="E79" i="32"/>
  <c r="D78" i="32"/>
  <c r="G78" i="32" l="1"/>
  <c r="H78" i="32" s="1"/>
  <c r="J78" i="32"/>
  <c r="K78" i="32" s="1"/>
  <c r="E80" i="32"/>
  <c r="D79" i="32"/>
  <c r="J79" i="32" l="1"/>
  <c r="K79" i="32" s="1"/>
  <c r="G79" i="32"/>
  <c r="H79" i="32" s="1"/>
  <c r="E81" i="32"/>
  <c r="D80" i="32"/>
  <c r="J80" i="32" l="1"/>
  <c r="K80" i="32" s="1"/>
  <c r="G80" i="32"/>
  <c r="H80" i="32" s="1"/>
  <c r="E82" i="32"/>
  <c r="D81" i="32"/>
  <c r="G81" i="32" l="1"/>
  <c r="H81" i="32" s="1"/>
  <c r="J81" i="32"/>
  <c r="K81" i="32" s="1"/>
  <c r="E83" i="32"/>
  <c r="D82" i="32"/>
  <c r="J82" i="32" l="1"/>
  <c r="K82" i="32" s="1"/>
  <c r="G82" i="32"/>
  <c r="H82" i="32" s="1"/>
  <c r="E84" i="32"/>
  <c r="D83" i="32"/>
  <c r="G83" i="32" l="1"/>
  <c r="H83" i="32" s="1"/>
  <c r="J83" i="32"/>
  <c r="K83" i="32" s="1"/>
  <c r="D84" i="32"/>
  <c r="E85" i="32"/>
  <c r="J84" i="32" l="1"/>
  <c r="K84" i="32" s="1"/>
  <c r="G84" i="32"/>
  <c r="H84" i="32" s="1"/>
  <c r="D85" i="32"/>
  <c r="E86" i="32"/>
  <c r="G85" i="32" l="1"/>
  <c r="H85" i="32" s="1"/>
  <c r="J85" i="32"/>
  <c r="K85" i="32" s="1"/>
  <c r="D86" i="32"/>
  <c r="E87" i="32"/>
  <c r="J86" i="32" l="1"/>
  <c r="K86" i="32" s="1"/>
  <c r="G86" i="32"/>
  <c r="H86" i="32" s="1"/>
  <c r="D87" i="32"/>
  <c r="E88" i="32"/>
  <c r="D88" i="32" l="1"/>
  <c r="J88" i="32" s="1"/>
  <c r="K88" i="32" s="1"/>
  <c r="G87" i="32"/>
  <c r="H87" i="32" s="1"/>
  <c r="J87" i="32"/>
  <c r="K87" i="32" s="1"/>
  <c r="E89" i="32"/>
  <c r="D89" i="32" l="1"/>
  <c r="D90" i="32" s="1"/>
  <c r="G88" i="32"/>
  <c r="H88" i="32" s="1"/>
  <c r="J89" i="32"/>
  <c r="K89" i="32" s="1"/>
  <c r="G89" i="32"/>
  <c r="H89" i="32" s="1"/>
  <c r="E90" i="32"/>
  <c r="G90" i="32" l="1"/>
  <c r="H90" i="32" s="1"/>
  <c r="J90" i="32"/>
  <c r="K90" i="32" s="1"/>
  <c r="E91" i="32"/>
  <c r="D91" i="32"/>
  <c r="J91" i="32" l="1"/>
  <c r="K91" i="32" s="1"/>
  <c r="G91" i="32"/>
  <c r="H91" i="32" s="1"/>
  <c r="E92" i="32"/>
  <c r="D92" i="32"/>
  <c r="G92" i="32" l="1"/>
  <c r="H92" i="32" s="1"/>
  <c r="J92" i="32"/>
  <c r="K92" i="32" s="1"/>
  <c r="E93" i="32"/>
  <c r="D93" i="32"/>
  <c r="J93" i="32" l="1"/>
  <c r="K93" i="32" s="1"/>
  <c r="G93" i="32"/>
  <c r="I94" i="32"/>
  <c r="H93" i="32" l="1"/>
  <c r="H94" i="32" s="1"/>
  <c r="G94" i="32"/>
  <c r="J94" i="32"/>
  <c r="R7" i="25" l="1"/>
  <c r="S7" i="25"/>
  <c r="R8" i="25" l="1"/>
  <c r="S8" i="25"/>
  <c r="C13" i="35"/>
  <c r="D13" i="35" s="1"/>
  <c r="C12" i="35"/>
  <c r="D12" i="35" s="1"/>
  <c r="S9" i="25" l="1"/>
  <c r="R9" i="25"/>
  <c r="E13" i="35"/>
  <c r="F13" i="35"/>
  <c r="E12" i="35"/>
  <c r="F12" i="35"/>
  <c r="C14" i="35"/>
  <c r="D14" i="35" s="1"/>
  <c r="E14" i="35" l="1"/>
  <c r="F14" i="35"/>
  <c r="C20" i="35" l="1"/>
  <c r="D20" i="35" s="1"/>
  <c r="R22" i="25" l="1"/>
  <c r="S22" i="25"/>
  <c r="R26" i="25"/>
  <c r="S26" i="25"/>
  <c r="R14" i="25"/>
  <c r="S14" i="25"/>
  <c r="C19" i="35"/>
  <c r="D19" i="35" s="1"/>
  <c r="R20" i="25"/>
  <c r="S20" i="25"/>
  <c r="S13" i="25"/>
  <c r="R13" i="25"/>
  <c r="C18" i="35"/>
  <c r="D18" i="35" s="1"/>
  <c r="S39" i="25"/>
  <c r="R39" i="25"/>
  <c r="R32" i="25"/>
  <c r="S32" i="25"/>
  <c r="R36" i="25"/>
  <c r="S36" i="25"/>
  <c r="S23" i="25"/>
  <c r="R23" i="25"/>
  <c r="S35" i="25"/>
  <c r="R35" i="25"/>
  <c r="S17" i="25"/>
  <c r="R17" i="25"/>
  <c r="S27" i="25"/>
  <c r="R27" i="25"/>
  <c r="S29" i="25"/>
  <c r="R29" i="25"/>
  <c r="R34" i="25"/>
  <c r="S34" i="25"/>
  <c r="S21" i="25"/>
  <c r="R21" i="25"/>
  <c r="R10" i="25"/>
  <c r="S10" i="25"/>
  <c r="C15" i="35"/>
  <c r="D15" i="35" s="1"/>
  <c r="R24" i="25"/>
  <c r="S24" i="25"/>
  <c r="R18" i="25"/>
  <c r="S18" i="25"/>
  <c r="R31" i="25"/>
  <c r="S31" i="25"/>
  <c r="R19" i="25"/>
  <c r="S19" i="25"/>
  <c r="R12" i="25"/>
  <c r="S12" i="25"/>
  <c r="C17" i="35"/>
  <c r="D17" i="35" s="1"/>
  <c r="S37" i="25"/>
  <c r="R37" i="25"/>
  <c r="R15" i="25"/>
  <c r="S15" i="25"/>
  <c r="R40" i="25"/>
  <c r="S40" i="25"/>
  <c r="Q41" i="25"/>
  <c r="Q43" i="25" s="1"/>
  <c r="R38" i="25"/>
  <c r="S38" i="25"/>
  <c r="R30" i="25"/>
  <c r="S30" i="25"/>
  <c r="S33" i="25"/>
  <c r="R33" i="25"/>
  <c r="S25" i="25"/>
  <c r="R25" i="25"/>
  <c r="R28" i="25"/>
  <c r="S28" i="25"/>
  <c r="R11" i="25"/>
  <c r="S11" i="25"/>
  <c r="C16" i="35"/>
  <c r="D16" i="35" s="1"/>
  <c r="R16" i="25"/>
  <c r="S16" i="25"/>
  <c r="E20" i="35"/>
  <c r="F20" i="35"/>
  <c r="C21" i="35"/>
  <c r="D21" i="35" s="1"/>
  <c r="C11" i="35" l="1"/>
  <c r="S41" i="25"/>
  <c r="R41" i="25"/>
  <c r="E15" i="35"/>
  <c r="F15" i="35"/>
  <c r="F19" i="35"/>
  <c r="E19" i="35"/>
  <c r="E16" i="35"/>
  <c r="F16" i="35"/>
  <c r="E17" i="35"/>
  <c r="F17" i="35"/>
  <c r="E18" i="35"/>
  <c r="F18" i="35"/>
  <c r="E21" i="35"/>
  <c r="F21" i="35"/>
  <c r="C22" i="35"/>
  <c r="D22" i="35" s="1"/>
  <c r="E22" i="35" l="1"/>
  <c r="F22" i="35"/>
  <c r="C23" i="35"/>
  <c r="D23" i="35" s="1"/>
  <c r="E23" i="35" l="1"/>
  <c r="F23" i="35"/>
  <c r="C24" i="35"/>
  <c r="D24" i="35" s="1"/>
  <c r="E24" i="35" l="1"/>
  <c r="F24" i="35"/>
  <c r="C25" i="35"/>
  <c r="D25" i="35" s="1"/>
  <c r="E25" i="35" l="1"/>
  <c r="F25" i="35"/>
  <c r="C26" i="35"/>
  <c r="D26" i="35" s="1"/>
  <c r="E26" i="35" l="1"/>
  <c r="F26" i="35"/>
  <c r="C27" i="35"/>
  <c r="D27" i="35" s="1"/>
  <c r="E27" i="35" l="1"/>
  <c r="F27" i="35"/>
  <c r="C28" i="35"/>
  <c r="D28" i="35" s="1"/>
  <c r="F28" i="35" l="1"/>
  <c r="E28" i="35"/>
  <c r="C29" i="35"/>
  <c r="D29" i="35" s="1"/>
  <c r="E29" i="35" l="1"/>
  <c r="F29" i="35"/>
  <c r="C30" i="35"/>
  <c r="D30" i="35" s="1"/>
  <c r="F30" i="35" l="1"/>
  <c r="E30" i="35"/>
  <c r="C31" i="35"/>
  <c r="D31" i="35" s="1"/>
  <c r="E31" i="35" l="1"/>
  <c r="F31" i="35"/>
  <c r="C32" i="35"/>
  <c r="D32" i="35" s="1"/>
  <c r="F32" i="35" l="1"/>
  <c r="E32" i="35"/>
  <c r="C33" i="35"/>
  <c r="D33" i="35" s="1"/>
  <c r="E33" i="35" l="1"/>
  <c r="F33" i="35"/>
  <c r="C34" i="35"/>
  <c r="D34" i="35" s="1"/>
  <c r="F34" i="35" l="1"/>
  <c r="E34" i="35"/>
  <c r="C35" i="35"/>
  <c r="D35" i="35" s="1"/>
  <c r="C36" i="35" l="1"/>
  <c r="D36" i="35" s="1"/>
  <c r="E35" i="35"/>
  <c r="F35" i="35"/>
  <c r="C37" i="35" l="1"/>
  <c r="D37" i="35" s="1"/>
  <c r="F36" i="35"/>
  <c r="E36" i="35"/>
  <c r="C38" i="35" l="1"/>
  <c r="D38" i="35" s="1"/>
  <c r="E37" i="35"/>
  <c r="F37" i="35"/>
  <c r="C39" i="35" l="1"/>
  <c r="D39" i="35" s="1"/>
  <c r="F38" i="35"/>
  <c r="E38" i="35"/>
  <c r="C40" i="35" l="1"/>
  <c r="F39" i="35"/>
  <c r="E39" i="35"/>
  <c r="C41" i="35" l="1"/>
  <c r="D41" i="35" s="1"/>
  <c r="D40" i="35"/>
  <c r="D11" i="35"/>
  <c r="F41" i="35" l="1"/>
  <c r="E41" i="35"/>
  <c r="F40" i="35"/>
  <c r="E40" i="35"/>
  <c r="C42" i="35"/>
  <c r="D42" i="35" s="1"/>
  <c r="E11" i="35"/>
  <c r="F11" i="35"/>
  <c r="F42" i="35" l="1"/>
  <c r="E42" i="35"/>
  <c r="C43" i="35"/>
  <c r="C44" i="35" l="1"/>
  <c r="D44" i="35" s="1"/>
  <c r="D43" i="35"/>
  <c r="C45" i="35"/>
  <c r="D45" i="35" s="1"/>
  <c r="E45" i="35" l="1"/>
  <c r="F45" i="35"/>
  <c r="C46" i="35"/>
  <c r="E43" i="35"/>
  <c r="F43" i="35"/>
  <c r="D46" i="35"/>
  <c r="F44" i="35"/>
  <c r="E44" i="35"/>
  <c r="E46" i="35" l="1"/>
  <c r="D8" i="39" s="1"/>
  <c r="C5" i="35"/>
  <c r="C8" i="39"/>
  <c r="F46" i="35"/>
  <c r="C12" i="39" l="1"/>
  <c r="E8" i="39"/>
  <c r="D5" i="35"/>
  <c r="E12" i="39" l="1"/>
  <c r="K94" i="32"/>
  <c r="C11" i="24" l="1"/>
  <c r="C13" i="24" l="1"/>
  <c r="X6" i="25" s="1"/>
  <c r="L59" i="32"/>
  <c r="M59" i="32"/>
  <c r="M60" i="32"/>
  <c r="L60" i="32"/>
  <c r="M61" i="32"/>
  <c r="L61" i="32"/>
  <c r="M62" i="32"/>
  <c r="L62" i="32"/>
  <c r="M63" i="32"/>
  <c r="L63" i="32"/>
  <c r="M64" i="32"/>
  <c r="L64" i="32"/>
  <c r="L65" i="32"/>
  <c r="M65" i="32"/>
  <c r="M66" i="32"/>
  <c r="L66" i="32"/>
  <c r="L67" i="32"/>
  <c r="M67" i="32"/>
  <c r="M68" i="32"/>
  <c r="L68" i="32"/>
  <c r="L69" i="32"/>
  <c r="M69" i="32"/>
  <c r="M70" i="32"/>
  <c r="L70" i="32"/>
  <c r="M71" i="32"/>
  <c r="L71" i="32"/>
  <c r="L72" i="32"/>
  <c r="M72" i="32"/>
  <c r="M73" i="32"/>
  <c r="L73" i="32"/>
  <c r="M74" i="32"/>
  <c r="L74" i="32"/>
  <c r="M75" i="32"/>
  <c r="L75" i="32"/>
  <c r="M76" i="32"/>
  <c r="L76" i="32"/>
  <c r="L77" i="32"/>
  <c r="M77" i="32"/>
  <c r="M78" i="32"/>
  <c r="L78" i="32"/>
  <c r="L79" i="32"/>
  <c r="M79" i="32"/>
  <c r="M80" i="32"/>
  <c r="L80" i="32"/>
  <c r="L81" i="32"/>
  <c r="M81" i="32"/>
  <c r="L82" i="32"/>
  <c r="M82" i="32"/>
  <c r="L83" i="32"/>
  <c r="M83" i="32"/>
  <c r="L84" i="32"/>
  <c r="M84" i="32"/>
  <c r="M85" i="32"/>
  <c r="L85" i="32"/>
  <c r="L86" i="32"/>
  <c r="M86" i="32"/>
  <c r="M87" i="32"/>
  <c r="L87" i="32"/>
  <c r="L89" i="32"/>
  <c r="M89" i="32"/>
  <c r="M88" i="32"/>
  <c r="L88" i="32"/>
  <c r="L90" i="32"/>
  <c r="M90" i="32"/>
  <c r="M91" i="32"/>
  <c r="L91" i="32"/>
  <c r="M92" i="32"/>
  <c r="L92" i="32"/>
  <c r="M93" i="32"/>
  <c r="L93" i="32"/>
  <c r="N62" i="47" l="1"/>
  <c r="N61" i="47"/>
  <c r="N64" i="47"/>
  <c r="N63" i="47"/>
  <c r="N65" i="47"/>
  <c r="N67" i="47"/>
  <c r="N70" i="47"/>
  <c r="N69" i="47"/>
  <c r="N72" i="47"/>
  <c r="N73" i="47"/>
  <c r="N71" i="47"/>
  <c r="N74" i="47"/>
  <c r="N75" i="47"/>
  <c r="N76" i="47"/>
  <c r="N77" i="47"/>
  <c r="N78" i="47"/>
  <c r="N79" i="47"/>
  <c r="N80" i="47"/>
  <c r="N81" i="47"/>
  <c r="N82" i="47"/>
  <c r="N83" i="47"/>
  <c r="N84" i="47"/>
  <c r="N85" i="47"/>
  <c r="N86" i="47"/>
  <c r="N87" i="47"/>
  <c r="N88" i="47"/>
  <c r="N89" i="47"/>
  <c r="N90" i="47"/>
  <c r="N91" i="47"/>
  <c r="N92" i="47"/>
  <c r="N93" i="47"/>
  <c r="N66" i="47"/>
  <c r="N60" i="47"/>
  <c r="N68" i="47"/>
  <c r="N59" i="47"/>
  <c r="W6" i="45"/>
  <c r="M11" i="35" s="1"/>
  <c r="W7" i="45"/>
  <c r="M12" i="35" s="1"/>
  <c r="W8" i="45"/>
  <c r="M13" i="35" s="1"/>
  <c r="W9" i="45"/>
  <c r="M14" i="35" s="1"/>
  <c r="W10" i="45"/>
  <c r="M15" i="35" s="1"/>
  <c r="W11" i="45"/>
  <c r="M16" i="35" s="1"/>
  <c r="W12" i="45"/>
  <c r="M17" i="35" s="1"/>
  <c r="W13" i="45"/>
  <c r="M18" i="35" s="1"/>
  <c r="W14" i="45"/>
  <c r="M19" i="35" s="1"/>
  <c r="W15" i="45"/>
  <c r="M20" i="35" s="1"/>
  <c r="W16" i="45"/>
  <c r="M21" i="35" s="1"/>
  <c r="W19" i="45"/>
  <c r="M24" i="35" s="1"/>
  <c r="W17" i="45"/>
  <c r="M22" i="35" s="1"/>
  <c r="W18" i="45"/>
  <c r="M23" i="35" s="1"/>
  <c r="W20" i="45"/>
  <c r="M25" i="35" s="1"/>
  <c r="W21" i="45"/>
  <c r="M26" i="35" s="1"/>
  <c r="W22" i="45"/>
  <c r="M27" i="35" s="1"/>
  <c r="W23" i="45"/>
  <c r="M28" i="35" s="1"/>
  <c r="W24" i="45"/>
  <c r="M29" i="35" s="1"/>
  <c r="W25" i="45"/>
  <c r="M30" i="35" s="1"/>
  <c r="W26" i="45"/>
  <c r="M31" i="35" s="1"/>
  <c r="W27" i="45"/>
  <c r="M32" i="35" s="1"/>
  <c r="W28" i="45"/>
  <c r="M33" i="35" s="1"/>
  <c r="W29" i="45"/>
  <c r="M34" i="35" s="1"/>
  <c r="W30" i="45"/>
  <c r="M35" i="35" s="1"/>
  <c r="W31" i="45"/>
  <c r="M36" i="35" s="1"/>
  <c r="W32" i="45"/>
  <c r="M37" i="35" s="1"/>
  <c r="W33" i="45"/>
  <c r="M38" i="35" s="1"/>
  <c r="W34" i="45"/>
  <c r="M39" i="35" s="1"/>
  <c r="W35" i="45"/>
  <c r="M40" i="35" s="1"/>
  <c r="W36" i="45"/>
  <c r="M41" i="35" s="1"/>
  <c r="W37" i="45"/>
  <c r="M42" i="35" s="1"/>
  <c r="W38" i="45"/>
  <c r="M43" i="35" s="1"/>
  <c r="W39" i="45"/>
  <c r="M44" i="35" s="1"/>
  <c r="W40" i="45"/>
  <c r="M45" i="35" s="1"/>
  <c r="N72" i="32"/>
  <c r="K24" i="35" s="1"/>
  <c r="N62" i="32"/>
  <c r="K14" i="35" s="1"/>
  <c r="N92" i="32"/>
  <c r="O92" i="32" s="1"/>
  <c r="N64" i="32"/>
  <c r="P64" i="32" s="1"/>
  <c r="N74" i="32"/>
  <c r="P74" i="32" s="1"/>
  <c r="N76" i="32"/>
  <c r="O76" i="32" s="1"/>
  <c r="N71" i="32"/>
  <c r="O71" i="32" s="1"/>
  <c r="N85" i="32"/>
  <c r="O85" i="32" s="1"/>
  <c r="N79" i="32"/>
  <c r="O79" i="32" s="1"/>
  <c r="N93" i="32"/>
  <c r="K45" i="35" s="1"/>
  <c r="N80" i="32"/>
  <c r="O80" i="32" s="1"/>
  <c r="N89" i="32"/>
  <c r="P89" i="32" s="1"/>
  <c r="N81" i="32"/>
  <c r="P81" i="32" s="1"/>
  <c r="N73" i="32"/>
  <c r="O73" i="32" s="1"/>
  <c r="N68" i="32"/>
  <c r="K20" i="35" s="1"/>
  <c r="N84" i="32"/>
  <c r="K36" i="35" s="1"/>
  <c r="N78" i="32"/>
  <c r="O78" i="32" s="1"/>
  <c r="N87" i="32"/>
  <c r="K39" i="35" s="1"/>
  <c r="N63" i="32"/>
  <c r="P63" i="32" s="1"/>
  <c r="N75" i="32"/>
  <c r="O75" i="32" s="1"/>
  <c r="N65" i="32"/>
  <c r="K17" i="35" s="1"/>
  <c r="N91" i="32"/>
  <c r="N83" i="32"/>
  <c r="N77" i="32"/>
  <c r="N67" i="32"/>
  <c r="N61" i="32"/>
  <c r="N90" i="32"/>
  <c r="N86" i="32"/>
  <c r="N82" i="32"/>
  <c r="N70" i="32"/>
  <c r="N59" i="32"/>
  <c r="L94" i="32"/>
  <c r="M94" i="32"/>
  <c r="N88" i="32"/>
  <c r="N69" i="32"/>
  <c r="N66" i="32"/>
  <c r="N60" i="32"/>
  <c r="Z6" i="25"/>
  <c r="Y6" i="25"/>
  <c r="L38" i="35" l="1"/>
  <c r="O86" i="47"/>
  <c r="P86" i="47"/>
  <c r="L30" i="35"/>
  <c r="O78" i="47"/>
  <c r="P78" i="47"/>
  <c r="L21" i="35"/>
  <c r="O69" i="47"/>
  <c r="P69" i="47"/>
  <c r="P62" i="32"/>
  <c r="L11" i="35"/>
  <c r="P59" i="47"/>
  <c r="O59" i="47"/>
  <c r="N94" i="47"/>
  <c r="C4" i="39" s="1"/>
  <c r="L45" i="35"/>
  <c r="O93" i="47"/>
  <c r="P93" i="47"/>
  <c r="L41" i="35"/>
  <c r="P89" i="47"/>
  <c r="O89" i="47"/>
  <c r="L37" i="35"/>
  <c r="O85" i="47"/>
  <c r="P85" i="47"/>
  <c r="L33" i="35"/>
  <c r="P81" i="47"/>
  <c r="O81" i="47"/>
  <c r="L29" i="35"/>
  <c r="P77" i="47"/>
  <c r="O77" i="47"/>
  <c r="L23" i="35"/>
  <c r="P71" i="47"/>
  <c r="O71" i="47"/>
  <c r="O70" i="47"/>
  <c r="P70" i="47"/>
  <c r="L22" i="35"/>
  <c r="O64" i="47"/>
  <c r="L16" i="35"/>
  <c r="P64" i="47"/>
  <c r="L18" i="35"/>
  <c r="P66" i="47"/>
  <c r="O66" i="47"/>
  <c r="L34" i="35"/>
  <c r="O82" i="47"/>
  <c r="P82" i="47"/>
  <c r="L26" i="35"/>
  <c r="O74" i="47"/>
  <c r="P74" i="47"/>
  <c r="L15" i="35"/>
  <c r="O63" i="47"/>
  <c r="P63" i="47"/>
  <c r="O62" i="32"/>
  <c r="L20" i="35"/>
  <c r="P68" i="47"/>
  <c r="O68" i="47"/>
  <c r="L44" i="35"/>
  <c r="P92" i="47"/>
  <c r="O92" i="47"/>
  <c r="L40" i="35"/>
  <c r="O88" i="47"/>
  <c r="P88" i="47"/>
  <c r="L36" i="35"/>
  <c r="P84" i="47"/>
  <c r="O84" i="47"/>
  <c r="L32" i="35"/>
  <c r="P80" i="47"/>
  <c r="O80" i="47"/>
  <c r="L28" i="35"/>
  <c r="P76" i="47"/>
  <c r="O76" i="47"/>
  <c r="L25" i="35"/>
  <c r="P73" i="47"/>
  <c r="O73" i="47"/>
  <c r="O67" i="47"/>
  <c r="P67" i="47"/>
  <c r="L19" i="35"/>
  <c r="O61" i="47"/>
  <c r="L13" i="35"/>
  <c r="P61" i="47"/>
  <c r="L42" i="35"/>
  <c r="O90" i="47"/>
  <c r="P90" i="47"/>
  <c r="L12" i="35"/>
  <c r="P60" i="47"/>
  <c r="O60" i="47"/>
  <c r="L43" i="35"/>
  <c r="O91" i="47"/>
  <c r="P91" i="47"/>
  <c r="L39" i="35"/>
  <c r="P87" i="47"/>
  <c r="O87" i="47"/>
  <c r="L35" i="35"/>
  <c r="O83" i="47"/>
  <c r="P83" i="47"/>
  <c r="L31" i="35"/>
  <c r="P79" i="47"/>
  <c r="O79" i="47"/>
  <c r="L27" i="35"/>
  <c r="P75" i="47"/>
  <c r="O75" i="47"/>
  <c r="L24" i="35"/>
  <c r="P72" i="47"/>
  <c r="O72" i="47"/>
  <c r="L17" i="35"/>
  <c r="O65" i="47"/>
  <c r="P65" i="47"/>
  <c r="L14" i="35"/>
  <c r="P62" i="47"/>
  <c r="O62" i="47"/>
  <c r="O72" i="32"/>
  <c r="O64" i="32"/>
  <c r="K44" i="35"/>
  <c r="W41" i="45"/>
  <c r="C5" i="39" s="1"/>
  <c r="P92" i="32"/>
  <c r="Y39" i="45"/>
  <c r="X39" i="45"/>
  <c r="X37" i="45"/>
  <c r="Y37" i="45"/>
  <c r="X33" i="45"/>
  <c r="Y33" i="45"/>
  <c r="X29" i="45"/>
  <c r="Y29" i="45"/>
  <c r="Y25" i="45"/>
  <c r="X25" i="45"/>
  <c r="X23" i="45"/>
  <c r="Y23" i="45"/>
  <c r="Y18" i="45"/>
  <c r="X18" i="45"/>
  <c r="X16" i="45"/>
  <c r="Y16" i="45"/>
  <c r="Y10" i="45"/>
  <c r="X10" i="45"/>
  <c r="X8" i="45"/>
  <c r="Y8" i="45"/>
  <c r="Y6" i="45"/>
  <c r="X6" i="45"/>
  <c r="X35" i="45"/>
  <c r="Y35" i="45"/>
  <c r="X31" i="45"/>
  <c r="Y31" i="45"/>
  <c r="Y27" i="45"/>
  <c r="X27" i="45"/>
  <c r="X21" i="45"/>
  <c r="Y21" i="45"/>
  <c r="X17" i="45"/>
  <c r="Y17" i="45"/>
  <c r="X14" i="45"/>
  <c r="Y14" i="45"/>
  <c r="X12" i="45"/>
  <c r="Y12" i="45"/>
  <c r="Y40" i="45"/>
  <c r="X40" i="45"/>
  <c r="X38" i="45"/>
  <c r="Y38" i="45"/>
  <c r="Y36" i="45"/>
  <c r="X36" i="45"/>
  <c r="Y34" i="45"/>
  <c r="X34" i="45"/>
  <c r="X32" i="45"/>
  <c r="Y32" i="45"/>
  <c r="Y28" i="45"/>
  <c r="X28" i="45"/>
  <c r="Y26" i="45"/>
  <c r="X26" i="45"/>
  <c r="X24" i="45"/>
  <c r="Y24" i="45"/>
  <c r="X22" i="45"/>
  <c r="Y22" i="45"/>
  <c r="X19" i="45"/>
  <c r="Y19" i="45"/>
  <c r="X15" i="45"/>
  <c r="Y15" i="45"/>
  <c r="Y11" i="45"/>
  <c r="X11" i="45"/>
  <c r="Y30" i="45"/>
  <c r="X30" i="45"/>
  <c r="Y20" i="45"/>
  <c r="X20" i="45"/>
  <c r="Y13" i="45"/>
  <c r="X13" i="45"/>
  <c r="X9" i="45"/>
  <c r="Y9" i="45"/>
  <c r="X7" i="45"/>
  <c r="Y7" i="45"/>
  <c r="P72" i="32"/>
  <c r="J11" i="35"/>
  <c r="K16" i="35"/>
  <c r="K26" i="35"/>
  <c r="O74" i="32"/>
  <c r="K31" i="35"/>
  <c r="K28" i="35"/>
  <c r="P71" i="32"/>
  <c r="K41" i="35"/>
  <c r="O84" i="32"/>
  <c r="O89" i="32"/>
  <c r="P85" i="32"/>
  <c r="P76" i="32"/>
  <c r="K23" i="35"/>
  <c r="P79" i="32"/>
  <c r="K33" i="35"/>
  <c r="P75" i="32"/>
  <c r="K37" i="35"/>
  <c r="P93" i="32"/>
  <c r="P73" i="32"/>
  <c r="O93" i="32"/>
  <c r="O65" i="32"/>
  <c r="O81" i="32"/>
  <c r="K30" i="35"/>
  <c r="P65" i="32"/>
  <c r="K32" i="35"/>
  <c r="P80" i="32"/>
  <c r="O63" i="32"/>
  <c r="O68" i="32"/>
  <c r="P78" i="32"/>
  <c r="K25" i="35"/>
  <c r="O87" i="32"/>
  <c r="P84" i="32"/>
  <c r="P68" i="32"/>
  <c r="K27" i="35"/>
  <c r="K15" i="35"/>
  <c r="P87" i="32"/>
  <c r="M46" i="35"/>
  <c r="K42" i="35"/>
  <c r="O90" i="32"/>
  <c r="P90" i="32"/>
  <c r="K18" i="35"/>
  <c r="P66" i="32"/>
  <c r="O66" i="32"/>
  <c r="K22" i="35"/>
  <c r="O70" i="32"/>
  <c r="P70" i="32"/>
  <c r="K21" i="35"/>
  <c r="O69" i="32"/>
  <c r="P69" i="32"/>
  <c r="K34" i="35"/>
  <c r="P82" i="32"/>
  <c r="O82" i="32"/>
  <c r="K19" i="35"/>
  <c r="O67" i="32"/>
  <c r="P67" i="32"/>
  <c r="K12" i="35"/>
  <c r="P60" i="32"/>
  <c r="O60" i="32"/>
  <c r="O83" i="32"/>
  <c r="K35" i="35"/>
  <c r="P83" i="32"/>
  <c r="K40" i="35"/>
  <c r="P88" i="32"/>
  <c r="O88" i="32"/>
  <c r="K13" i="35"/>
  <c r="P61" i="32"/>
  <c r="O61" i="32"/>
  <c r="K43" i="35"/>
  <c r="P91" i="32"/>
  <c r="O91" i="32"/>
  <c r="K11" i="35"/>
  <c r="O59" i="32"/>
  <c r="P59" i="32"/>
  <c r="N94" i="32"/>
  <c r="C3" i="39" s="1"/>
  <c r="O86" i="32"/>
  <c r="P86" i="32"/>
  <c r="K38" i="35"/>
  <c r="K29" i="35"/>
  <c r="O77" i="32"/>
  <c r="P77" i="32"/>
  <c r="O94" i="47" l="1"/>
  <c r="D4" i="39" s="1"/>
  <c r="L46" i="35"/>
  <c r="P94" i="47"/>
  <c r="E4" i="39" s="1"/>
  <c r="X41" i="45"/>
  <c r="D5" i="39" s="1"/>
  <c r="Y41" i="45"/>
  <c r="E5" i="39" s="1"/>
  <c r="P94" i="32"/>
  <c r="E3" i="39" s="1"/>
  <c r="O94" i="32"/>
  <c r="D3" i="39" s="1"/>
  <c r="K46" i="35"/>
  <c r="N11" i="35"/>
  <c r="P11" i="35" l="1"/>
  <c r="O11" i="35"/>
  <c r="P7" i="25" l="1"/>
  <c r="P8" i="25" s="1"/>
  <c r="P9" i="25" s="1"/>
  <c r="P10" i="25" s="1"/>
  <c r="P11" i="25" s="1"/>
  <c r="P12" i="25" s="1"/>
  <c r="P13" i="25" s="1"/>
  <c r="P14" i="25" s="1"/>
  <c r="P15" i="25" s="1"/>
  <c r="P16" i="25" s="1"/>
  <c r="P17" i="25" s="1"/>
  <c r="P18" i="25" s="1"/>
  <c r="P19" i="25" s="1"/>
  <c r="P20" i="25" s="1"/>
  <c r="P21" i="25" s="1"/>
  <c r="P22" i="25" s="1"/>
  <c r="P23" i="25" s="1"/>
  <c r="P24" i="25" s="1"/>
  <c r="P25" i="25" s="1"/>
  <c r="P26" i="25" s="1"/>
  <c r="P27" i="25" s="1"/>
  <c r="P28" i="25" s="1"/>
  <c r="P29" i="25" s="1"/>
  <c r="P30" i="25" s="1"/>
  <c r="P31" i="25" s="1"/>
  <c r="P32" i="25" s="1"/>
  <c r="P33" i="25" s="1"/>
  <c r="P34" i="25" s="1"/>
  <c r="P35" i="25" s="1"/>
  <c r="P36" i="25" s="1"/>
  <c r="P37" i="25" s="1"/>
  <c r="P38" i="25" s="1"/>
  <c r="P39" i="25" s="1"/>
  <c r="P40" i="25" s="1"/>
  <c r="V7" i="25"/>
  <c r="V8" i="25" s="1"/>
  <c r="V9" i="25" s="1"/>
  <c r="V10" i="25" s="1"/>
  <c r="V11" i="25" s="1"/>
  <c r="V12" i="25" s="1"/>
  <c r="V13" i="25" s="1"/>
  <c r="V14" i="25" s="1"/>
  <c r="V15" i="25" s="1"/>
  <c r="V16" i="25" s="1"/>
  <c r="V17" i="25" s="1"/>
  <c r="V18" i="25" s="1"/>
  <c r="V19" i="25" s="1"/>
  <c r="V20" i="25" s="1"/>
  <c r="V21" i="25" s="1"/>
  <c r="V22" i="25" s="1"/>
  <c r="V23" i="25" s="1"/>
  <c r="V24" i="25" s="1"/>
  <c r="V25" i="25" s="1"/>
  <c r="V26" i="25" s="1"/>
  <c r="V27" i="25" s="1"/>
  <c r="V28" i="25" s="1"/>
  <c r="V29" i="25" s="1"/>
  <c r="V30" i="25" s="1"/>
  <c r="V31" i="25" s="1"/>
  <c r="V32" i="25" s="1"/>
  <c r="V33" i="25" s="1"/>
  <c r="V34" i="25" s="1"/>
  <c r="V35" i="25" s="1"/>
  <c r="V36" i="25" s="1"/>
  <c r="V37" i="25" s="1"/>
  <c r="V38" i="25" s="1"/>
  <c r="V39" i="25" s="1"/>
  <c r="V40" i="25" s="1"/>
  <c r="U7" i="25"/>
  <c r="X7" i="25" l="1"/>
  <c r="U8" i="25"/>
  <c r="X8" i="25" l="1"/>
  <c r="U9" i="25"/>
  <c r="J12" i="35"/>
  <c r="Z7" i="25"/>
  <c r="Y7" i="25"/>
  <c r="Y8" i="25" l="1"/>
  <c r="J13" i="35"/>
  <c r="N13" i="35" s="1"/>
  <c r="Z8" i="25"/>
  <c r="N12" i="35"/>
  <c r="X9" i="25"/>
  <c r="U10" i="25"/>
  <c r="Y9" i="25" l="1"/>
  <c r="Z9" i="25"/>
  <c r="J14" i="35"/>
  <c r="X10" i="25"/>
  <c r="U11" i="25"/>
  <c r="P12" i="35"/>
  <c r="O12" i="35"/>
  <c r="P13" i="35"/>
  <c r="O13" i="35"/>
  <c r="J15" i="35" l="1"/>
  <c r="N15" i="35" s="1"/>
  <c r="Z10" i="25"/>
  <c r="Y10" i="25"/>
  <c r="U12" i="25"/>
  <c r="X11" i="25"/>
  <c r="N14" i="35"/>
  <c r="J16" i="35" l="1"/>
  <c r="Z11" i="25"/>
  <c r="Y11" i="25"/>
  <c r="U13" i="25"/>
  <c r="O14" i="35"/>
  <c r="P14" i="35"/>
  <c r="P15" i="35"/>
  <c r="O15" i="35"/>
  <c r="N16" i="35" l="1"/>
  <c r="X12" i="25"/>
  <c r="X13" i="25"/>
  <c r="U14" i="25"/>
  <c r="Y13" i="25" l="1"/>
  <c r="J18" i="35"/>
  <c r="N18" i="35" s="1"/>
  <c r="Z13" i="25"/>
  <c r="Y12" i="25"/>
  <c r="J17" i="35"/>
  <c r="Z12" i="25"/>
  <c r="X14" i="25"/>
  <c r="U15" i="25"/>
  <c r="P16" i="35"/>
  <c r="O16" i="35"/>
  <c r="J19" i="35" l="1"/>
  <c r="N19" i="35" s="1"/>
  <c r="Z14" i="25"/>
  <c r="Y14" i="25"/>
  <c r="X15" i="25"/>
  <c r="U16" i="25"/>
  <c r="O18" i="35"/>
  <c r="P18" i="35"/>
  <c r="N17" i="35"/>
  <c r="X16" i="25" l="1"/>
  <c r="U17" i="25"/>
  <c r="W17" i="25" s="1"/>
  <c r="J20" i="35"/>
  <c r="Z15" i="25"/>
  <c r="Y15" i="25"/>
  <c r="P17" i="35"/>
  <c r="O17" i="35"/>
  <c r="P19" i="35"/>
  <c r="O19" i="35"/>
  <c r="N20" i="35" l="1"/>
  <c r="Y16" i="25"/>
  <c r="Z16" i="25"/>
  <c r="J21" i="35"/>
  <c r="N21" i="35" s="1"/>
  <c r="X17" i="25"/>
  <c r="U18" i="25"/>
  <c r="Y17" i="25" l="1"/>
  <c r="Z17" i="25"/>
  <c r="J22" i="35"/>
  <c r="N22" i="35" s="1"/>
  <c r="U19" i="25"/>
  <c r="X18" i="25"/>
  <c r="P21" i="35"/>
  <c r="O21" i="35"/>
  <c r="P20" i="35"/>
  <c r="O20" i="35"/>
  <c r="J23" i="35" l="1"/>
  <c r="N23" i="35" s="1"/>
  <c r="Z18" i="25"/>
  <c r="Y18" i="25"/>
  <c r="U20" i="25"/>
  <c r="X19" i="25"/>
  <c r="O22" i="35"/>
  <c r="P22" i="35"/>
  <c r="J24" i="35" l="1"/>
  <c r="N24" i="35" s="1"/>
  <c r="Z19" i="25"/>
  <c r="Y19" i="25"/>
  <c r="U21" i="25"/>
  <c r="X20" i="25"/>
  <c r="P23" i="35"/>
  <c r="O23" i="35"/>
  <c r="X21" i="25" l="1"/>
  <c r="U22" i="25"/>
  <c r="J25" i="35"/>
  <c r="N25" i="35" s="1"/>
  <c r="Y20" i="25"/>
  <c r="Z20" i="25"/>
  <c r="P24" i="35"/>
  <c r="O24" i="35"/>
  <c r="O25" i="35" l="1"/>
  <c r="P25" i="35"/>
  <c r="U23" i="25"/>
  <c r="X22" i="25"/>
  <c r="J26" i="35"/>
  <c r="N26" i="35" s="1"/>
  <c r="Y21" i="25"/>
  <c r="Z21" i="25"/>
  <c r="U24" i="25" l="1"/>
  <c r="X23" i="25"/>
  <c r="O26" i="35"/>
  <c r="P26" i="35"/>
  <c r="J27" i="35"/>
  <c r="N27" i="35" s="1"/>
  <c r="Z22" i="25"/>
  <c r="Y22" i="25"/>
  <c r="J28" i="35" l="1"/>
  <c r="N28" i="35" s="1"/>
  <c r="Z23" i="25"/>
  <c r="Y23" i="25"/>
  <c r="P27" i="35"/>
  <c r="O27" i="35"/>
  <c r="U25" i="25"/>
  <c r="X24" i="25"/>
  <c r="J29" i="35" l="1"/>
  <c r="N29" i="35" s="1"/>
  <c r="Y24" i="25"/>
  <c r="Z24" i="25"/>
  <c r="X25" i="25"/>
  <c r="U26" i="25"/>
  <c r="P28" i="35"/>
  <c r="O28" i="35"/>
  <c r="U27" i="25" l="1"/>
  <c r="X26" i="25"/>
  <c r="J30" i="35"/>
  <c r="N30" i="35" s="1"/>
  <c r="Y25" i="25"/>
  <c r="Z25" i="25"/>
  <c r="P29" i="35"/>
  <c r="O29" i="35"/>
  <c r="O30" i="35" l="1"/>
  <c r="P30" i="35"/>
  <c r="J31" i="35"/>
  <c r="N31" i="35" s="1"/>
  <c r="Z26" i="25"/>
  <c r="Y26" i="25"/>
  <c r="U28" i="25"/>
  <c r="X27" i="25"/>
  <c r="J32" i="35" l="1"/>
  <c r="N32" i="35" s="1"/>
  <c r="Z27" i="25"/>
  <c r="Y27" i="25"/>
  <c r="U29" i="25"/>
  <c r="X28" i="25"/>
  <c r="P31" i="35"/>
  <c r="O31" i="35"/>
  <c r="X29" i="25" l="1"/>
  <c r="U30" i="25"/>
  <c r="J33" i="35"/>
  <c r="N33" i="35" s="1"/>
  <c r="Y28" i="25"/>
  <c r="Z28" i="25"/>
  <c r="P32" i="35"/>
  <c r="O32" i="35"/>
  <c r="P33" i="35" l="1"/>
  <c r="O33" i="35"/>
  <c r="J34" i="35"/>
  <c r="N34" i="35" s="1"/>
  <c r="Y29" i="25"/>
  <c r="Z29" i="25"/>
  <c r="U31" i="25"/>
  <c r="X30" i="25"/>
  <c r="J35" i="35" l="1"/>
  <c r="N35" i="35" s="1"/>
  <c r="Z30" i="25"/>
  <c r="Y30" i="25"/>
  <c r="U32" i="25"/>
  <c r="X31" i="25"/>
  <c r="O34" i="35"/>
  <c r="P34" i="35"/>
  <c r="U33" i="25" l="1"/>
  <c r="X32" i="25"/>
  <c r="J36" i="35"/>
  <c r="N36" i="35" s="1"/>
  <c r="Z31" i="25"/>
  <c r="Y31" i="25"/>
  <c r="P35" i="35"/>
  <c r="O35" i="35"/>
  <c r="J37" i="35" l="1"/>
  <c r="N37" i="35" s="1"/>
  <c r="Y32" i="25"/>
  <c r="Z32" i="25"/>
  <c r="P36" i="35"/>
  <c r="O36" i="35"/>
  <c r="X33" i="25"/>
  <c r="U34" i="25"/>
  <c r="U35" i="25" l="1"/>
  <c r="X34" i="25"/>
  <c r="J38" i="35"/>
  <c r="N38" i="35" s="1"/>
  <c r="Y33" i="25"/>
  <c r="Z33" i="25"/>
  <c r="P37" i="35"/>
  <c r="O37" i="35"/>
  <c r="O38" i="35" l="1"/>
  <c r="P38" i="35"/>
  <c r="J39" i="35"/>
  <c r="N39" i="35" s="1"/>
  <c r="Z34" i="25"/>
  <c r="Y34" i="25"/>
  <c r="U36" i="25"/>
  <c r="X35" i="25"/>
  <c r="J40" i="35" l="1"/>
  <c r="N40" i="35" s="1"/>
  <c r="Z35" i="25"/>
  <c r="Y35" i="25"/>
  <c r="U37" i="25"/>
  <c r="X36" i="25"/>
  <c r="P39" i="35"/>
  <c r="O39" i="35"/>
  <c r="X37" i="25" l="1"/>
  <c r="U38" i="25"/>
  <c r="J41" i="35"/>
  <c r="N41" i="35" s="1"/>
  <c r="Y36" i="25"/>
  <c r="Z36" i="25"/>
  <c r="P40" i="35"/>
  <c r="O40" i="35"/>
  <c r="O41" i="35" l="1"/>
  <c r="P41" i="35"/>
  <c r="U39" i="25"/>
  <c r="X38" i="25"/>
  <c r="J42" i="35"/>
  <c r="N42" i="35" s="1"/>
  <c r="Y37" i="25"/>
  <c r="Z37" i="25"/>
  <c r="U40" i="25" l="1"/>
  <c r="X39" i="25"/>
  <c r="O42" i="35"/>
  <c r="P42" i="35"/>
  <c r="J43" i="35"/>
  <c r="N43" i="35" s="1"/>
  <c r="Z38" i="25"/>
  <c r="Y38" i="25"/>
  <c r="J44" i="35" l="1"/>
  <c r="N44" i="35" s="1"/>
  <c r="Z39" i="25"/>
  <c r="Y39" i="25"/>
  <c r="P43" i="35"/>
  <c r="O43" i="35"/>
  <c r="X40" i="25"/>
  <c r="J45" i="35" l="1"/>
  <c r="Y40" i="25"/>
  <c r="Y41" i="25" s="1"/>
  <c r="D2" i="39" s="1"/>
  <c r="Z40" i="25"/>
  <c r="Z41" i="25" s="1"/>
  <c r="E2" i="39" s="1"/>
  <c r="X41" i="25"/>
  <c r="C2" i="39" s="1"/>
  <c r="W43" i="25"/>
  <c r="W41" i="25"/>
  <c r="P44" i="35"/>
  <c r="O44" i="35"/>
  <c r="E7" i="39" l="1"/>
  <c r="E9" i="39" s="1"/>
  <c r="C7" i="39"/>
  <c r="D7" i="39"/>
  <c r="N45" i="35"/>
  <c r="J46" i="35"/>
  <c r="C9" i="39" l="1"/>
  <c r="D9" i="39"/>
  <c r="P45" i="35"/>
  <c r="P46" i="35" s="1"/>
  <c r="D4" i="35" s="1"/>
  <c r="E11" i="39" s="1"/>
  <c r="O45" i="35"/>
  <c r="O46" i="35" s="1"/>
  <c r="N46" i="35"/>
  <c r="C4" i="35" s="1"/>
  <c r="C11" i="39" s="1"/>
  <c r="C7" i="35" l="1"/>
  <c r="C6" i="35"/>
  <c r="C13" i="39" s="1"/>
  <c r="D6" i="35"/>
  <c r="E13" i="39" s="1"/>
  <c r="D7" i="35"/>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<sst xmlns="http://schemas.openxmlformats.org/spreadsheetml/2006/main" count="396" uniqueCount="297">
  <si>
    <t>Project Information</t>
  </si>
  <si>
    <t>Project</t>
  </si>
  <si>
    <t>Florida Department of Transportation - SMART St. Augustine</t>
  </si>
  <si>
    <t>Grant</t>
  </si>
  <si>
    <t>Project Schedule</t>
  </si>
  <si>
    <t>Base Year</t>
  </si>
  <si>
    <t>Project Start</t>
  </si>
  <si>
    <t>Construction Start</t>
  </si>
  <si>
    <t>Construction Years</t>
  </si>
  <si>
    <t>Project Use Start</t>
  </si>
  <si>
    <t>Total Analysis Period</t>
  </si>
  <si>
    <t>years</t>
  </si>
  <si>
    <t>Years of Operations</t>
  </si>
  <si>
    <t>Last Year of Analysis</t>
  </si>
  <si>
    <t>Days / Year</t>
  </si>
  <si>
    <t>Discount Rate 1</t>
  </si>
  <si>
    <t>Discount Rate 2</t>
  </si>
  <si>
    <t>Guidance Source</t>
  </si>
  <si>
    <t>Primary Guidance Source</t>
  </si>
  <si>
    <t>Possible Societal Benefits for Consideration</t>
  </si>
  <si>
    <t>Key Benefits Quantified</t>
  </si>
  <si>
    <t>Total Benefits 
(-costs)</t>
  </si>
  <si>
    <t>Operations and Maintenance</t>
  </si>
  <si>
    <t>Increase or decrease in cost of regular operations and maintenance of project components</t>
  </si>
  <si>
    <t>Safety</t>
  </si>
  <si>
    <t>Reduction in fatal, injury and PDO crashes for both vehicles and bicycles/pedestrians</t>
  </si>
  <si>
    <t>Travel Time Savings</t>
  </si>
  <si>
    <t>Decreased travel time due to decreased congestion</t>
  </si>
  <si>
    <t>Emissions Savings</t>
  </si>
  <si>
    <t>Decrease in CO2, VOC, NOx, PM2.5, SO2 emissions due to reduced congestion</t>
  </si>
  <si>
    <t>Unquantified Benefits</t>
  </si>
  <si>
    <t>Additional benefits not quantified</t>
  </si>
  <si>
    <t>N/A</t>
  </si>
  <si>
    <t>Total Benefits</t>
  </si>
  <si>
    <t>Total Costs</t>
  </si>
  <si>
    <t>Benefit / Cost Ratio</t>
  </si>
  <si>
    <t>Undiscounted</t>
  </si>
  <si>
    <t>7% discount</t>
  </si>
  <si>
    <t>Benefits</t>
  </si>
  <si>
    <t>Costs</t>
  </si>
  <si>
    <t>BCR</t>
  </si>
  <si>
    <t>NPV</t>
  </si>
  <si>
    <t>Calendar Year</t>
  </si>
  <si>
    <t>Project Year</t>
  </si>
  <si>
    <t>Construction</t>
  </si>
  <si>
    <t>Maintenance</t>
  </si>
  <si>
    <t>Travel Time</t>
  </si>
  <si>
    <t>Environmental</t>
  </si>
  <si>
    <t>Total</t>
  </si>
  <si>
    <t>Annual Expenditures</t>
  </si>
  <si>
    <t>Construction Costs (Cost)</t>
  </si>
  <si>
    <t>Maintenance Costs (Benefit / -Cost)</t>
  </si>
  <si>
    <t>Components</t>
  </si>
  <si>
    <t>Implementation Cost</t>
  </si>
  <si>
    <t>O&amp;M per Year</t>
  </si>
  <si>
    <t>O&amp;M Start</t>
  </si>
  <si>
    <t>Check</t>
  </si>
  <si>
    <t>Project Cost</t>
  </si>
  <si>
    <t>Maintenance Costs</t>
  </si>
  <si>
    <t>Total Benefit (-Cost)</t>
  </si>
  <si>
    <t>Arterial DMS</t>
  </si>
  <si>
    <t>Audible Pedestrian Countdown Signals</t>
  </si>
  <si>
    <t>Automated Traffic Signal Performance Measures</t>
  </si>
  <si>
    <t>Bridge Closure Notification System</t>
  </si>
  <si>
    <t>Connected Vehicle Controller Upgrades and RSU Installation (Phase 2)</t>
  </si>
  <si>
    <t>Flood Detection Sensors for Street Flooding and Resiliency Modeling</t>
  </si>
  <si>
    <t>Integration of Bike/Ped apps into Visit St. Augustine</t>
  </si>
  <si>
    <t>LED Street Lighting Conversion</t>
  </si>
  <si>
    <t>Machine Learning Pavement Condition Assessments</t>
  </si>
  <si>
    <t>Mobility Hubs</t>
  </si>
  <si>
    <t>Parking Availability Sensors</t>
  </si>
  <si>
    <t>Parking Information DMS</t>
  </si>
  <si>
    <t xml:space="preserve">Pedestrian Crosswalk Improvements </t>
  </si>
  <si>
    <t>Pedestrian Sensors for Automatic Detection at Signalized Crossings</t>
  </si>
  <si>
    <t>Smart Lighting Pilots</t>
  </si>
  <si>
    <t>SunGuide Software Integration</t>
  </si>
  <si>
    <t>TNC Incentives for Medical Appointments (Miles partnership)</t>
  </si>
  <si>
    <t>Truck Parking Management Devices</t>
  </si>
  <si>
    <t>Truck Parking Management Systems</t>
  </si>
  <si>
    <t>Virtual DMS with Geofencing</t>
  </si>
  <si>
    <t>Historic Downtown Parking Garage Parking Management System</t>
  </si>
  <si>
    <t>Resiliency Risk Assessment Data Management</t>
  </si>
  <si>
    <t>Subtotal</t>
  </si>
  <si>
    <t>Project Unknowns</t>
  </si>
  <si>
    <t>Grant Administration</t>
  </si>
  <si>
    <t>PD&amp;E</t>
  </si>
  <si>
    <t>PE</t>
  </si>
  <si>
    <t>CEI</t>
  </si>
  <si>
    <t>Subtotal Support Phases</t>
  </si>
  <si>
    <t>RAISE GRANT TOTAL COSTS</t>
  </si>
  <si>
    <t>Other Project Components / Previous Expenditures</t>
  </si>
  <si>
    <t>Integrated Data Exchange and Real-time CMD</t>
  </si>
  <si>
    <t>Public Involvement</t>
  </si>
  <si>
    <t>448653-1 Connected Vehicle Controller Upgrades and RSU Installation (Phase 1)</t>
  </si>
  <si>
    <t>Smart Parking Payment System</t>
  </si>
  <si>
    <t>*</t>
  </si>
  <si>
    <t>RRFB and Other Crosswalk Improvements</t>
  </si>
  <si>
    <t>Note: assumes no major replacement or rehabilitation required during analysis period.</t>
  </si>
  <si>
    <t>SMART St. Augustine Master Plan</t>
  </si>
  <si>
    <t>SMART St. Augustine Systems Engineering</t>
  </si>
  <si>
    <t>GRAND TOTAL IMPLEMENTATION COSTS</t>
  </si>
  <si>
    <t>Note: all prior expenses were assumed to be incurred in 2020</t>
  </si>
  <si>
    <t>* O&amp;M for Smart Parking Payment System are covered by revenues generated and are therefore excluded</t>
  </si>
  <si>
    <t>Total Crashes  (4 year total)</t>
  </si>
  <si>
    <t>Annual Average - No Build</t>
  </si>
  <si>
    <t>Reduction Factor</t>
  </si>
  <si>
    <t>Annual Average</t>
  </si>
  <si>
    <t>Monetization</t>
  </si>
  <si>
    <t>Monetized Value</t>
  </si>
  <si>
    <t>Severity</t>
  </si>
  <si>
    <t>Pedestrian</t>
  </si>
  <si>
    <t>Bicycle</t>
  </si>
  <si>
    <t>Severity Reduced</t>
  </si>
  <si>
    <t>Build</t>
  </si>
  <si>
    <t>Crash Type</t>
  </si>
  <si>
    <t>No Build</t>
  </si>
  <si>
    <t>Fatal</t>
  </si>
  <si>
    <t>Injury</t>
  </si>
  <si>
    <t>Property Damage</t>
  </si>
  <si>
    <t>Annual Benefit</t>
  </si>
  <si>
    <t>Total Crashes  (2017-2020 total)</t>
  </si>
  <si>
    <t>KABCO</t>
  </si>
  <si>
    <t>All</t>
  </si>
  <si>
    <t>Bike/Ped</t>
  </si>
  <si>
    <t>Vehicle Only</t>
  </si>
  <si>
    <t>Eliminated</t>
  </si>
  <si>
    <t>K – Killed</t>
  </si>
  <si>
    <t>Serious Injury</t>
  </si>
  <si>
    <t>A – Incapacitating</t>
  </si>
  <si>
    <t>Moderate Injury</t>
  </si>
  <si>
    <t>B – Non-incapacitating</t>
  </si>
  <si>
    <t>Minor Injury</t>
  </si>
  <si>
    <t>C – Possible Injury</t>
  </si>
  <si>
    <t>O – No Injury</t>
  </si>
  <si>
    <t>Years of crash data</t>
  </si>
  <si>
    <t>Vehicles</t>
  </si>
  <si>
    <t>Motorized Crash Monitization: KABCO</t>
  </si>
  <si>
    <t>Bike/Ped Crash Monetization: Other Crash Types</t>
  </si>
  <si>
    <t>Level</t>
  </si>
  <si>
    <t>KABCO Level</t>
  </si>
  <si>
    <t>Monetized value ($2019)</t>
  </si>
  <si>
    <t>Motorized value ($2019)</t>
  </si>
  <si>
    <t>Non-Motorized % of Motorized</t>
  </si>
  <si>
    <t>Non-Motorized value ($2019)</t>
  </si>
  <si>
    <t>O</t>
  </si>
  <si>
    <t>Injury Crash</t>
  </si>
  <si>
    <t>C</t>
  </si>
  <si>
    <t>Fatal Crash</t>
  </si>
  <si>
    <t>B</t>
  </si>
  <si>
    <t>PDO Crash</t>
  </si>
  <si>
    <t>A</t>
  </si>
  <si>
    <t>Sources:</t>
  </si>
  <si>
    <t>K</t>
  </si>
  <si>
    <t># accidents reported</t>
  </si>
  <si>
    <t># Accidents Reported (Unknown if Injured)</t>
  </si>
  <si>
    <r>
      <t xml:space="preserve">Non-Motorized % of Motorized: based on difference between MAIS monetized values from USDOT Guidance and non-motorized values from </t>
    </r>
    <r>
      <rPr>
        <i/>
        <sz val="11"/>
        <rFont val="Calibri"/>
        <family val="2"/>
        <scheme val="minor"/>
      </rPr>
      <t xml:space="preserve">Pedestrian and Pedalcyclist Injury Costs in the United States by Age and Injury Severity, </t>
    </r>
    <r>
      <rPr>
        <sz val="11"/>
        <rFont val="Calibri"/>
        <family val="2"/>
        <scheme val="minor"/>
      </rPr>
      <t>Association for the Advancement of Automotive Medicine, 2004. https://www.ncbi.nlm.nih.gov/pmc/articles/PMC3217422/</t>
    </r>
  </si>
  <si>
    <t>Non-motorized crash monetized values: see sources cited above</t>
  </si>
  <si>
    <t xml:space="preserve">Crashes: </t>
  </si>
  <si>
    <t>Bike/Ped: FDOT historical database. Four year average. Crashes were limited to the area of improvement</t>
  </si>
  <si>
    <t>Vehicles: FDOT historical database. Average of 2017-2020. Conservatively assumes bike/ped injury crashes are serious injury crashes</t>
  </si>
  <si>
    <t>Vehicle crash reduction factors: conservative assupmtion based on research</t>
  </si>
  <si>
    <t>Bike/Ped crash reduction factors: conservative assupmtion based on research</t>
  </si>
  <si>
    <t>Notes:</t>
  </si>
  <si>
    <t>Bicycle, pedestrian and vehicle volumes conservatively assumed to remain constant over time and in build/no build scenarios</t>
  </si>
  <si>
    <t>Research Sources</t>
  </si>
  <si>
    <t>Vehicle Crashes 1</t>
  </si>
  <si>
    <t>The number of pedestrian-vehicle conflicts due to inappropriate crossings were reduced by 81% when vehicle volumes were reduced by providing traffic information systems</t>
  </si>
  <si>
    <t xml:space="preserve">USDOT (2001), Evaluation of Automated Pedestrian Detection at Signalized Intersections, Report No. FHWA-RD-00-097 </t>
  </si>
  <si>
    <t>Vehicle Crashes 2</t>
  </si>
  <si>
    <t>In 2012, a study commissioned by FHWA used existing crash data and estimated the number, type, and costs of crashes that could be prevented by 12 different V2I applications. This study estimated that the 12 V2I applications would prevent 2.3-million crashes annually (representing 59 percent of single vehicle crashes and 29 percent of multi-vehicle crashes and comprising $202 billion in annual costs).</t>
  </si>
  <si>
    <t>U.S. Department of Transportation, Federal Highway Administration, Crash Data Analyses for Vehicle-to-Infrastructure Communications for Safety Applications, FHWAHRT-11-040 (McLean, VA: November 2012). This statistic is based on assumptions including full deployment and 100 percent effectiveness of applications.</t>
  </si>
  <si>
    <t>https://www.gao.gov/assets/gao-15-775.pdf</t>
  </si>
  <si>
    <t>Bike/Ped Crashes 1</t>
  </si>
  <si>
    <t>Based on a review of other projects, the number of pedestrian-vehicle conflicts due to inappropriate crossings were reduced by 81% when vehicle volumes were reduced by providing traffic information systems.</t>
  </si>
  <si>
    <t>Bike/Ped Crashes 2</t>
  </si>
  <si>
    <t>Autonomous emergency braking can reduce fatalities by 57%</t>
  </si>
  <si>
    <t>Doecke, and Anderson, (2013). “Crash Reduction Potential of Connected Vehicles in South Australia.”, Report No. CASR126</t>
  </si>
  <si>
    <t>Vehicle</t>
  </si>
  <si>
    <t>Benefit</t>
  </si>
  <si>
    <t>General Traffic</t>
  </si>
  <si>
    <t xml:space="preserve">2017 St. Johns County daily delay (hours) </t>
  </si>
  <si>
    <r>
      <t xml:space="preserve">Source: </t>
    </r>
    <r>
      <rPr>
        <sz val="10"/>
        <rFont val="Arial"/>
        <family val="2"/>
      </rPr>
      <t>North Florida TPO 2019 Mobility Report, June 30, 2019. http://northfloridatpo.com/uploads/Studies/performance/2019_NFTPO_Annual_Mobility_Report.pdf</t>
    </r>
  </si>
  <si>
    <t>St. Augustine % of St. Johns Congestion</t>
  </si>
  <si>
    <t>St. Augustine daily delay (hours)</t>
  </si>
  <si>
    <t>Days per year</t>
  </si>
  <si>
    <t>Annual delay (hours)</t>
  </si>
  <si>
    <t>Congestion Reduction</t>
  </si>
  <si>
    <t>Annual delay reduction</t>
  </si>
  <si>
    <t>Bridge Traffic</t>
  </si>
  <si>
    <t>Total Delay per opening (vehicle hours of delay)</t>
  </si>
  <si>
    <r>
      <rPr>
        <b/>
        <sz val="11"/>
        <color theme="1"/>
        <rFont val="Calibri"/>
        <family val="2"/>
        <scheme val="minor"/>
      </rPr>
      <t>Source:</t>
    </r>
    <r>
      <rPr>
        <sz val="11"/>
        <color theme="1"/>
        <rFont val="Calibri"/>
        <family val="2"/>
        <scheme val="minor"/>
      </rPr>
      <t xml:space="preserve"> Field studies were preformed to determine the average and maximum queues when the Bridge of Lions is open to maritime traffic and closed for vehicle traffic.</t>
    </r>
  </si>
  <si>
    <t>Average openings per day</t>
  </si>
  <si>
    <t>Average delay per day (vehicle hours)</t>
  </si>
  <si>
    <t>Annual delay reduction (hours)</t>
  </si>
  <si>
    <t>Truck factor</t>
  </si>
  <si>
    <r>
      <t xml:space="preserve">Source: </t>
    </r>
    <r>
      <rPr>
        <sz val="10"/>
        <rFont val="Arial"/>
        <family val="2"/>
      </rPr>
      <t>ratio of truck miles traveled to total truck and vehicle miles traveled for St. Johns County 2017. North Florida TPO 2019 Mobility Report, June 30, 2019. http://northfloridatpo.com/uploads/Studies/performance/2019_NFTPO_Annual_Mobility_Report.pdf</t>
    </r>
  </si>
  <si>
    <t>Non-Truck delay reduction</t>
  </si>
  <si>
    <t>Truck delay reduction</t>
  </si>
  <si>
    <t>In-Vehicle Travel Time: All</t>
  </si>
  <si>
    <r>
      <rPr>
        <b/>
        <sz val="11"/>
        <color theme="1"/>
        <rFont val="Calibri"/>
        <family val="2"/>
        <scheme val="minor"/>
      </rPr>
      <t>Source:</t>
    </r>
    <r>
      <rPr>
        <sz val="11"/>
        <color theme="1"/>
        <rFont val="Calibri"/>
        <family val="2"/>
        <scheme val="minor"/>
      </rPr>
      <t xml:space="preserve"> All Purposes travel, from USDOT Guidance. Conservatively assumes most congestion is tourists, not business or commercial vehicles.</t>
    </r>
  </si>
  <si>
    <t>Commercial Vehicle Operators Travel Time: Truck Drivers</t>
  </si>
  <si>
    <r>
      <rPr>
        <b/>
        <sz val="11"/>
        <color theme="1"/>
        <rFont val="Calibri"/>
        <family val="2"/>
        <scheme val="minor"/>
      </rPr>
      <t>Source:</t>
    </r>
    <r>
      <rPr>
        <sz val="11"/>
        <color theme="1"/>
        <rFont val="Calibri"/>
        <family val="2"/>
        <scheme val="minor"/>
      </rPr>
      <t xml:space="preserve"> Truck Drivers, from USDOT Guidance. Conservatively assumes most congestion is tourists, not business or commercial vehicles.</t>
    </r>
  </si>
  <si>
    <t>Passenger vehicles occupancy</t>
  </si>
  <si>
    <r>
      <rPr>
        <b/>
        <sz val="11"/>
        <color theme="1"/>
        <rFont val="Calibri"/>
        <family val="2"/>
        <scheme val="minor"/>
      </rPr>
      <t xml:space="preserve">Source: </t>
    </r>
    <r>
      <rPr>
        <sz val="11"/>
        <color theme="1"/>
        <rFont val="Calibri"/>
        <family val="2"/>
        <scheme val="minor"/>
      </rPr>
      <t>Passenger Vehicles (All Travel) from USDOT Guidance. Conservative assumption (vs. using passenger vehicles - weekend at 2.02)</t>
    </r>
  </si>
  <si>
    <t>Commercial vehicles occupancy</t>
  </si>
  <si>
    <r>
      <rPr>
        <b/>
        <sz val="11"/>
        <color theme="1"/>
        <rFont val="Calibri"/>
        <family val="2"/>
        <scheme val="minor"/>
      </rPr>
      <t xml:space="preserve">Source: </t>
    </r>
    <r>
      <rPr>
        <sz val="11"/>
        <color theme="1"/>
        <rFont val="Calibri"/>
        <family val="2"/>
        <scheme val="minor"/>
      </rPr>
      <t>Assume 1 driver per truck, USDOT Guidance. Conservative assumption</t>
    </r>
  </si>
  <si>
    <t>Congestion Reductions</t>
  </si>
  <si>
    <t>Smart Parking Mgmt and Traveler Info</t>
  </si>
  <si>
    <r>
      <rPr>
        <b/>
        <sz val="11"/>
        <color theme="1"/>
        <rFont val="Calibri"/>
        <family val="2"/>
        <scheme val="minor"/>
      </rPr>
      <t xml:space="preserve">Source: </t>
    </r>
    <r>
      <rPr>
        <sz val="11"/>
        <color theme="1"/>
        <rFont val="Calibri"/>
        <family val="2"/>
        <scheme val="minor"/>
      </rPr>
      <t>Conservative assumption based on research (see references)</t>
    </r>
  </si>
  <si>
    <t>Signalization</t>
  </si>
  <si>
    <r>
      <rPr>
        <b/>
        <sz val="11"/>
        <color theme="1"/>
        <rFont val="Calibri"/>
        <family val="2"/>
        <scheme val="minor"/>
      </rPr>
      <t>Source:</t>
    </r>
    <r>
      <rPr>
        <sz val="11"/>
        <color theme="1"/>
        <rFont val="Calibri"/>
        <family val="2"/>
        <scheme val="minor"/>
      </rPr>
      <t xml:space="preserve"> Based on timing and availability of information resulting in fuel displacement and a reduction of carbon emissions</t>
    </r>
  </si>
  <si>
    <t>Primary References</t>
  </si>
  <si>
    <t>DMS and navigation systems reduce congestion by 16%</t>
  </si>
  <si>
    <t>Kompfner, Paul, and Wolfgang Reinhardt. “The Potential Impact of in-Car Information on Urban Parking.” Esafetysupport.org, Nov. 2008, www.esafetysupport.org/download/working_groups/ICT_Clean_Mobility/ICT%20for%20Clean%20%20Efficient%20Mobility_v%201.1%20final.pdf.</t>
  </si>
  <si>
    <t>Information of parking availablity reduces traffic by 9% and congestion by 4%.</t>
  </si>
  <si>
    <t>USDOT (2007), Advanced parking management systems : a cross-cutting study: taking the stress out of parking, Report No. FHWA-JPO-07-011</t>
  </si>
  <si>
    <t>Secondary References</t>
  </si>
  <si>
    <t>Estimated delay from circulating vehicles.</t>
  </si>
  <si>
    <r>
      <rPr>
        <i/>
        <sz val="11"/>
        <color theme="1"/>
        <rFont val="Calibri"/>
        <family val="2"/>
        <scheme val="minor"/>
      </rPr>
      <t>St. Augustine Truck Parking Management Plan</t>
    </r>
    <r>
      <rPr>
        <sz val="11"/>
        <color theme="1"/>
        <rFont val="Calibri"/>
        <family val="2"/>
        <scheme val="minor"/>
      </rPr>
      <t>. City of St. Augustine and North Florida TPO, 2016.</t>
    </r>
  </si>
  <si>
    <t>Information of parking availablity reduces congestion by 5%</t>
  </si>
  <si>
    <t>Tasseron, G., et al. The Potential Impact of in-Car Information on Urban Parking. Nov. 2014, rstrail.tudelft.nl/sites/default/files/tasseron_geert_0.pdf.</t>
  </si>
  <si>
    <t>Information of parking availablity reduces congestion by 43%</t>
  </si>
  <si>
    <t>SFMTA (2014), SFPark Pilot Project Evaluation.</t>
  </si>
  <si>
    <t>Benefit cost for smart parking projects are 4:1</t>
  </si>
  <si>
    <t>Regional Truck Parking Information Management System (TPIMS) TIGER Proposal 2015. www.maasto.net/documents/TPIMS-Grant.pdf.</t>
  </si>
  <si>
    <t>Benefit cost for smart parking projects are 3:1</t>
  </si>
  <si>
    <t>Sanchez-Badillo, Alejandro, et al. “Accelerating SmartPark Deployment Strategic Plan.” Welcome to ROSA P, United States. Department of Transportation. Federal Motor Carrier Safety Administration. Office of Analysis, Research, and Technology, 1 June 2019, rosap.ntl.bts.gov/view/dot/40895.</t>
  </si>
  <si>
    <t>Delay Savings - Vehicles</t>
  </si>
  <si>
    <t>Delay Savings - Persons</t>
  </si>
  <si>
    <t>Total Delay Savings</t>
  </si>
  <si>
    <t>Total (Benefit)</t>
  </si>
  <si>
    <t>Non-Truck</t>
  </si>
  <si>
    <t>Truck</t>
  </si>
  <si>
    <t>Savings Type</t>
  </si>
  <si>
    <t>VHT</t>
  </si>
  <si>
    <t>VHT or VMT</t>
  </si>
  <si>
    <t>Delay Hours Saved</t>
  </si>
  <si>
    <t>Metric Tons Saved - Non-Truck</t>
  </si>
  <si>
    <t>Metric Tons Saved - Truck</t>
  </si>
  <si>
    <t>Damage Costs for Emissions per metric ton</t>
  </si>
  <si>
    <t>Build Savings</t>
  </si>
  <si>
    <t>Total (Benefit) *</t>
  </si>
  <si>
    <t>Emissions Data</t>
  </si>
  <si>
    <t>Damage Costs for Emissions per metric ton*</t>
  </si>
  <si>
    <t>Year</t>
  </si>
  <si>
    <t>NOX</t>
  </si>
  <si>
    <t>SO2</t>
  </si>
  <si>
    <t>PM2.5</t>
  </si>
  <si>
    <t>CO2</t>
  </si>
  <si>
    <t>VOCs</t>
  </si>
  <si>
    <t>Grams to Matric Tons</t>
  </si>
  <si>
    <t>1 metric ton is equal to 100,000 grams</t>
  </si>
  <si>
    <t>Idle Emissions (grams/hr)</t>
  </si>
  <si>
    <t>Pollutant</t>
  </si>
  <si>
    <t>LDGV</t>
  </si>
  <si>
    <t>HDDV</t>
  </si>
  <si>
    <t>Source</t>
  </si>
  <si>
    <t>Carbon Dioxide</t>
  </si>
  <si>
    <t>2 - LDGV; 3 - HDDV</t>
  </si>
  <si>
    <t>Volatile Organic Compunds</t>
  </si>
  <si>
    <t>Nitrogen Oxides</t>
  </si>
  <si>
    <t>NOx</t>
  </si>
  <si>
    <t>Particulate Matter</t>
  </si>
  <si>
    <t>-</t>
  </si>
  <si>
    <t>Sulfur Dioxide</t>
  </si>
  <si>
    <r>
      <t>Sources:</t>
    </r>
    <r>
      <rPr>
        <sz val="11"/>
        <rFont val="Calibri"/>
        <family val="2"/>
        <scheme val="minor"/>
      </rPr>
      <t xml:space="preserve"> </t>
    </r>
  </si>
  <si>
    <t>1. EPA Idling Vehicle Emissions for Passenger Cars, Light-Duty Trucks, and Heavy-Duty Trucks Emission Facts, 2008. https://nepis.epa.gov/Exe/ZyPURL.cgi?Dockey=P100EVXV.txt</t>
  </si>
  <si>
    <t>2. Which is Greener: Idle, or Stop and Restart? Comparing Fuel Use and Emissions for Short Passenger-Car Stops - Argonne National Laboratory. https://afdc.energy.gov/files/u/publication/which_is_greener.pdf</t>
  </si>
  <si>
    <t>3. Idle Emissions from Heavy Duty Diesel Vehicles: Review and Recent Data. Used average of mechanical fuel injuection (MFI) and electronic fuel injection (EFI). https://www.tandfonline.com/doi/pdf/10.1080/10473289.2006.10464551?needAccess=true</t>
  </si>
  <si>
    <t>LDGV = Light-Duty Gas Vehicles</t>
  </si>
  <si>
    <t>HDDV = Heavy-Duty Diesel Vehicles</t>
  </si>
  <si>
    <t>VMT</t>
  </si>
  <si>
    <r>
      <t>Average In-Use Emission Rates</t>
    </r>
    <r>
      <rPr>
        <b/>
        <vertAlign val="superscript"/>
        <sz val="11"/>
        <rFont val="Calibri"/>
        <family val="2"/>
        <scheme val="minor"/>
      </rPr>
      <t xml:space="preserve"> </t>
    </r>
    <r>
      <rPr>
        <b/>
        <sz val="11"/>
        <rFont val="Calibri"/>
        <family val="2"/>
        <scheme val="minor"/>
      </rPr>
      <t>(grams/mile)</t>
    </r>
  </si>
  <si>
    <t>Passenger Cars</t>
  </si>
  <si>
    <t>HDDV: Diesel value</t>
  </si>
  <si>
    <t>Particulate Matter 2.5</t>
  </si>
  <si>
    <t>https://engineering.unl.edu/downloads/files/GHG%20FOR%20WEBSITE.docx#:~:text=The%20same%202013%20study%20found,SO2%20per%20mile%20%5B5%5D.&amp;text=The%20study%20as%20above%20found,VOC%20per%20mile%20%5B5%5D.&amp;text=Using%20the%20individual%20emission%20rates,377%20grams%20CO2%20per%20mile.</t>
  </si>
  <si>
    <t xml:space="preserve">Sources: </t>
  </si>
  <si>
    <t>HDDV: EPA Average In-Use Emissions from Heavy-Duty Trucks - Emission Facts, 2008</t>
  </si>
  <si>
    <t>Passenger Cars: EPA Average Annual Emissions and Fuel Consumption for Gasoline-Fueled Passenger Cars and Light Trucks - Emission Facts, 2008. Average of Passenger Cars and Light-Duty Trucks</t>
  </si>
  <si>
    <t>CO2 Emissions (CO2/Gallon)</t>
  </si>
  <si>
    <t>Gasoline</t>
  </si>
  <si>
    <t>grams CO2/gallon</t>
  </si>
  <si>
    <t>Diesel</t>
  </si>
  <si>
    <t>Sources</t>
  </si>
  <si>
    <r>
      <t>Source:</t>
    </r>
    <r>
      <rPr>
        <sz val="10"/>
        <rFont val="Arial"/>
        <family val="2"/>
      </rPr>
      <t xml:space="preserve"> 40 CFR 600.114-12, September 2011</t>
    </r>
  </si>
  <si>
    <t>NOX, SO2, PM2.5, CO2</t>
  </si>
  <si>
    <t>VOC</t>
  </si>
  <si>
    <t>FHWA TOPS BCA Spreadsheet</t>
  </si>
  <si>
    <t>* CO2 emissions are conservatively discounted at a 7% rate in the 7% discount scenario, not a 3% rate</t>
  </si>
  <si>
    <t>RAISE 2022</t>
  </si>
  <si>
    <t>USDOT Benefit-Cost Analysis Guidance for Discretionary Grant Programs 2022</t>
  </si>
  <si>
    <t>https://www.transportation.gov/sites/dot.gov/files/2022-03/Benefit%20Cost%20Analysis%20Guidance%202022%20Update.pdf</t>
  </si>
  <si>
    <t>COST ESTIMATE (ALL COSTS ARE IN 2020$)</t>
  </si>
  <si>
    <t>Adjusted June 4, 2021 Costs from 2021 Grant Application: (1% adjustment for inflation as per Table A-7 of 2022 BCA Guidance)</t>
  </si>
  <si>
    <t>1 percent adjustment factor applied</t>
  </si>
  <si>
    <t>SMART ST. AUGUSTINE - 2022 RAISE GRANT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</si>
</sst>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3">
    <numFmt numFmtId="5" formatCode="&quot;$&quot;#,##0_);\(&quot;$&quot;#,##0\)"/>
    <numFmt numFmtId="44" formatCode="_(&quot;$&quot;* #,##0.00_);_(&quot;$&quot;* \(#,##0.00\);_(&quot;$&quot;* &quot;-&quot;??_);_(@_)"/>
    <numFmt numFmtId="43" formatCode="_(* #,##0.00_);_(* \(#,##0.00\);_(* &quot;-&quot;??_);_(@_)"/>
    <numFmt numFmtId="164" formatCode="&quot;$&quot;#,##0"/>
    <numFmt numFmtId="165" formatCode="&quot;$&quot;#,##0.00"/>
    <numFmt numFmtId="166" formatCode="0.0%"/>
    <numFmt numFmtId="167" formatCode="_(* #,##0_);_(* \(#,##0\);_(* &quot;-&quot;??_);_(@_)"/>
    <numFmt numFmtId="168" formatCode="#,##0.0_);\(#,##0.0\)"/>
    <numFmt numFmtId="169" formatCode=";;"/>
    <numFmt numFmtId="170" formatCode="#,##0.0"/>
    <numFmt numFmtId="171" formatCode="0.000"/>
    <numFmt numFmtId="172" formatCode="&quot;$&quot;#,##0.0"/>
    <numFmt numFmtId="174" formatCode="_(&quot;$&quot;* #,##0_);_(&quot;$&quot;* \(#,##0\);_(&quot;$&quot;* &quot;-&quot;??_);_(@_)"/>
  </numFmts>
  <fonts count="4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1"/>
      <name val="Calibri"/>
      <family val="2"/>
      <scheme val="minor"/>
    </font>
    <font>
      <b/>
      <sz val="11"/>
      <name val="Calibri"/>
      <family val="2"/>
      <scheme val="minor"/>
    </font>
    <font>
      <sz val="10"/>
      <name val="Calibri"/>
      <family val="2"/>
      <scheme val="minor"/>
    </font>
    <font>
      <sz val="11"/>
      <color rgb="FF0000FF"/>
      <name val="Calibri"/>
      <family val="2"/>
      <scheme val="minor"/>
    </font>
    <font>
      <sz val="10"/>
      <name val="Arial"/>
      <family val="2"/>
    </font>
    <font>
      <b/>
      <sz val="11"/>
      <color theme="1"/>
      <name val="Calibri"/>
      <family val="2"/>
      <scheme val="minor"/>
    </font>
    <font>
      <sz val="11"/>
      <color rgb="FF008000"/>
      <name val="Calibri"/>
      <family val="2"/>
      <scheme val="minor"/>
    </font>
    <font>
      <b/>
      <sz val="11"/>
      <color rgb="FFC00000"/>
      <name val="Calibri"/>
      <family val="2"/>
      <scheme val="minor"/>
    </font>
    <font>
      <sz val="11"/>
      <color rgb="FFC00000"/>
      <name val="Calibri"/>
      <family val="2"/>
      <scheme val="minor"/>
    </font>
    <font>
      <b/>
      <sz val="9"/>
      <color rgb="FF000000"/>
      <name val="Calibri"/>
      <family val="2"/>
    </font>
    <font>
      <sz val="9"/>
      <color rgb="FF000000"/>
      <name val="Calibri"/>
      <family val="2"/>
    </font>
    <font>
      <sz val="10"/>
      <color rgb="FF0000FF"/>
      <name val="Arial"/>
      <family val="2"/>
    </font>
    <font>
      <i/>
      <sz val="10"/>
      <name val="Arial"/>
      <family val="2"/>
    </font>
    <font>
      <i/>
      <sz val="10"/>
      <name val="Calibri"/>
      <family val="2"/>
      <scheme val="minor"/>
    </font>
    <font>
      <b/>
      <i/>
      <sz val="11"/>
      <name val="Calibri"/>
      <family val="2"/>
      <scheme val="minor"/>
    </font>
    <font>
      <b/>
      <i/>
      <sz val="11"/>
      <color theme="1"/>
      <name val="Calibri"/>
      <family val="2"/>
      <scheme val="minor"/>
    </font>
    <font>
      <sz val="10"/>
      <name val="Arial"/>
      <family val="2"/>
    </font>
    <font>
      <i/>
      <sz val="11"/>
      <name val="Calibri"/>
      <family val="2"/>
      <scheme val="minor"/>
    </font>
    <font>
      <b/>
      <sz val="18"/>
      <color theme="1"/>
      <name val="Calibri"/>
      <family val="2"/>
      <scheme val="minor"/>
    </font>
    <font>
      <b/>
      <sz val="14"/>
      <color theme="1"/>
      <name val="Calibri"/>
      <family val="2"/>
      <scheme val="minor"/>
    </font>
    <font>
      <sz val="11"/>
      <color rgb="FF0000CC"/>
      <name val="Calibri"/>
      <family val="2"/>
      <scheme val="minor"/>
    </font>
    <font>
      <sz val="10"/>
      <name val="Arial"/>
      <family val="2"/>
    </font>
    <font>
      <sz val="10"/>
      <color theme="1"/>
      <name val="Arial"/>
      <family val="2"/>
    </font>
    <font>
      <i/>
      <sz val="11"/>
      <color theme="1"/>
      <name val="Calibri"/>
      <family val="2"/>
      <scheme val="minor"/>
    </font>
    <font>
      <u/>
      <sz val="11"/>
      <color theme="10"/>
      <name val="Calibri"/>
      <family val="2"/>
      <scheme val="minor"/>
    </font>
    <font>
      <sz val="9"/>
      <name val="Tms Rmn"/>
    </font>
    <font>
      <u/>
      <sz val="10"/>
      <color theme="10"/>
      <name val="Arial"/>
      <family val="2"/>
    </font>
    <font>
      <sz val="11"/>
      <color rgb="FFFF0000"/>
      <name val="Calibri"/>
      <family val="2"/>
      <scheme val="minor"/>
    </font>
    <font>
      <b/>
      <sz val="11"/>
      <color theme="5"/>
      <name val="Calibri"/>
      <family val="2"/>
      <scheme val="minor"/>
    </font>
    <font>
      <b/>
      <vertAlign val="superscript"/>
      <sz val="11"/>
      <name val="Calibri"/>
      <family val="2"/>
      <scheme val="minor"/>
    </font>
    <font>
      <sz val="9"/>
      <name val="Calibri"/>
      <family val="2"/>
    </font>
    <font>
      <b/>
      <sz val="12"/>
      <name val="Calibri"/>
      <family val="2"/>
      <scheme val="minor"/>
    </font>
    <font>
      <b/>
      <sz val="10"/>
      <name val="Calibri"/>
      <family val="2"/>
      <scheme val="minor"/>
    </font>
    <font>
      <b/>
      <sz val="12"/>
      <color theme="1"/>
      <name val="Calibri"/>
      <family val="2"/>
      <scheme val="minor"/>
    </font>
  </fonts>
  <fills count="6">
    <fill>
      <patternFill patternType="none"/>
    </fill>
    <fill>
      <patternFill patternType="gray125"/>
    </fill>
    <fill>
      <patternFill patternType="solid">
        <fgColor theme="8" tint="0.79998168889431442"/>
        <bgColor indexed="64"/>
      </patternFill>
    </fill>
    <fill>
      <patternFill patternType="solid">
        <fgColor rgb="FFF2F2F2"/>
        <bgColor indexed="64"/>
      </patternFill>
    </fill>
    <fill>
      <patternFill patternType="solid">
        <fgColor theme="5" tint="0.59999389629810485"/>
        <bgColor indexed="64"/>
      </patternFill>
    </fill>
    <fill>
      <patternFill patternType="solid">
        <fgColor rgb="FFFFFF00"/>
        <bgColor indexed="64"/>
      </patternFill>
    </fill>
  </fills>
  <borders count="24">
    <border>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style="hair">
        <color indexed="64"/>
      </top>
      <bottom style="hair">
        <color indexed="64"/>
      </bottom>
      <diagonal/>
    </border>
    <border>
      <left/>
      <right/>
      <top style="hair">
        <color indexed="64"/>
      </top>
      <bottom style="thin">
        <color indexed="64"/>
      </bottom>
      <diagonal/>
    </border>
    <border>
      <left/>
      <right/>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hair">
        <color indexed="64"/>
      </top>
      <bottom/>
      <diagonal/>
    </border>
    <border>
      <left style="medium">
        <color indexed="64"/>
      </left>
      <right style="medium">
        <color indexed="64"/>
      </right>
      <top style="medium">
        <color indexed="64"/>
      </top>
      <bottom style="medium">
        <color indexed="64"/>
      </bottom>
      <diagonal/>
    </border>
  </borders>
  <cellStyleXfs count="29">
    <xf numFmtId="0" fontId="0" fillId="0" borderId="0"/>
    <xf numFmtId="0" fontId="11" fillId="0" borderId="0"/>
    <xf numFmtId="9" fontId="11" fillId="0" borderId="0" applyFont="0" applyFill="0" applyBorder="0" applyAlignment="0" applyProtection="0"/>
    <xf numFmtId="0" fontId="10" fillId="0" borderId="0"/>
    <xf numFmtId="9" fontId="17" fillId="0" borderId="0" applyFont="0" applyFill="0" applyBorder="0" applyAlignment="0" applyProtection="0"/>
    <xf numFmtId="0" fontId="9" fillId="0" borderId="0"/>
    <xf numFmtId="9" fontId="9" fillId="0" borderId="0" applyFont="0" applyFill="0" applyBorder="0" applyAlignment="0" applyProtection="0"/>
    <xf numFmtId="0" fontId="7" fillId="0" borderId="0"/>
    <xf numFmtId="44" fontId="7" fillId="0" borderId="0" applyFont="0" applyFill="0" applyBorder="0" applyAlignment="0" applyProtection="0"/>
    <xf numFmtId="43" fontId="29" fillId="0" borderId="0" applyFont="0" applyFill="0" applyBorder="0" applyAlignment="0" applyProtection="0"/>
    <xf numFmtId="0" fontId="6" fillId="0" borderId="0"/>
    <xf numFmtId="44" fontId="34" fillId="0" borderId="0" applyFon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35" fillId="0" borderId="0"/>
    <xf numFmtId="44" fontId="35" fillId="0" borderId="0" applyFont="0" applyFill="0" applyBorder="0" applyAlignment="0" applyProtection="0"/>
    <xf numFmtId="0" fontId="11" fillId="0" borderId="0"/>
    <xf numFmtId="0" fontId="37" fillId="0" borderId="0" applyNumberFormat="0" applyFill="0" applyBorder="0" applyAlignment="0" applyProtection="0"/>
    <xf numFmtId="169" fontId="38" fillId="0" borderId="0" applyFont="0" applyFill="0" applyBorder="0" applyAlignment="0" applyProtection="0"/>
    <xf numFmtId="0" fontId="5" fillId="0" borderId="0"/>
    <xf numFmtId="0" fontId="39" fillId="0" borderId="0" applyNumberFormat="0" applyFill="0" applyBorder="0" applyAlignment="0" applyProtection="0"/>
    <xf numFmtId="0" fontId="4" fillId="0" borderId="0"/>
    <xf numFmtId="44" fontId="4" fillId="0" borderId="0" applyFont="0" applyFill="0" applyBorder="0" applyAlignment="0" applyProtection="0"/>
    <xf numFmtId="43" fontId="4" fillId="0" borderId="0" applyFont="0" applyFill="0" applyBorder="0" applyAlignment="0" applyProtection="0"/>
    <xf numFmtId="0" fontId="4" fillId="0" borderId="0"/>
    <xf numFmtId="9" fontId="4" fillId="0" borderId="0" applyFont="0" applyFill="0" applyBorder="0" applyAlignment="0" applyProtection="0"/>
    <xf numFmtId="0" fontId="3" fillId="0" borderId="0"/>
  </cellStyleXfs>
  <cellXfs count="279">
    <xf numFmtId="0" fontId="0" fillId="0" borderId="0" xfId="0"/>
    <xf numFmtId="164" fontId="0" fillId="0" borderId="0" xfId="0" applyNumberFormat="1"/>
    <xf numFmtId="0" fontId="0" fillId="0" borderId="0" xfId="0" applyAlignment="1">
      <alignment horizontal="center"/>
    </xf>
    <xf numFmtId="0" fontId="16" fillId="0" borderId="0" xfId="1" applyFont="1"/>
    <xf numFmtId="0" fontId="13" fillId="0" borderId="0" xfId="0" applyFont="1"/>
    <xf numFmtId="0" fontId="13" fillId="0" borderId="0" xfId="1" applyFont="1" applyAlignment="1">
      <alignment horizontal="left"/>
    </xf>
    <xf numFmtId="0" fontId="18" fillId="0" borderId="1" xfId="5" applyFont="1" applyBorder="1" applyAlignment="1">
      <alignment horizontal="centerContinuous"/>
    </xf>
    <xf numFmtId="0" fontId="18" fillId="0" borderId="12" xfId="5" applyFont="1" applyBorder="1" applyAlignment="1">
      <alignment horizontal="centerContinuous"/>
    </xf>
    <xf numFmtId="0" fontId="0" fillId="0" borderId="11" xfId="0" applyBorder="1"/>
    <xf numFmtId="0" fontId="15" fillId="0" borderId="0" xfId="0" applyFont="1"/>
    <xf numFmtId="0" fontId="9" fillId="0" borderId="0" xfId="5"/>
    <xf numFmtId="0" fontId="14" fillId="0" borderId="1" xfId="0" applyFont="1" applyBorder="1" applyAlignment="1">
      <alignment horizontal="centerContinuous"/>
    </xf>
    <xf numFmtId="0" fontId="9" fillId="0" borderId="0" xfId="5" applyAlignment="1">
      <alignment horizontal="center"/>
    </xf>
    <xf numFmtId="164" fontId="13" fillId="0" borderId="0" xfId="0" applyNumberFormat="1" applyFont="1"/>
    <xf numFmtId="0" fontId="14" fillId="0" borderId="1" xfId="5" applyFont="1" applyBorder="1" applyAlignment="1">
      <alignment horizontal="center" wrapText="1"/>
    </xf>
    <xf numFmtId="0" fontId="9" fillId="0" borderId="11" xfId="5" applyBorder="1"/>
    <xf numFmtId="0" fontId="9" fillId="0" borderId="1" xfId="5" applyBorder="1" applyAlignment="1">
      <alignment horizontal="centerContinuous"/>
    </xf>
    <xf numFmtId="0" fontId="9" fillId="0" borderId="12" xfId="5" applyBorder="1" applyAlignment="1">
      <alignment horizontal="centerContinuous"/>
    </xf>
    <xf numFmtId="0" fontId="9" fillId="0" borderId="3" xfId="5" applyBorder="1" applyAlignment="1">
      <alignment horizontal="centerContinuous"/>
    </xf>
    <xf numFmtId="0" fontId="14" fillId="0" borderId="12" xfId="5" applyFont="1" applyBorder="1" applyAlignment="1">
      <alignment horizontal="center" wrapText="1"/>
    </xf>
    <xf numFmtId="0" fontId="14" fillId="0" borderId="10" xfId="5" applyFont="1" applyBorder="1" applyAlignment="1">
      <alignment horizontal="center" wrapText="1"/>
    </xf>
    <xf numFmtId="0" fontId="14" fillId="0" borderId="1" xfId="0" applyFont="1" applyBorder="1" applyAlignment="1">
      <alignment wrapText="1"/>
    </xf>
    <xf numFmtId="0" fontId="14" fillId="0" borderId="12" xfId="0" applyFont="1" applyBorder="1" applyAlignment="1">
      <alignment wrapText="1"/>
    </xf>
    <xf numFmtId="164" fontId="9" fillId="0" borderId="0" xfId="5" applyNumberFormat="1" applyAlignment="1">
      <alignment horizontal="center"/>
    </xf>
    <xf numFmtId="164" fontId="9" fillId="0" borderId="11" xfId="5" applyNumberFormat="1" applyBorder="1" applyAlignment="1">
      <alignment horizontal="center"/>
    </xf>
    <xf numFmtId="164" fontId="13" fillId="0" borderId="11" xfId="0" applyNumberFormat="1" applyFont="1" applyBorder="1"/>
    <xf numFmtId="0" fontId="19" fillId="0" borderId="0" xfId="5" applyFont="1" applyAlignment="1">
      <alignment horizontal="center"/>
    </xf>
    <xf numFmtId="0" fontId="9" fillId="0" borderId="11" xfId="5" applyBorder="1" applyAlignment="1">
      <alignment horizontal="center"/>
    </xf>
    <xf numFmtId="0" fontId="14" fillId="2" borderId="0" xfId="5" applyFont="1" applyFill="1" applyAlignment="1">
      <alignment horizontal="center"/>
    </xf>
    <xf numFmtId="0" fontId="14" fillId="2" borderId="11" xfId="5" applyFont="1" applyFill="1" applyBorder="1" applyAlignment="1">
      <alignment horizontal="center"/>
    </xf>
    <xf numFmtId="164" fontId="14" fillId="2" borderId="0" xfId="5" applyNumberFormat="1" applyFont="1" applyFill="1" applyAlignment="1">
      <alignment horizontal="center"/>
    </xf>
    <xf numFmtId="164" fontId="14" fillId="2" borderId="11" xfId="5" applyNumberFormat="1" applyFont="1" applyFill="1" applyBorder="1" applyAlignment="1">
      <alignment horizontal="center"/>
    </xf>
    <xf numFmtId="164" fontId="14" fillId="2" borderId="0" xfId="0" applyNumberFormat="1" applyFont="1" applyFill="1"/>
    <xf numFmtId="164" fontId="14" fillId="2" borderId="11" xfId="0" applyNumberFormat="1" applyFont="1" applyFill="1" applyBorder="1"/>
    <xf numFmtId="0" fontId="13" fillId="0" borderId="0" xfId="0" applyFont="1" applyAlignment="1">
      <alignment horizontal="left"/>
    </xf>
    <xf numFmtId="0" fontId="16" fillId="0" borderId="0" xfId="0" applyFont="1"/>
    <xf numFmtId="164" fontId="19" fillId="0" borderId="0" xfId="5" applyNumberFormat="1" applyFont="1" applyAlignment="1">
      <alignment horizontal="right"/>
    </xf>
    <xf numFmtId="0" fontId="14" fillId="0" borderId="0" xfId="0" applyFont="1"/>
    <xf numFmtId="164" fontId="19" fillId="0" borderId="11" xfId="5" applyNumberFormat="1" applyFont="1" applyBorder="1" applyAlignment="1">
      <alignment horizontal="right"/>
    </xf>
    <xf numFmtId="0" fontId="15" fillId="0" borderId="0" xfId="0" applyFont="1" applyAlignment="1">
      <alignment horizontal="center"/>
    </xf>
    <xf numFmtId="0" fontId="13" fillId="0" borderId="0" xfId="0" applyFont="1" applyAlignment="1">
      <alignment horizontal="center"/>
    </xf>
    <xf numFmtId="0" fontId="13" fillId="0" borderId="15" xfId="0" applyFont="1" applyBorder="1"/>
    <xf numFmtId="0" fontId="13" fillId="0" borderId="9" xfId="0" applyFont="1" applyBorder="1"/>
    <xf numFmtId="164" fontId="13" fillId="0" borderId="5" xfId="0" applyNumberFormat="1" applyFont="1" applyBorder="1"/>
    <xf numFmtId="0" fontId="13" fillId="2" borderId="9" xfId="0" applyFont="1" applyFill="1" applyBorder="1"/>
    <xf numFmtId="4" fontId="13" fillId="2" borderId="0" xfId="0" applyNumberFormat="1" applyFont="1" applyFill="1"/>
    <xf numFmtId="4" fontId="13" fillId="2" borderId="5" xfId="0" applyNumberFormat="1" applyFont="1" applyFill="1" applyBorder="1"/>
    <xf numFmtId="0" fontId="13" fillId="0" borderId="14" xfId="0" applyFont="1" applyBorder="1"/>
    <xf numFmtId="164" fontId="13" fillId="0" borderId="4" xfId="0" applyNumberFormat="1" applyFont="1" applyBorder="1"/>
    <xf numFmtId="164" fontId="13" fillId="0" borderId="6" xfId="0" applyNumberFormat="1" applyFont="1" applyBorder="1"/>
    <xf numFmtId="0" fontId="13" fillId="0" borderId="12" xfId="0" applyFont="1" applyBorder="1"/>
    <xf numFmtId="164" fontId="14" fillId="2" borderId="11" xfId="5" applyNumberFormat="1" applyFont="1" applyFill="1" applyBorder="1" applyAlignment="1">
      <alignment horizontal="right"/>
    </xf>
    <xf numFmtId="164" fontId="14" fillId="2" borderId="0" xfId="5" applyNumberFormat="1" applyFont="1" applyFill="1" applyAlignment="1">
      <alignment horizontal="right"/>
    </xf>
    <xf numFmtId="0" fontId="14" fillId="0" borderId="1" xfId="0" applyFont="1" applyBorder="1" applyAlignment="1">
      <alignment horizontal="center" wrapText="1"/>
    </xf>
    <xf numFmtId="0" fontId="19" fillId="0" borderId="0" xfId="0" applyFont="1" applyAlignment="1">
      <alignment horizontal="center"/>
    </xf>
    <xf numFmtId="0" fontId="14" fillId="2" borderId="0" xfId="0" applyFont="1" applyFill="1" applyAlignment="1">
      <alignment horizontal="center"/>
    </xf>
    <xf numFmtId="0" fontId="8" fillId="0" borderId="0" xfId="5" applyFont="1" applyAlignment="1">
      <alignment wrapText="1"/>
    </xf>
    <xf numFmtId="0" fontId="8" fillId="0" borderId="0" xfId="5" applyFont="1"/>
    <xf numFmtId="0" fontId="20" fillId="0" borderId="0" xfId="0" applyFont="1"/>
    <xf numFmtId="0" fontId="21" fillId="0" borderId="0" xfId="0" applyFont="1"/>
    <xf numFmtId="0" fontId="20" fillId="0" borderId="0" xfId="0" applyFont="1" applyAlignment="1">
      <alignment horizontal="left"/>
    </xf>
    <xf numFmtId="9" fontId="16" fillId="0" borderId="0" xfId="0" applyNumberFormat="1" applyFont="1"/>
    <xf numFmtId="0" fontId="14" fillId="0" borderId="1" xfId="0" applyFont="1" applyBorder="1" applyAlignment="1">
      <alignment horizontal="centerContinuous" wrapText="1"/>
    </xf>
    <xf numFmtId="0" fontId="11" fillId="0" borderId="0" xfId="0" applyFont="1"/>
    <xf numFmtId="164" fontId="19" fillId="0" borderId="2" xfId="5" applyNumberFormat="1" applyFont="1" applyBorder="1" applyAlignment="1">
      <alignment horizontal="right"/>
    </xf>
    <xf numFmtId="164" fontId="14" fillId="2" borderId="2" xfId="5" applyNumberFormat="1" applyFont="1" applyFill="1" applyBorder="1" applyAlignment="1">
      <alignment horizontal="right"/>
    </xf>
    <xf numFmtId="0" fontId="14" fillId="0" borderId="7" xfId="0" applyFont="1" applyBorder="1" applyAlignment="1">
      <alignment horizontal="right"/>
    </xf>
    <xf numFmtId="0" fontId="14" fillId="0" borderId="13" xfId="0" applyFont="1" applyBorder="1" applyAlignment="1">
      <alignment horizontal="right"/>
    </xf>
    <xf numFmtId="0" fontId="22" fillId="3" borderId="1" xfId="0" applyFont="1" applyFill="1" applyBorder="1" applyAlignment="1">
      <alignment horizontal="center" vertical="center" wrapText="1"/>
    </xf>
    <xf numFmtId="0" fontId="0" fillId="0" borderId="0" xfId="0" applyAlignment="1">
      <alignment wrapText="1"/>
    </xf>
    <xf numFmtId="0" fontId="23" fillId="0" borderId="17" xfId="0" applyFont="1" applyBorder="1" applyAlignment="1">
      <alignment vertical="center" wrapText="1"/>
    </xf>
    <xf numFmtId="164" fontId="23" fillId="0" borderId="17" xfId="0" applyNumberFormat="1" applyFont="1" applyBorder="1" applyAlignment="1">
      <alignment horizontal="center" vertical="center" wrapText="1"/>
    </xf>
    <xf numFmtId="0" fontId="22" fillId="3" borderId="17" xfId="0" applyFont="1" applyFill="1" applyBorder="1" applyAlignment="1">
      <alignment vertical="center"/>
    </xf>
    <xf numFmtId="0" fontId="22" fillId="3" borderId="17" xfId="0" applyFont="1" applyFill="1" applyBorder="1" applyAlignment="1">
      <alignment horizontal="right" vertical="center" wrapText="1"/>
    </xf>
    <xf numFmtId="164" fontId="22" fillId="3" borderId="17" xfId="0" applyNumberFormat="1" applyFont="1" applyFill="1" applyBorder="1" applyAlignment="1">
      <alignment horizontal="center" vertical="center" wrapText="1"/>
    </xf>
    <xf numFmtId="0" fontId="22" fillId="3" borderId="19" xfId="0" applyFont="1" applyFill="1" applyBorder="1" applyAlignment="1">
      <alignment vertical="center"/>
    </xf>
    <xf numFmtId="0" fontId="22" fillId="3" borderId="19" xfId="0" applyFont="1" applyFill="1" applyBorder="1" applyAlignment="1">
      <alignment horizontal="right" vertical="center" wrapText="1"/>
    </xf>
    <xf numFmtId="164" fontId="22" fillId="3" borderId="19" xfId="0" applyNumberFormat="1" applyFont="1" applyFill="1" applyBorder="1" applyAlignment="1">
      <alignment horizontal="center" vertical="center" wrapText="1"/>
    </xf>
    <xf numFmtId="0" fontId="23" fillId="0" borderId="18" xfId="0" applyFont="1" applyBorder="1" applyAlignment="1">
      <alignment vertical="center" wrapText="1"/>
    </xf>
    <xf numFmtId="164" fontId="23" fillId="0" borderId="18" xfId="0" applyNumberFormat="1" applyFont="1" applyBorder="1" applyAlignment="1">
      <alignment horizontal="center" vertical="center" wrapText="1"/>
    </xf>
    <xf numFmtId="0" fontId="22" fillId="3" borderId="18" xfId="0" applyFont="1" applyFill="1" applyBorder="1" applyAlignment="1">
      <alignment vertical="center"/>
    </xf>
    <xf numFmtId="0" fontId="22" fillId="3" borderId="18" xfId="0" applyFont="1" applyFill="1" applyBorder="1" applyAlignment="1">
      <alignment horizontal="right" vertical="center" wrapText="1"/>
    </xf>
    <xf numFmtId="40" fontId="22" fillId="3" borderId="18" xfId="0" applyNumberFormat="1" applyFont="1" applyFill="1" applyBorder="1" applyAlignment="1">
      <alignment horizontal="center" vertical="center"/>
    </xf>
    <xf numFmtId="0" fontId="14" fillId="0" borderId="1" xfId="5" applyFont="1" applyBorder="1" applyAlignment="1">
      <alignment horizontal="center" vertical="center" wrapText="1"/>
    </xf>
    <xf numFmtId="0" fontId="14" fillId="0" borderId="12" xfId="5" applyFont="1" applyBorder="1" applyAlignment="1">
      <alignment horizontal="center" vertical="center" wrapText="1"/>
    </xf>
    <xf numFmtId="0" fontId="14" fillId="0" borderId="16" xfId="5" applyFont="1" applyBorder="1" applyAlignment="1">
      <alignment horizontal="center" vertical="center" wrapText="1"/>
    </xf>
    <xf numFmtId="0" fontId="14" fillId="0" borderId="1" xfId="0" applyFont="1" applyBorder="1" applyAlignment="1">
      <alignment horizontal="center" vertical="center" wrapText="1"/>
    </xf>
    <xf numFmtId="0" fontId="14" fillId="0" borderId="12" xfId="0" applyFont="1" applyBorder="1" applyAlignment="1">
      <alignment horizontal="center" vertical="center" wrapText="1"/>
    </xf>
    <xf numFmtId="0" fontId="13" fillId="0" borderId="0" xfId="0" applyFont="1" applyAlignment="1">
      <alignment horizontal="center" vertical="center"/>
    </xf>
    <xf numFmtId="0" fontId="13" fillId="0" borderId="0" xfId="1" applyFont="1"/>
    <xf numFmtId="0" fontId="16" fillId="0" borderId="0" xfId="0" applyFont="1" applyAlignment="1">
      <alignment horizontal="center"/>
    </xf>
    <xf numFmtId="9" fontId="16" fillId="0" borderId="0" xfId="1" applyNumberFormat="1" applyFont="1"/>
    <xf numFmtId="0" fontId="14" fillId="0" borderId="1" xfId="1" applyFont="1" applyBorder="1" applyAlignment="1">
      <alignment horizontal="centerContinuous"/>
    </xf>
    <xf numFmtId="164" fontId="16" fillId="0" borderId="0" xfId="1" applyNumberFormat="1" applyFont="1"/>
    <xf numFmtId="0" fontId="14" fillId="0" borderId="0" xfId="1" applyFont="1"/>
    <xf numFmtId="0" fontId="18" fillId="0" borderId="20" xfId="0" applyFont="1" applyBorder="1"/>
    <xf numFmtId="0" fontId="18" fillId="0" borderId="0" xfId="0" applyFont="1"/>
    <xf numFmtId="0" fontId="0" fillId="0" borderId="0" xfId="0" applyAlignment="1">
      <alignment horizontal="left" indent="1"/>
    </xf>
    <xf numFmtId="164" fontId="18" fillId="0" borderId="21" xfId="0" applyNumberFormat="1" applyFont="1" applyBorder="1"/>
    <xf numFmtId="164" fontId="24" fillId="0" borderId="0" xfId="0" applyNumberFormat="1" applyFont="1"/>
    <xf numFmtId="9" fontId="24" fillId="0" borderId="0" xfId="4" applyFont="1"/>
    <xf numFmtId="9" fontId="25" fillId="0" borderId="0" xfId="4" applyFont="1"/>
    <xf numFmtId="0" fontId="18" fillId="0" borderId="21" xfId="0" applyFont="1" applyBorder="1"/>
    <xf numFmtId="164" fontId="18" fillId="0" borderId="21" xfId="0" applyNumberFormat="1" applyFont="1" applyBorder="1" applyAlignment="1">
      <alignment horizontal="center"/>
    </xf>
    <xf numFmtId="164" fontId="14" fillId="0" borderId="21" xfId="0" applyNumberFormat="1" applyFont="1" applyBorder="1"/>
    <xf numFmtId="0" fontId="15" fillId="0" borderId="0" xfId="0" applyFont="1" applyAlignment="1">
      <alignment wrapText="1"/>
    </xf>
    <xf numFmtId="0" fontId="15" fillId="0" borderId="0" xfId="0" applyFont="1" applyAlignment="1">
      <alignment horizontal="center" wrapText="1"/>
    </xf>
    <xf numFmtId="0" fontId="26" fillId="0" borderId="0" xfId="0" applyFont="1"/>
    <xf numFmtId="0" fontId="27" fillId="0" borderId="1" xfId="0" applyFont="1" applyBorder="1" applyAlignment="1">
      <alignment horizontal="centerContinuous" wrapText="1"/>
    </xf>
    <xf numFmtId="0" fontId="27" fillId="0" borderId="1" xfId="0" applyFont="1" applyBorder="1" applyAlignment="1">
      <alignment horizontal="center" wrapText="1"/>
    </xf>
    <xf numFmtId="164" fontId="28" fillId="0" borderId="21" xfId="0" applyNumberFormat="1" applyFont="1" applyBorder="1"/>
    <xf numFmtId="0" fontId="25" fillId="0" borderId="0" xfId="0" applyFont="1"/>
    <xf numFmtId="0" fontId="28" fillId="0" borderId="21" xfId="0" applyFont="1" applyBorder="1"/>
    <xf numFmtId="0" fontId="30" fillId="0" borderId="0" xfId="0" applyFont="1"/>
    <xf numFmtId="0" fontId="14" fillId="0" borderId="8" xfId="0" applyFont="1" applyBorder="1" applyAlignment="1">
      <alignment horizontal="centerContinuous" wrapText="1"/>
    </xf>
    <xf numFmtId="0" fontId="31" fillId="0" borderId="0" xfId="0" applyFont="1"/>
    <xf numFmtId="0" fontId="32" fillId="0" borderId="0" xfId="0" applyFont="1"/>
    <xf numFmtId="0" fontId="14" fillId="0" borderId="10" xfId="0" applyFont="1" applyBorder="1" applyAlignment="1">
      <alignment horizontal="centerContinuous" wrapText="1"/>
    </xf>
    <xf numFmtId="0" fontId="14" fillId="0" borderId="12" xfId="1" applyFont="1" applyBorder="1" applyAlignment="1">
      <alignment horizontal="centerContinuous"/>
    </xf>
    <xf numFmtId="0" fontId="14" fillId="0" borderId="0" xfId="1" applyFont="1" applyAlignment="1">
      <alignment wrapText="1"/>
    </xf>
    <xf numFmtId="167" fontId="33" fillId="0" borderId="0" xfId="9" applyNumberFormat="1" applyFont="1" applyBorder="1"/>
    <xf numFmtId="167" fontId="0" fillId="0" borderId="0" xfId="9" applyNumberFormat="1" applyFont="1" applyBorder="1"/>
    <xf numFmtId="167" fontId="18" fillId="0" borderId="0" xfId="9" applyNumberFormat="1" applyFont="1" applyBorder="1"/>
    <xf numFmtId="0" fontId="18" fillId="0" borderId="1"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11" xfId="0" applyFont="1" applyBorder="1"/>
    <xf numFmtId="167" fontId="0" fillId="0" borderId="11" xfId="0" applyNumberFormat="1" applyBorder="1"/>
    <xf numFmtId="167" fontId="18" fillId="0" borderId="11" xfId="9" applyNumberFormat="1" applyFont="1" applyBorder="1"/>
    <xf numFmtId="0" fontId="14" fillId="0" borderId="0" xfId="1" applyFont="1" applyAlignment="1">
      <alignment horizontal="center" wrapText="1"/>
    </xf>
    <xf numFmtId="5" fontId="0" fillId="0" borderId="11" xfId="9" applyNumberFormat="1" applyFont="1" applyBorder="1"/>
    <xf numFmtId="0" fontId="18" fillId="0" borderId="10" xfId="0" applyFont="1" applyBorder="1" applyAlignment="1">
      <alignment horizontal="center" vertical="center" wrapText="1"/>
    </xf>
    <xf numFmtId="164" fontId="0" fillId="0" borderId="0" xfId="9" applyNumberFormat="1" applyFont="1" applyBorder="1"/>
    <xf numFmtId="164" fontId="0" fillId="0" borderId="11" xfId="9" applyNumberFormat="1" applyFont="1" applyBorder="1"/>
    <xf numFmtId="164" fontId="18" fillId="0" borderId="0" xfId="9" applyNumberFormat="1" applyFont="1" applyBorder="1"/>
    <xf numFmtId="164" fontId="18" fillId="0" borderId="11" xfId="9" applyNumberFormat="1" applyFont="1" applyBorder="1"/>
    <xf numFmtId="0" fontId="18" fillId="0" borderId="0" xfId="5" applyFont="1"/>
    <xf numFmtId="164" fontId="9" fillId="0" borderId="0" xfId="5" applyNumberFormat="1"/>
    <xf numFmtId="0" fontId="9" fillId="0" borderId="0" xfId="5" applyAlignment="1">
      <alignment horizontal="left" indent="2"/>
    </xf>
    <xf numFmtId="0" fontId="11" fillId="0" borderId="11" xfId="0" applyFont="1" applyBorder="1"/>
    <xf numFmtId="167" fontId="13" fillId="0" borderId="0" xfId="9" applyNumberFormat="1" applyFont="1" applyBorder="1"/>
    <xf numFmtId="0" fontId="24" fillId="0" borderId="0" xfId="9" applyNumberFormat="1" applyFont="1" applyBorder="1"/>
    <xf numFmtId="0" fontId="14" fillId="0" borderId="8" xfId="1" applyFont="1" applyBorder="1" applyAlignment="1">
      <alignment horizontal="centerContinuous"/>
    </xf>
    <xf numFmtId="0" fontId="18" fillId="0" borderId="0" xfId="5" applyFont="1" applyAlignment="1">
      <alignment horizontal="right"/>
    </xf>
    <xf numFmtId="164" fontId="18" fillId="0" borderId="0" xfId="5" applyNumberFormat="1" applyFont="1"/>
    <xf numFmtId="0" fontId="14" fillId="0" borderId="3" xfId="1" applyFont="1" applyBorder="1" applyAlignment="1">
      <alignment horizontal="centerContinuous"/>
    </xf>
    <xf numFmtId="9" fontId="16" fillId="0" borderId="2" xfId="2" applyFont="1" applyFill="1" applyBorder="1"/>
    <xf numFmtId="9" fontId="16" fillId="0" borderId="2" xfId="2" applyFont="1" applyFill="1" applyBorder="1" applyAlignment="1">
      <alignment horizontal="center"/>
    </xf>
    <xf numFmtId="167" fontId="18" fillId="0" borderId="2" xfId="9" applyNumberFormat="1" applyFont="1" applyBorder="1" applyAlignment="1">
      <alignment horizontal="center"/>
    </xf>
    <xf numFmtId="168" fontId="0" fillId="0" borderId="11" xfId="9" applyNumberFormat="1" applyFont="1" applyBorder="1" applyAlignment="1">
      <alignment horizontal="right"/>
    </xf>
    <xf numFmtId="166" fontId="33" fillId="0" borderId="0" xfId="4" applyNumberFormat="1" applyFont="1"/>
    <xf numFmtId="164" fontId="13" fillId="0" borderId="0" xfId="11" applyNumberFormat="1" applyFont="1"/>
    <xf numFmtId="166" fontId="18" fillId="0" borderId="0" xfId="5" applyNumberFormat="1" applyFont="1"/>
    <xf numFmtId="0" fontId="18" fillId="0" borderId="0" xfId="5" applyFont="1" applyAlignment="1">
      <alignment horizontal="left" indent="1"/>
    </xf>
    <xf numFmtId="0" fontId="12" fillId="0" borderId="0" xfId="0" applyFont="1"/>
    <xf numFmtId="0" fontId="18" fillId="0" borderId="0" xfId="5" applyFont="1" applyAlignment="1">
      <alignment horizontal="center"/>
    </xf>
    <xf numFmtId="3" fontId="13" fillId="0" borderId="0" xfId="11" applyNumberFormat="1" applyFont="1"/>
    <xf numFmtId="4" fontId="16" fillId="0" borderId="0" xfId="11" applyNumberFormat="1" applyFont="1"/>
    <xf numFmtId="3" fontId="16" fillId="0" borderId="0" xfId="11" applyNumberFormat="1" applyFont="1"/>
    <xf numFmtId="43" fontId="0" fillId="0" borderId="11" xfId="9" applyFont="1" applyBorder="1"/>
    <xf numFmtId="0" fontId="13" fillId="0" borderId="0" xfId="1" applyFont="1" applyAlignment="1">
      <alignment horizontal="left" indent="1"/>
    </xf>
    <xf numFmtId="3" fontId="19" fillId="0" borderId="0" xfId="11" applyNumberFormat="1" applyFont="1"/>
    <xf numFmtId="9" fontId="24" fillId="0" borderId="0" xfId="4" applyFont="1" applyFill="1"/>
    <xf numFmtId="164" fontId="13" fillId="0" borderId="0" xfId="1" applyNumberFormat="1" applyFont="1"/>
    <xf numFmtId="164" fontId="14" fillId="0" borderId="0" xfId="1" applyNumberFormat="1" applyFont="1"/>
    <xf numFmtId="9" fontId="16" fillId="0" borderId="0" xfId="5" applyNumberFormat="1" applyFont="1" applyAlignment="1">
      <alignment horizontal="center"/>
    </xf>
    <xf numFmtId="0" fontId="36" fillId="0" borderId="0" xfId="0" applyFont="1"/>
    <xf numFmtId="9" fontId="25" fillId="0" borderId="0" xfId="4" applyFont="1" applyFill="1"/>
    <xf numFmtId="9" fontId="24" fillId="0" borderId="0" xfId="4" applyFont="1" applyBorder="1"/>
    <xf numFmtId="9" fontId="25" fillId="0" borderId="0" xfId="4" applyFont="1" applyBorder="1"/>
    <xf numFmtId="0" fontId="14" fillId="0" borderId="0" xfId="1" applyFont="1" applyAlignment="1">
      <alignment horizontal="right"/>
    </xf>
    <xf numFmtId="0" fontId="16" fillId="4" borderId="0" xfId="1" applyFont="1" applyFill="1" applyAlignment="1">
      <alignment horizontal="center"/>
    </xf>
    <xf numFmtId="0" fontId="13" fillId="0" borderId="0" xfId="1" applyFont="1" applyAlignment="1">
      <alignment horizontal="right"/>
    </xf>
    <xf numFmtId="0" fontId="13" fillId="0" borderId="0" xfId="1" applyFont="1" applyAlignment="1">
      <alignment horizontal="center"/>
    </xf>
    <xf numFmtId="0" fontId="11" fillId="0" borderId="0" xfId="1"/>
    <xf numFmtId="0" fontId="11" fillId="0" borderId="11" xfId="1" applyBorder="1"/>
    <xf numFmtId="0" fontId="12" fillId="0" borderId="1" xfId="1" applyFont="1" applyBorder="1" applyAlignment="1">
      <alignment horizontal="centerContinuous"/>
    </xf>
    <xf numFmtId="0" fontId="12" fillId="0" borderId="12" xfId="1" applyFont="1" applyBorder="1" applyAlignment="1">
      <alignment horizontal="centerContinuous"/>
    </xf>
    <xf numFmtId="0" fontId="12" fillId="0" borderId="1" xfId="0" applyFont="1" applyBorder="1" applyAlignment="1">
      <alignment horizontal="center" wrapText="1"/>
    </xf>
    <xf numFmtId="0" fontId="12" fillId="0" borderId="12" xfId="0" applyFont="1" applyBorder="1" applyAlignment="1">
      <alignment horizontal="center" wrapText="1"/>
    </xf>
    <xf numFmtId="0" fontId="12" fillId="0" borderId="1" xfId="1" applyFont="1" applyBorder="1" applyAlignment="1">
      <alignment horizontal="center" wrapText="1"/>
    </xf>
    <xf numFmtId="0" fontId="12" fillId="0" borderId="12" xfId="1" applyFont="1" applyBorder="1" applyAlignment="1">
      <alignment horizontal="center" wrapText="1"/>
    </xf>
    <xf numFmtId="0" fontId="12" fillId="0" borderId="10" xfId="1" applyFont="1" applyBorder="1" applyAlignment="1">
      <alignment horizontal="center" wrapText="1"/>
    </xf>
    <xf numFmtId="0" fontId="12" fillId="0" borderId="0" xfId="1" applyFont="1" applyAlignment="1">
      <alignment horizontal="center" wrapText="1"/>
    </xf>
    <xf numFmtId="0" fontId="12" fillId="0" borderId="8" xfId="1" applyFont="1" applyBorder="1" applyAlignment="1">
      <alignment horizontal="center"/>
    </xf>
    <xf numFmtId="0" fontId="12" fillId="0" borderId="8" xfId="1" applyFont="1" applyBorder="1"/>
    <xf numFmtId="0" fontId="0" fillId="0" borderId="11" xfId="0" applyBorder="1" applyAlignment="1">
      <alignment horizontal="center"/>
    </xf>
    <xf numFmtId="170" fontId="13" fillId="0" borderId="0" xfId="1" applyNumberFormat="1" applyFont="1" applyAlignment="1">
      <alignment horizontal="center"/>
    </xf>
    <xf numFmtId="170" fontId="13" fillId="0" borderId="11" xfId="1" applyNumberFormat="1" applyFont="1" applyBorder="1" applyAlignment="1">
      <alignment horizontal="center"/>
    </xf>
    <xf numFmtId="164" fontId="13" fillId="0" borderId="0" xfId="1" applyNumberFormat="1" applyFont="1" applyAlignment="1">
      <alignment horizontal="center"/>
    </xf>
    <xf numFmtId="164" fontId="13" fillId="0" borderId="11" xfId="1" applyNumberFormat="1" applyFont="1" applyBorder="1" applyAlignment="1">
      <alignment horizontal="center"/>
    </xf>
    <xf numFmtId="164" fontId="11" fillId="0" borderId="0" xfId="1" applyNumberFormat="1"/>
    <xf numFmtId="3" fontId="16" fillId="0" borderId="0" xfId="1" applyNumberFormat="1" applyFont="1"/>
    <xf numFmtId="0" fontId="16" fillId="0" borderId="0" xfId="1" applyFont="1" applyAlignment="1">
      <alignment horizontal="center"/>
    </xf>
    <xf numFmtId="0" fontId="11" fillId="0" borderId="0" xfId="1" applyAlignment="1">
      <alignment horizontal="center"/>
    </xf>
    <xf numFmtId="0" fontId="11" fillId="0" borderId="11" xfId="1" applyBorder="1" applyAlignment="1">
      <alignment horizontal="center"/>
    </xf>
    <xf numFmtId="0" fontId="41" fillId="0" borderId="0" xfId="1" applyFont="1"/>
    <xf numFmtId="0" fontId="14" fillId="0" borderId="0" xfId="1" applyFont="1" applyAlignment="1">
      <alignment horizontal="left"/>
    </xf>
    <xf numFmtId="0" fontId="14" fillId="0" borderId="0" xfId="1" applyFont="1" applyAlignment="1">
      <alignment horizontal="center"/>
    </xf>
    <xf numFmtId="0" fontId="14" fillId="0" borderId="0" xfId="1" applyFont="1" applyAlignment="1">
      <alignment horizontal="center" vertical="center"/>
    </xf>
    <xf numFmtId="0" fontId="14" fillId="0" borderId="0" xfId="1" applyFont="1" applyAlignment="1">
      <alignment horizontal="center" vertical="center" wrapText="1"/>
    </xf>
    <xf numFmtId="0" fontId="40" fillId="0" borderId="0" xfId="1" applyFont="1" applyAlignment="1">
      <alignment horizontal="center"/>
    </xf>
    <xf numFmtId="171" fontId="16" fillId="0" borderId="0" xfId="1" applyNumberFormat="1" applyFont="1" applyAlignment="1">
      <alignment horizontal="center"/>
    </xf>
    <xf numFmtId="0" fontId="16" fillId="0" borderId="0" xfId="1" quotePrefix="1" applyFont="1" applyAlignment="1">
      <alignment horizontal="center"/>
    </xf>
    <xf numFmtId="0" fontId="14" fillId="0" borderId="0" xfId="28" applyFont="1" applyAlignment="1">
      <alignment horizontal="left"/>
    </xf>
    <xf numFmtId="0" fontId="14" fillId="0" borderId="0" xfId="28" applyFont="1" applyAlignment="1">
      <alignment horizontal="center"/>
    </xf>
    <xf numFmtId="0" fontId="13" fillId="0" borderId="0" xfId="28" applyFont="1" applyAlignment="1">
      <alignment horizontal="center"/>
    </xf>
    <xf numFmtId="0" fontId="13" fillId="0" borderId="0" xfId="28" applyFont="1"/>
    <xf numFmtId="0" fontId="14" fillId="0" borderId="0" xfId="28" applyFont="1" applyAlignment="1">
      <alignment horizontal="center" vertical="center"/>
    </xf>
    <xf numFmtId="0" fontId="14" fillId="0" borderId="0" xfId="28" applyFont="1" applyAlignment="1">
      <alignment horizontal="center" vertical="center" wrapText="1"/>
    </xf>
    <xf numFmtId="0" fontId="16" fillId="0" borderId="0" xfId="28" applyFont="1" applyAlignment="1">
      <alignment horizontal="center"/>
    </xf>
    <xf numFmtId="0" fontId="40" fillId="0" borderId="0" xfId="28" quotePrefix="1" applyFont="1" applyAlignment="1">
      <alignment horizontal="center"/>
    </xf>
    <xf numFmtId="0" fontId="16" fillId="0" borderId="0" xfId="28" quotePrefix="1" applyFont="1" applyAlignment="1">
      <alignment horizontal="center"/>
    </xf>
    <xf numFmtId="0" fontId="39" fillId="0" borderId="0" xfId="22"/>
    <xf numFmtId="0" fontId="16" fillId="0" borderId="0" xfId="28" applyFont="1"/>
    <xf numFmtId="0" fontId="14" fillId="0" borderId="0" xfId="28" applyFont="1"/>
    <xf numFmtId="0" fontId="13" fillId="0" borderId="0" xfId="28" applyFont="1" applyAlignment="1">
      <alignment horizontal="left"/>
    </xf>
    <xf numFmtId="0" fontId="13" fillId="0" borderId="0" xfId="28" applyFont="1" applyAlignment="1">
      <alignment horizontal="left" wrapText="1"/>
    </xf>
    <xf numFmtId="1" fontId="16" fillId="0" borderId="0" xfId="28" applyNumberFormat="1" applyFont="1"/>
    <xf numFmtId="0" fontId="12" fillId="0" borderId="0" xfId="28" applyFont="1"/>
    <xf numFmtId="0" fontId="19" fillId="0" borderId="0" xfId="1" applyFont="1"/>
    <xf numFmtId="0" fontId="12" fillId="2" borderId="0" xfId="1" applyFont="1" applyFill="1" applyAlignment="1">
      <alignment horizontal="center"/>
    </xf>
    <xf numFmtId="0" fontId="12" fillId="2" borderId="11" xfId="1" applyFont="1" applyFill="1" applyBorder="1" applyAlignment="1">
      <alignment horizontal="center"/>
    </xf>
    <xf numFmtId="3" fontId="12" fillId="2" borderId="0" xfId="1" applyNumberFormat="1" applyFont="1" applyFill="1" applyAlignment="1">
      <alignment horizontal="center"/>
    </xf>
    <xf numFmtId="3" fontId="12" fillId="2" borderId="11" xfId="1" applyNumberFormat="1" applyFont="1" applyFill="1" applyBorder="1" applyAlignment="1">
      <alignment horizontal="center"/>
    </xf>
    <xf numFmtId="164" fontId="12" fillId="2" borderId="0" xfId="1" applyNumberFormat="1" applyFont="1" applyFill="1"/>
    <xf numFmtId="164" fontId="12" fillId="2" borderId="11" xfId="1" applyNumberFormat="1" applyFont="1" applyFill="1" applyBorder="1"/>
    <xf numFmtId="170" fontId="13" fillId="0" borderId="0" xfId="1" applyNumberFormat="1" applyFont="1"/>
    <xf numFmtId="4" fontId="33" fillId="0" borderId="0" xfId="11" applyNumberFormat="1" applyFont="1"/>
    <xf numFmtId="4" fontId="13" fillId="0" borderId="0" xfId="11" applyNumberFormat="1" applyFont="1"/>
    <xf numFmtId="166" fontId="13" fillId="0" borderId="0" xfId="4" applyNumberFormat="1" applyFont="1" applyFill="1"/>
    <xf numFmtId="166" fontId="16" fillId="0" borderId="0" xfId="4" applyNumberFormat="1" applyFont="1" applyFill="1"/>
    <xf numFmtId="3" fontId="13" fillId="0" borderId="0" xfId="1" applyNumberFormat="1" applyFont="1" applyAlignment="1">
      <alignment horizontal="center"/>
    </xf>
    <xf numFmtId="3" fontId="13" fillId="0" borderId="11" xfId="1" applyNumberFormat="1" applyFont="1" applyBorder="1" applyAlignment="1">
      <alignment horizontal="center"/>
    </xf>
    <xf numFmtId="164" fontId="13" fillId="0" borderId="0" xfId="5" applyNumberFormat="1" applyFont="1" applyAlignment="1">
      <alignment horizontal="right"/>
    </xf>
    <xf numFmtId="164" fontId="13" fillId="0" borderId="11" xfId="5" applyNumberFormat="1" applyFont="1" applyBorder="1" applyAlignment="1">
      <alignment horizontal="right"/>
    </xf>
    <xf numFmtId="0" fontId="43" fillId="0" borderId="17" xfId="0" applyFont="1" applyBorder="1" applyAlignment="1">
      <alignment vertical="center" wrapText="1"/>
    </xf>
    <xf numFmtId="0" fontId="18" fillId="0" borderId="0" xfId="5" applyFont="1" applyAlignment="1">
      <alignment horizontal="left"/>
    </xf>
    <xf numFmtId="4" fontId="14" fillId="0" borderId="0" xfId="11" applyNumberFormat="1" applyFont="1"/>
    <xf numFmtId="3" fontId="19" fillId="0" borderId="0" xfId="1" applyNumberFormat="1" applyFont="1" applyAlignment="1">
      <alignment horizontal="center"/>
    </xf>
    <xf numFmtId="3" fontId="19" fillId="0" borderId="11" xfId="1" applyNumberFormat="1" applyFont="1" applyBorder="1" applyAlignment="1">
      <alignment horizontal="center"/>
    </xf>
    <xf numFmtId="164" fontId="23" fillId="0" borderId="22" xfId="0" applyNumberFormat="1" applyFont="1" applyBorder="1" applyAlignment="1">
      <alignment horizontal="center" vertical="center" wrapText="1"/>
    </xf>
    <xf numFmtId="0" fontId="14" fillId="0" borderId="10" xfId="5" applyFont="1" applyBorder="1" applyAlignment="1">
      <alignment horizontal="center" vertical="center" wrapText="1"/>
    </xf>
    <xf numFmtId="164" fontId="15" fillId="0" borderId="0" xfId="0" applyNumberFormat="1" applyFont="1"/>
    <xf numFmtId="9" fontId="24" fillId="0" borderId="0" xfId="2" applyFont="1"/>
    <xf numFmtId="9" fontId="11" fillId="0" borderId="0" xfId="2" applyFont="1"/>
    <xf numFmtId="164" fontId="24" fillId="0" borderId="0" xfId="11" applyNumberFormat="1" applyFont="1"/>
    <xf numFmtId="9" fontId="25" fillId="0" borderId="0" xfId="2" applyFont="1"/>
    <xf numFmtId="4" fontId="13" fillId="0" borderId="0" xfId="1" applyNumberFormat="1" applyFont="1"/>
    <xf numFmtId="0" fontId="11" fillId="0" borderId="0" xfId="0" quotePrefix="1" applyFont="1" applyAlignment="1">
      <alignment horizontal="center"/>
    </xf>
    <xf numFmtId="164" fontId="25" fillId="0" borderId="0" xfId="0" applyNumberFormat="1" applyFont="1"/>
    <xf numFmtId="172" fontId="13" fillId="0" borderId="0" xfId="0" applyNumberFormat="1" applyFont="1"/>
    <xf numFmtId="0" fontId="2" fillId="0" borderId="11" xfId="5" applyFont="1" applyBorder="1" applyAlignment="1">
      <alignment horizontal="center"/>
    </xf>
    <xf numFmtId="0" fontId="2" fillId="0" borderId="0" xfId="5" applyFont="1" applyAlignment="1">
      <alignment horizontal="center"/>
    </xf>
    <xf numFmtId="0" fontId="2" fillId="0" borderId="0" xfId="5" applyFont="1" applyAlignment="1">
      <alignment horizontal="right"/>
    </xf>
    <xf numFmtId="0" fontId="2" fillId="0" borderId="0" xfId="5" applyFont="1"/>
    <xf numFmtId="0" fontId="2" fillId="0" borderId="0" xfId="5" applyFont="1" applyAlignment="1">
      <alignment horizontal="left" indent="1"/>
    </xf>
    <xf numFmtId="0" fontId="2" fillId="0" borderId="0" xfId="5" applyFont="1" applyAlignment="1">
      <alignment horizontal="left"/>
    </xf>
    <xf numFmtId="0" fontId="2" fillId="0" borderId="0" xfId="5" applyFont="1" applyAlignment="1">
      <alignment wrapText="1"/>
    </xf>
    <xf numFmtId="165" fontId="2" fillId="0" borderId="0" xfId="5" applyNumberFormat="1" applyFont="1"/>
    <xf numFmtId="0" fontId="2" fillId="0" borderId="0" xfId="5" applyFont="1" applyAlignment="1">
      <alignment horizontal="left" indent="2"/>
    </xf>
    <xf numFmtId="0" fontId="2" fillId="0" borderId="0" xfId="26" applyFont="1"/>
    <xf numFmtId="164" fontId="18" fillId="5" borderId="21" xfId="0" applyNumberFormat="1" applyFont="1" applyFill="1" applyBorder="1"/>
    <xf numFmtId="0" fontId="45" fillId="0" borderId="0" xfId="0" applyFont="1"/>
    <xf numFmtId="0" fontId="46" fillId="0" borderId="0" xfId="0" applyFont="1"/>
    <xf numFmtId="164" fontId="18" fillId="0" borderId="21" xfId="0" applyNumberFormat="1" applyFont="1" applyFill="1" applyBorder="1"/>
    <xf numFmtId="164" fontId="12" fillId="0" borderId="0" xfId="0" applyNumberFormat="1" applyFont="1" applyFill="1"/>
    <xf numFmtId="0" fontId="44" fillId="5" borderId="23" xfId="0" applyFont="1" applyFill="1" applyBorder="1" applyAlignment="1">
      <alignment wrapText="1"/>
    </xf>
    <xf numFmtId="164" fontId="13" fillId="5" borderId="0" xfId="0" applyNumberFormat="1" applyFont="1" applyFill="1"/>
    <xf numFmtId="164" fontId="13" fillId="5" borderId="11" xfId="0" applyNumberFormat="1" applyFont="1" applyFill="1" applyBorder="1" applyProtection="1">
      <protection locked="0"/>
    </xf>
    <xf numFmtId="164" fontId="13" fillId="5" borderId="0" xfId="1" applyNumberFormat="1" applyFont="1" applyFill="1" applyAlignment="1">
      <alignment horizontal="center"/>
    </xf>
    <xf numFmtId="165" fontId="16" fillId="5" borderId="0" xfId="11" applyNumberFormat="1" applyFont="1" applyFill="1"/>
    <xf numFmtId="4" fontId="16" fillId="5" borderId="0" xfId="11" applyNumberFormat="1" applyFont="1" applyFill="1"/>
    <xf numFmtId="164" fontId="16" fillId="5" borderId="0" xfId="1" applyNumberFormat="1" applyFont="1" applyFill="1"/>
    <xf numFmtId="164" fontId="13" fillId="0" borderId="0" xfId="1" applyNumberFormat="1" applyFont="1" applyFill="1" applyAlignment="1">
      <alignment horizontal="center"/>
    </xf>
    <xf numFmtId="164" fontId="13" fillId="0" borderId="11" xfId="1" applyNumberFormat="1" applyFont="1" applyFill="1" applyBorder="1" applyAlignment="1">
      <alignment horizontal="center"/>
    </xf>
    <xf numFmtId="0" fontId="12" fillId="5" borderId="1" xfId="1" applyFont="1" applyFill="1" applyBorder="1" applyAlignment="1">
      <alignment horizontal="center" wrapText="1"/>
    </xf>
    <xf numFmtId="0" fontId="12" fillId="0" borderId="1" xfId="1" applyFont="1" applyFill="1" applyBorder="1" applyAlignment="1">
      <alignment horizontal="center" wrapText="1"/>
    </xf>
    <xf numFmtId="0" fontId="12" fillId="0" borderId="12" xfId="1" applyFont="1" applyFill="1" applyBorder="1" applyAlignment="1">
      <alignment horizontal="center" wrapText="1"/>
    </xf>
    <xf numFmtId="174" fontId="14" fillId="2" borderId="0" xfId="11" applyNumberFormat="1" applyFont="1" applyFill="1" applyAlignment="1">
      <alignment horizontal="center"/>
    </xf>
  </cellXfs>
  <cellStyles count="29">
    <cellStyle name="Comma" xfId="9" builtinId="3"/>
    <cellStyle name="Comma 2" xfId="14" xr:uid="{AB06965D-965C-475C-9197-7365A1AEB35D}"/>
    <cellStyle name="Comma 3" xfId="25" xr:uid="{91493572-D90D-4FA0-8AD3-C29DD0548C8C}"/>
    <cellStyle name="Comma Decimal" xfId="20" xr:uid="{EEDC0C72-F7EF-40CC-A3FC-21EB820DF0A4}"/>
    <cellStyle name="Currency" xfId="11" builtinId="4"/>
    <cellStyle name="Currency 2" xfId="8" xr:uid="{00000000-0005-0000-0000-000034000000}"/>
    <cellStyle name="Currency 2 2" xfId="17" xr:uid="{22645C7B-DF41-46CD-B429-061380994F37}"/>
    <cellStyle name="Currency 3" xfId="15" xr:uid="{E47E3BFC-321A-4601-8E7B-7E88E9B741C0}"/>
    <cellStyle name="Currency 4" xfId="24" xr:uid="{5DB3AC97-6E78-4DAA-9D01-B43F420F0881}"/>
    <cellStyle name="Hyperlink" xfId="22" builtinId="8"/>
    <cellStyle name="Hyperlink 2" xfId="19" xr:uid="{CC81F7E4-EA34-4F86-9EF8-E774AF97CBEB}"/>
    <cellStyle name="Normal" xfId="0" builtinId="0"/>
    <cellStyle name="Normal 15" xfId="18" xr:uid="{CA17D82A-7AD1-4581-AF92-A8F8EB284167}"/>
    <cellStyle name="Normal 2" xfId="3" xr:uid="{00000000-0005-0000-0000-00002F000000}"/>
    <cellStyle name="Normal 2 2" xfId="16" xr:uid="{7F201416-5864-4DF7-942B-2D35FE37CCF7}"/>
    <cellStyle name="Normal 2 3" xfId="28" xr:uid="{A7380EC3-0EC1-45C5-BC06-61FF88E69533}"/>
    <cellStyle name="Normal 3" xfId="1" xr:uid="{00000000-0005-0000-0000-00002F000000}"/>
    <cellStyle name="Normal 4" xfId="5" xr:uid="{55C00F0B-D5A6-4C3C-9D5D-3E18DF1AA274}"/>
    <cellStyle name="Normal 4 2" xfId="10" xr:uid="{B446F132-5C98-427D-BFB3-FD80CE426032}"/>
    <cellStyle name="Normal 4 3" xfId="21" xr:uid="{C3DA6144-56A7-4224-B534-87B5CE0C9B61}"/>
    <cellStyle name="Normal 4 4" xfId="26" xr:uid="{A063F56E-0506-456D-9649-E25566229729}"/>
    <cellStyle name="Normal 5" xfId="7" xr:uid="{00000000-0005-0000-0000-000035000000}"/>
    <cellStyle name="Normal 6" xfId="12" xr:uid="{8F184F64-94D7-4444-869A-FBD3BE811DF7}"/>
    <cellStyle name="Normal 7" xfId="23" xr:uid="{4619A230-E92D-49BF-B334-566094928D33}"/>
    <cellStyle name="Percent" xfId="4" builtinId="5"/>
    <cellStyle name="Percent 2" xfId="2" xr:uid="{00000000-0005-0000-0000-000031000000}"/>
    <cellStyle name="Percent 3" xfId="6" xr:uid="{C6482003-D0DC-465F-A793-786E3CD81057}"/>
    <cellStyle name="Percent 4" xfId="13" xr:uid="{974C6111-528D-46C4-9E32-4DD7011E7C24}"/>
    <cellStyle name="Percent 5" xfId="27" xr:uid="{9C079DEB-6458-4871-A893-7A94CCE95888}"/>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9950AA02-4308-42B6-BA66-19037C0A7E1A}">
      <tableStyleElement type="wholeTable" dxfId="1"/>
      <tableStyleElement type="headerRow" dxfId="0"/>
    </tableStyle>
  </tableStyles>
  <colors>
    <mruColors>
      <color rgb="FF008000"/>
      <color rgb="FF0000FF"/>
      <color rgb="FFDCE6F1"/>
      <color rgb="FFF2F2F2"/>
      <color rgb="FF34411B"/>
      <color rgb="FF3E4D1F"/>
      <color rgb="FF00A8A4"/>
      <color rgb="FFEFFFFF"/>
      <color rgb="FFC9FFFE"/>
      <color rgb="FF00E2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engineering.unl.edu/downloads/files/GHG%20FOR%20WEBSITE.doc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687DE-1C04-497C-8D0C-6B8CCAF80A1A}">
  <dimension ref="A1:D21"/>
  <sheetViews>
    <sheetView topLeftCell="A7" zoomScaleNormal="100" workbookViewId="0">
      <selection activeCell="F24" sqref="F24"/>
    </sheetView>
  </sheetViews>
  <sheetFormatPr defaultColWidth="8.7109375" defaultRowHeight="15" x14ac:dyDescent="0.25"/>
  <cols>
    <col min="1" max="1" width="6.140625" style="59" customWidth="1"/>
    <col min="2" max="2" width="31.140625" style="34" bestFit="1" customWidth="1"/>
    <col min="3" max="3" width="12.42578125" style="4" bestFit="1" customWidth="1"/>
    <col min="4" max="4" width="11.140625" style="4" bestFit="1" customWidth="1"/>
    <col min="5" max="7" width="11.140625" style="4" customWidth="1"/>
    <col min="8" max="8" width="8.7109375" style="4"/>
    <col min="9" max="9" width="10.140625" style="4" bestFit="1" customWidth="1"/>
    <col min="10" max="16384" width="8.7109375" style="4"/>
  </cols>
  <sheetData>
    <row r="1" spans="1:4" x14ac:dyDescent="0.25">
      <c r="A1" s="58" t="s">
        <v>0</v>
      </c>
    </row>
    <row r="2" spans="1:4" x14ac:dyDescent="0.25">
      <c r="B2" s="5" t="s">
        <v>1</v>
      </c>
      <c r="C2" s="4" t="s">
        <v>2</v>
      </c>
    </row>
    <row r="3" spans="1:4" x14ac:dyDescent="0.25">
      <c r="B3" s="5" t="s">
        <v>3</v>
      </c>
      <c r="C3" s="4" t="s">
        <v>290</v>
      </c>
    </row>
    <row r="5" spans="1:4" x14ac:dyDescent="0.25">
      <c r="A5" s="58" t="s">
        <v>4</v>
      </c>
    </row>
    <row r="6" spans="1:4" x14ac:dyDescent="0.25">
      <c r="B6" s="5" t="s">
        <v>5</v>
      </c>
      <c r="C6" s="3">
        <v>2020</v>
      </c>
    </row>
    <row r="7" spans="1:4" x14ac:dyDescent="0.25">
      <c r="B7" s="5" t="s">
        <v>6</v>
      </c>
      <c r="C7" s="3">
        <v>2020</v>
      </c>
    </row>
    <row r="8" spans="1:4" x14ac:dyDescent="0.25">
      <c r="B8" s="5" t="s">
        <v>7</v>
      </c>
      <c r="C8" s="3">
        <v>2022</v>
      </c>
    </row>
    <row r="9" spans="1:4" x14ac:dyDescent="0.25">
      <c r="B9" s="5" t="s">
        <v>8</v>
      </c>
      <c r="C9" s="3">
        <v>4</v>
      </c>
    </row>
    <row r="10" spans="1:4" x14ac:dyDescent="0.25">
      <c r="B10" s="5" t="s">
        <v>9</v>
      </c>
      <c r="C10" s="89">
        <f>C8+C9</f>
        <v>2026</v>
      </c>
    </row>
    <row r="11" spans="1:4" x14ac:dyDescent="0.25">
      <c r="B11" s="5" t="s">
        <v>10</v>
      </c>
      <c r="C11" s="89">
        <f>(BenefitStart-ProjStartYr)+C12</f>
        <v>13</v>
      </c>
      <c r="D11" s="4" t="s">
        <v>11</v>
      </c>
    </row>
    <row r="12" spans="1:4" x14ac:dyDescent="0.25">
      <c r="B12" s="5" t="s">
        <v>12</v>
      </c>
      <c r="C12" s="3">
        <v>7</v>
      </c>
    </row>
    <row r="13" spans="1:4" x14ac:dyDescent="0.25">
      <c r="B13" s="5" t="s">
        <v>13</v>
      </c>
      <c r="C13" s="89">
        <f>ProjStartYr+AnalysisPd-1</f>
        <v>2032</v>
      </c>
    </row>
    <row r="14" spans="1:4" x14ac:dyDescent="0.25">
      <c r="B14" s="34" t="s">
        <v>14</v>
      </c>
      <c r="C14" s="3">
        <v>365</v>
      </c>
    </row>
    <row r="15" spans="1:4" x14ac:dyDescent="0.25">
      <c r="B15" s="34" t="s">
        <v>15</v>
      </c>
      <c r="C15" s="91">
        <v>0.03</v>
      </c>
    </row>
    <row r="16" spans="1:4" x14ac:dyDescent="0.25">
      <c r="B16" s="34" t="s">
        <v>16</v>
      </c>
      <c r="C16" s="91">
        <v>7.0000000000000007E-2</v>
      </c>
    </row>
    <row r="18" spans="1:3" x14ac:dyDescent="0.25">
      <c r="A18" s="60" t="s">
        <v>17</v>
      </c>
    </row>
    <row r="19" spans="1:3" x14ac:dyDescent="0.25">
      <c r="B19" s="34" t="s">
        <v>18</v>
      </c>
      <c r="C19" s="35" t="s">
        <v>291</v>
      </c>
    </row>
    <row r="20" spans="1:3" x14ac:dyDescent="0.25">
      <c r="C20" s="4" t="s">
        <v>292</v>
      </c>
    </row>
    <row r="21" spans="1:3" x14ac:dyDescent="0.25">
      <c r="C21" s="3"/>
    </row>
  </sheetData>
  <pageMargins left="0.7" right="0.7" top="0.75" bottom="0.75" header="0.3" footer="0.3"/>
  <pageSetup scale="85" fitToWidth="0" fitToHeight="2" orientation="landscape" horizontalDpi="300" r:id="rId1"/>
  <headerFooter>
    <oddHeader>&amp;L&amp;"Arial,Bold"Florida Department of Transportation - SMART St. Augustine&amp;R&amp;"Arial,Bold"&amp;A</oddHeader>
    <oddFooter>&amp;CPage A-&amp;P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3FCA3E-14C2-444B-87BE-49F57389257C}">
  <sheetPr>
    <tabColor theme="9" tint="0.79998168889431442"/>
  </sheetPr>
  <dimension ref="A1:E14"/>
  <sheetViews>
    <sheetView zoomScaleNormal="100" workbookViewId="0">
      <selection activeCell="C2" sqref="C2"/>
    </sheetView>
  </sheetViews>
  <sheetFormatPr defaultRowHeight="12.75" outlineLevelCol="1" x14ac:dyDescent="0.2"/>
  <cols>
    <col min="1" max="1" width="16.28515625" customWidth="1"/>
    <col min="2" max="2" width="26.28515625" style="69" customWidth="1"/>
    <col min="3" max="3" width="12.5703125" customWidth="1"/>
    <col min="4" max="4" width="12.5703125" hidden="1" customWidth="1" outlineLevel="1"/>
    <col min="5" max="5" width="12.5703125" customWidth="1" collapsed="1"/>
  </cols>
  <sheetData>
    <row r="1" spans="1:5" ht="45" customHeight="1" x14ac:dyDescent="0.2">
      <c r="A1" s="68" t="s">
        <v>19</v>
      </c>
      <c r="B1" s="68" t="s">
        <v>20</v>
      </c>
      <c r="C1" s="68" t="s">
        <v>21</v>
      </c>
      <c r="D1" s="68" t="str">
        <f>"Present Value ("&amp;TEXT(disc1,"0%")&amp;" Discount Rate)"</f>
        <v>Present Value (3% Discount Rate)</v>
      </c>
      <c r="E1" s="68" t="str">
        <f>"Present Value ("&amp;TEXT(disc2,"0%")&amp;" Discount Rate)"</f>
        <v>Present Value (7% Discount Rate)</v>
      </c>
    </row>
    <row r="2" spans="1:5" ht="45" customHeight="1" x14ac:dyDescent="0.2">
      <c r="A2" s="70" t="s">
        <v>22</v>
      </c>
      <c r="B2" s="70" t="s">
        <v>23</v>
      </c>
      <c r="C2" s="71">
        <f>'D - Cost and Mtce'!X41</f>
        <v>-2634964.85</v>
      </c>
      <c r="D2" s="71">
        <f>'D - Cost and Mtce'!Y41</f>
        <v>-2038589.2560190842</v>
      </c>
      <c r="E2" s="71">
        <f>'D - Cost and Mtce'!Z41</f>
        <v>-1474601.5157995836</v>
      </c>
    </row>
    <row r="3" spans="1:5" ht="45" customHeight="1" x14ac:dyDescent="0.2">
      <c r="A3" s="70" t="s">
        <v>24</v>
      </c>
      <c r="B3" s="70" t="s">
        <v>25</v>
      </c>
      <c r="C3" s="71">
        <f>'E - Safety'!N94</f>
        <v>42236466.5625</v>
      </c>
      <c r="D3" s="71">
        <f>'E - Safety'!O94</f>
        <v>32427329.622760724</v>
      </c>
      <c r="E3" s="71">
        <f>'E - Safety'!P94</f>
        <v>23184736.039724804</v>
      </c>
    </row>
    <row r="4" spans="1:5" ht="60" customHeight="1" x14ac:dyDescent="0.2">
      <c r="A4" s="70" t="s">
        <v>26</v>
      </c>
      <c r="B4" s="70" t="s">
        <v>27</v>
      </c>
      <c r="C4" s="71">
        <f>'F - Travel Time'!N94</f>
        <v>17003968.12122963</v>
      </c>
      <c r="D4" s="71">
        <f>'F - Travel Time'!O94</f>
        <v>13054910.224227605</v>
      </c>
      <c r="E4" s="71">
        <f>'F - Travel Time'!P94</f>
        <v>9333936.8702927176</v>
      </c>
    </row>
    <row r="5" spans="1:5" ht="60" customHeight="1" x14ac:dyDescent="0.2">
      <c r="A5" s="70" t="s">
        <v>28</v>
      </c>
      <c r="B5" s="235" t="s">
        <v>29</v>
      </c>
      <c r="C5" s="240">
        <f>'G - Environmental'!W41</f>
        <v>170835.10346831419</v>
      </c>
      <c r="D5" s="240">
        <f>'G - Environmental'!X41</f>
        <v>130945.36006814754</v>
      </c>
      <c r="E5" s="240">
        <f>'G - Environmental'!Y41</f>
        <v>93425.094868843909</v>
      </c>
    </row>
    <row r="6" spans="1:5" ht="45" customHeight="1" x14ac:dyDescent="0.2">
      <c r="A6" s="78" t="s">
        <v>30</v>
      </c>
      <c r="B6" s="78" t="s">
        <v>31</v>
      </c>
      <c r="C6" s="79" t="s">
        <v>32</v>
      </c>
      <c r="D6" s="79" t="s">
        <v>32</v>
      </c>
      <c r="E6" s="79" t="s">
        <v>32</v>
      </c>
    </row>
    <row r="7" spans="1:5" ht="14.1" customHeight="1" x14ac:dyDescent="0.2">
      <c r="A7" s="75" t="s">
        <v>33</v>
      </c>
      <c r="B7" s="76"/>
      <c r="C7" s="77">
        <f>SUM(C2:C6)</f>
        <v>56776304.937197939</v>
      </c>
      <c r="D7" s="77">
        <f>SUM(D2:D6)</f>
        <v>43574595.951037392</v>
      </c>
      <c r="E7" s="77">
        <f>SUM(E2:E6)</f>
        <v>31137496.489086781</v>
      </c>
    </row>
    <row r="8" spans="1:5" ht="14.1" customHeight="1" x14ac:dyDescent="0.2">
      <c r="A8" s="72" t="s">
        <v>34</v>
      </c>
      <c r="B8" s="73"/>
      <c r="C8" s="74">
        <f>-'C - Summary'!D46</f>
        <v>-17317444.850000001</v>
      </c>
      <c r="D8" s="74">
        <f>-'C - Summary'!E46</f>
        <v>-15417035.781657968</v>
      </c>
      <c r="E8" s="74">
        <f>-'C - Summary'!F46</f>
        <v>-13291657.751778277</v>
      </c>
    </row>
    <row r="9" spans="1:5" ht="14.1" customHeight="1" x14ac:dyDescent="0.2">
      <c r="A9" s="80" t="s">
        <v>35</v>
      </c>
      <c r="B9" s="81"/>
      <c r="C9" s="82">
        <f>-C7/C8</f>
        <v>3.2785613252406538</v>
      </c>
      <c r="D9" s="82">
        <f t="shared" ref="D9:E9" si="0">-D7/D8</f>
        <v>2.8263926067343745</v>
      </c>
      <c r="E9" s="82">
        <f t="shared" si="0"/>
        <v>2.3426345359306988</v>
      </c>
    </row>
    <row r="11" spans="1:5" x14ac:dyDescent="0.2">
      <c r="C11" s="249" t="b">
        <f>'C - Summary'!C4=C7</f>
        <v>1</v>
      </c>
      <c r="D11" s="111"/>
      <c r="E11" s="249" t="b">
        <f>'C - Summary'!D4=E7</f>
        <v>1</v>
      </c>
    </row>
    <row r="12" spans="1:5" x14ac:dyDescent="0.2">
      <c r="C12" s="249" t="b">
        <f>'C - Summary'!C5=-C8</f>
        <v>1</v>
      </c>
      <c r="D12" s="111"/>
      <c r="E12" s="249" t="b">
        <f>'C - Summary'!D5=-E8</f>
        <v>1</v>
      </c>
    </row>
    <row r="13" spans="1:5" x14ac:dyDescent="0.2">
      <c r="C13" s="249" t="b">
        <f>'C - Summary'!C6=C9</f>
        <v>1</v>
      </c>
      <c r="D13" s="111"/>
      <c r="E13" s="249" t="b">
        <f>'C - Summary'!D6=E9</f>
        <v>1</v>
      </c>
    </row>
    <row r="14" spans="1:5" x14ac:dyDescent="0.2">
      <c r="C14" s="1"/>
    </row>
  </sheetData>
  <pageMargins left="0.7" right="0.7" top="0.75" bottom="0.75" header="0.3" footer="0.3"/>
  <pageSetup scale="85" orientation="landscape" r:id="rId1"/>
  <headerFooter>
    <oddHeader>&amp;L&amp;"Arial,Bold"Florida Department of Transportation - SMART St. Augustine&amp;R&amp;"Arial,Bold"&amp;A</oddHeader>
    <oddFooter>&amp;CPage B-&amp;P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75649-4A09-4AFC-B219-95C4EB1F7038}">
  <dimension ref="A1:P46"/>
  <sheetViews>
    <sheetView topLeftCell="A7" zoomScale="80" zoomScaleNormal="80" workbookViewId="0">
      <selection activeCell="C4" sqref="C4:D7"/>
    </sheetView>
  </sheetViews>
  <sheetFormatPr defaultColWidth="8.7109375" defaultRowHeight="15" x14ac:dyDescent="0.25"/>
  <cols>
    <col min="1" max="1" width="8.7109375" style="4"/>
    <col min="2" max="2" width="10" style="4" bestFit="1" customWidth="1"/>
    <col min="3" max="4" width="14.140625" style="4" bestFit="1" customWidth="1"/>
    <col min="5" max="7" width="14.140625" style="4" customWidth="1"/>
    <col min="8" max="9" width="8.7109375" style="4"/>
    <col min="10" max="13" width="13.140625" style="4" customWidth="1"/>
    <col min="14" max="14" width="14.140625" style="4" bestFit="1" customWidth="1"/>
    <col min="15" max="17" width="14.140625" style="4" customWidth="1"/>
    <col min="18" max="16384" width="8.7109375" style="4"/>
  </cols>
  <sheetData>
    <row r="1" spans="1:16" ht="23.25" x14ac:dyDescent="0.35">
      <c r="A1" s="115" t="s">
        <v>296</v>
      </c>
      <c r="B1" s="115"/>
    </row>
    <row r="2" spans="1:16" ht="15.75" thickBot="1" x14ac:dyDescent="0.3"/>
    <row r="3" spans="1:16" x14ac:dyDescent="0.25">
      <c r="B3" s="41"/>
      <c r="C3" s="66" t="s">
        <v>36</v>
      </c>
      <c r="D3" s="67" t="s">
        <v>37</v>
      </c>
    </row>
    <row r="4" spans="1:16" x14ac:dyDescent="0.25">
      <c r="B4" s="42" t="s">
        <v>38</v>
      </c>
      <c r="C4" s="13">
        <f>N46</f>
        <v>56776304.937197939</v>
      </c>
      <c r="D4" s="43">
        <f>P46</f>
        <v>31137496.489086777</v>
      </c>
      <c r="F4" s="250"/>
    </row>
    <row r="5" spans="1:16" x14ac:dyDescent="0.25">
      <c r="B5" s="42" t="s">
        <v>39</v>
      </c>
      <c r="C5" s="13">
        <f>D46</f>
        <v>17317444.850000001</v>
      </c>
      <c r="D5" s="43">
        <f>F46</f>
        <v>13291657.751778277</v>
      </c>
    </row>
    <row r="6" spans="1:16" x14ac:dyDescent="0.25">
      <c r="B6" s="44" t="s">
        <v>40</v>
      </c>
      <c r="C6" s="45">
        <f>C4/C5</f>
        <v>3.2785613252406538</v>
      </c>
      <c r="D6" s="46">
        <f>D4/D5</f>
        <v>2.3426345359306988</v>
      </c>
      <c r="F6"/>
      <c r="G6"/>
    </row>
    <row r="7" spans="1:16" ht="15.75" thickBot="1" x14ac:dyDescent="0.3">
      <c r="B7" s="47" t="s">
        <v>41</v>
      </c>
      <c r="C7" s="48">
        <f>C4-C5</f>
        <v>39458860.087197937</v>
      </c>
      <c r="D7" s="49">
        <f>D4-D5</f>
        <v>17845838.737308502</v>
      </c>
      <c r="F7"/>
      <c r="G7"/>
    </row>
    <row r="9" spans="1:16" x14ac:dyDescent="0.25">
      <c r="B9" s="50"/>
      <c r="C9" s="6" t="s">
        <v>39</v>
      </c>
      <c r="D9" s="6"/>
      <c r="E9" s="6"/>
      <c r="F9" s="7"/>
      <c r="I9" s="50"/>
      <c r="J9" s="6" t="s">
        <v>38</v>
      </c>
      <c r="K9" s="6"/>
      <c r="L9" s="6"/>
      <c r="M9" s="7"/>
      <c r="N9" s="6"/>
      <c r="O9" s="6"/>
      <c r="P9" s="7"/>
    </row>
    <row r="10" spans="1:16" s="88" customFormat="1" ht="45" x14ac:dyDescent="0.2">
      <c r="A10" s="83" t="s">
        <v>42</v>
      </c>
      <c r="B10" s="84" t="s">
        <v>43</v>
      </c>
      <c r="C10" s="85" t="s">
        <v>44</v>
      </c>
      <c r="D10" s="86" t="s">
        <v>34</v>
      </c>
      <c r="E10" s="86" t="str">
        <f>"Present Value ("&amp;TEXT(disc1,"0%")&amp;" Discount Rate)"</f>
        <v>Present Value (3% Discount Rate)</v>
      </c>
      <c r="F10" s="87" t="str">
        <f>"Present Value ("&amp;TEXT(disc2,"0%")&amp;" Discount Rate)"</f>
        <v>Present Value (7% Discount Rate)</v>
      </c>
      <c r="H10" s="83" t="s">
        <v>42</v>
      </c>
      <c r="I10" s="84" t="s">
        <v>43</v>
      </c>
      <c r="J10" s="83" t="s">
        <v>45</v>
      </c>
      <c r="K10" s="83" t="s">
        <v>24</v>
      </c>
      <c r="L10" s="83" t="s">
        <v>46</v>
      </c>
      <c r="M10" s="241" t="s">
        <v>47</v>
      </c>
      <c r="N10" s="86" t="s">
        <v>33</v>
      </c>
      <c r="O10" s="86" t="str">
        <f>"Present Value ("&amp;TEXT(disc1,"0%")&amp;" Discount Rate)"</f>
        <v>Present Value (3% Discount Rate)</v>
      </c>
      <c r="P10" s="87" t="str">
        <f>"Present Value ("&amp;TEXT(disc2,"0%")&amp;" Discount Rate)"</f>
        <v>Present Value (7% Discount Rate)</v>
      </c>
    </row>
    <row r="11" spans="1:16" x14ac:dyDescent="0.25">
      <c r="A11" s="26">
        <f>'A - Inputs'!$C$7</f>
        <v>2020</v>
      </c>
      <c r="B11" s="251">
        <v>1</v>
      </c>
      <c r="C11" s="64">
        <f>'D - Cost and Mtce'!Q6</f>
        <v>702506.51</v>
      </c>
      <c r="D11" s="13">
        <f t="shared" ref="D11:D12" si="0">SUM(C11:C11)</f>
        <v>702506.51</v>
      </c>
      <c r="E11" s="13">
        <f>$D11/(1+disc1)^($A11-'A - Inputs'!$C$6)</f>
        <v>702506.51</v>
      </c>
      <c r="F11" s="25">
        <f>$D11/(1+disc2)^($A11-'A - Inputs'!$C$6)</f>
        <v>702506.51</v>
      </c>
      <c r="H11" s="26">
        <f>'A - Inputs'!$C$7</f>
        <v>2020</v>
      </c>
      <c r="I11" s="251">
        <v>1</v>
      </c>
      <c r="J11" s="36">
        <f>'D - Cost and Mtce'!X6</f>
        <v>-10302</v>
      </c>
      <c r="K11" s="36">
        <f>'E - Safety'!N59</f>
        <v>0</v>
      </c>
      <c r="L11" s="36">
        <f>'F - Travel Time'!N59</f>
        <v>0</v>
      </c>
      <c r="M11" s="38">
        <f>'G - Environmental'!W6</f>
        <v>0</v>
      </c>
      <c r="N11" s="13">
        <f t="shared" ref="N11:N45" si="1">SUM(J11:M11)</f>
        <v>-10302</v>
      </c>
      <c r="O11" s="13">
        <f>$N11/(1+disc1)^($A11-'A - Inputs'!$C$6)</f>
        <v>-10302</v>
      </c>
      <c r="P11" s="25">
        <f>$N11/(1+disc2)^($A11-'A - Inputs'!$C$6)</f>
        <v>-10302</v>
      </c>
    </row>
    <row r="12" spans="1:16" x14ac:dyDescent="0.25">
      <c r="A12" s="252">
        <f t="shared" ref="A12:A45" si="2">A11+1</f>
        <v>2021</v>
      </c>
      <c r="B12" s="251">
        <f t="shared" ref="B12:B45" si="3">B11+1</f>
        <v>2</v>
      </c>
      <c r="C12" s="64">
        <f>'D - Cost and Mtce'!Q7</f>
        <v>0</v>
      </c>
      <c r="D12" s="13">
        <f t="shared" si="0"/>
        <v>0</v>
      </c>
      <c r="E12" s="13">
        <f>$D12/(1+disc1)^($A12-'A - Inputs'!$C$6)</f>
        <v>0</v>
      </c>
      <c r="F12" s="25">
        <f>$D12/(1+disc2)^($A12-'A - Inputs'!$C$6)</f>
        <v>0</v>
      </c>
      <c r="H12" s="252">
        <f t="shared" ref="H12:H45" si="4">H11+1</f>
        <v>2021</v>
      </c>
      <c r="I12" s="251">
        <f t="shared" ref="I12:I45" si="5">I11+1</f>
        <v>2</v>
      </c>
      <c r="J12" s="36">
        <f>'D - Cost and Mtce'!X7</f>
        <v>-10302</v>
      </c>
      <c r="K12" s="36">
        <f>'E - Safety'!N60</f>
        <v>0</v>
      </c>
      <c r="L12" s="36">
        <f>'F - Travel Time'!N60</f>
        <v>0</v>
      </c>
      <c r="M12" s="38">
        <f>'G - Environmental'!W7</f>
        <v>0</v>
      </c>
      <c r="N12" s="13">
        <f t="shared" si="1"/>
        <v>-10302</v>
      </c>
      <c r="O12" s="13">
        <f>$N12/(1+disc1)^($A12-'A - Inputs'!$C$6)</f>
        <v>-10001.941747572815</v>
      </c>
      <c r="P12" s="25">
        <f>$N12/(1+disc2)^($A12-'A - Inputs'!$C$6)</f>
        <v>-9628.0373831775687</v>
      </c>
    </row>
    <row r="13" spans="1:16" x14ac:dyDescent="0.25">
      <c r="A13" s="252">
        <f t="shared" si="2"/>
        <v>2022</v>
      </c>
      <c r="B13" s="251">
        <f t="shared" si="3"/>
        <v>3</v>
      </c>
      <c r="C13" s="64">
        <f>'D - Cost and Mtce'!Q8</f>
        <v>198677.50400000002</v>
      </c>
      <c r="D13" s="13">
        <f t="shared" ref="D13:D45" si="6">SUM(C13:C13)</f>
        <v>198677.50400000002</v>
      </c>
      <c r="E13" s="13">
        <f>$D13/(1+disc1)^($A13-'A - Inputs'!$C$6)</f>
        <v>187272.60250730513</v>
      </c>
      <c r="F13" s="25">
        <f>$D13/(1+disc2)^($A13-'A - Inputs'!$C$6)</f>
        <v>173532.62643025591</v>
      </c>
      <c r="H13" s="252">
        <f t="shared" si="4"/>
        <v>2022</v>
      </c>
      <c r="I13" s="251">
        <f t="shared" si="5"/>
        <v>3</v>
      </c>
      <c r="J13" s="36">
        <f>'D - Cost and Mtce'!X8</f>
        <v>-10302</v>
      </c>
      <c r="K13" s="36">
        <f>'E - Safety'!N61</f>
        <v>0</v>
      </c>
      <c r="L13" s="36">
        <f>'F - Travel Time'!N61</f>
        <v>0</v>
      </c>
      <c r="M13" s="38">
        <f>'G - Environmental'!W8</f>
        <v>0</v>
      </c>
      <c r="N13" s="13">
        <f t="shared" si="1"/>
        <v>-10302</v>
      </c>
      <c r="O13" s="13">
        <f>$N13/(1+disc1)^($A13-'A - Inputs'!$C$6)</f>
        <v>-9710.6230558959378</v>
      </c>
      <c r="P13" s="25">
        <f>$N13/(1+disc2)^($A13-'A - Inputs'!$C$6)</f>
        <v>-8998.1657786706255</v>
      </c>
    </row>
    <row r="14" spans="1:16" x14ac:dyDescent="0.25">
      <c r="A14" s="252">
        <f t="shared" si="2"/>
        <v>2023</v>
      </c>
      <c r="B14" s="251">
        <f t="shared" si="3"/>
        <v>4</v>
      </c>
      <c r="C14" s="64">
        <f>'D - Cost and Mtce'!Q9</f>
        <v>2164438.4840000002</v>
      </c>
      <c r="D14" s="13">
        <f t="shared" si="6"/>
        <v>2164438.4840000002</v>
      </c>
      <c r="E14" s="13">
        <f>$D14/(1+disc1)^($A14-'A - Inputs'!$C$6)</f>
        <v>1980767.8258155973</v>
      </c>
      <c r="F14" s="25">
        <f>$D14/(1+disc2)^($A14-'A - Inputs'!$C$6)</f>
        <v>1766826.5391500543</v>
      </c>
      <c r="H14" s="252">
        <f t="shared" si="4"/>
        <v>2023</v>
      </c>
      <c r="I14" s="251">
        <f t="shared" si="5"/>
        <v>4</v>
      </c>
      <c r="J14" s="36">
        <f>'D - Cost and Mtce'!X9</f>
        <v>-10302</v>
      </c>
      <c r="K14" s="36">
        <f>'E - Safety'!N62</f>
        <v>0</v>
      </c>
      <c r="L14" s="36">
        <f>'F - Travel Time'!N62</f>
        <v>0</v>
      </c>
      <c r="M14" s="38">
        <f>'G - Environmental'!W9</f>
        <v>0</v>
      </c>
      <c r="N14" s="13">
        <f t="shared" si="1"/>
        <v>-10302</v>
      </c>
      <c r="O14" s="13">
        <f>$N14/(1+disc1)^($A14-'A - Inputs'!$C$6)</f>
        <v>-9427.7893746562495</v>
      </c>
      <c r="P14" s="25">
        <f>$N14/(1+disc2)^($A14-'A - Inputs'!$C$6)</f>
        <v>-8409.5007277295572</v>
      </c>
    </row>
    <row r="15" spans="1:16" x14ac:dyDescent="0.25">
      <c r="A15" s="252">
        <f t="shared" si="2"/>
        <v>2024</v>
      </c>
      <c r="B15" s="251">
        <f t="shared" si="3"/>
        <v>5</v>
      </c>
      <c r="C15" s="64">
        <f>'D - Cost and Mtce'!Q10</f>
        <v>9766562.919084331</v>
      </c>
      <c r="D15" s="13">
        <f t="shared" si="6"/>
        <v>9766562.919084331</v>
      </c>
      <c r="E15" s="13">
        <f>$D15/(1+disc1)^($A15-'A - Inputs'!$C$6)</f>
        <v>8677464.6562600713</v>
      </c>
      <c r="F15" s="25">
        <f>$D15/(1+disc2)^($A15-'A - Inputs'!$C$6)</f>
        <v>7450864.0891303374</v>
      </c>
      <c r="H15" s="252">
        <f t="shared" si="4"/>
        <v>2024</v>
      </c>
      <c r="I15" s="251">
        <f t="shared" si="5"/>
        <v>5</v>
      </c>
      <c r="J15" s="36">
        <f>'D - Cost and Mtce'!X10</f>
        <v>-10302</v>
      </c>
      <c r="K15" s="36">
        <f>'E - Safety'!N63</f>
        <v>0</v>
      </c>
      <c r="L15" s="36">
        <f>'F - Travel Time'!N63</f>
        <v>0</v>
      </c>
      <c r="M15" s="38">
        <f>'G - Environmental'!W10</f>
        <v>0</v>
      </c>
      <c r="N15" s="13">
        <f t="shared" si="1"/>
        <v>-10302</v>
      </c>
      <c r="O15" s="13">
        <f>$N15/(1+disc1)^($A15-'A - Inputs'!$C$6)</f>
        <v>-9153.1935676274279</v>
      </c>
      <c r="P15" s="25">
        <f>$N15/(1+disc2)^($A15-'A - Inputs'!$C$6)</f>
        <v>-7859.3464745136052</v>
      </c>
    </row>
    <row r="16" spans="1:16" x14ac:dyDescent="0.25">
      <c r="A16" s="252">
        <f t="shared" si="2"/>
        <v>2025</v>
      </c>
      <c r="B16" s="251">
        <f t="shared" si="3"/>
        <v>6</v>
      </c>
      <c r="C16" s="64">
        <f>'D - Cost and Mtce'!Q11</f>
        <v>4485259.4329156708</v>
      </c>
      <c r="D16" s="13">
        <f t="shared" si="6"/>
        <v>4485259.4329156708</v>
      </c>
      <c r="E16" s="13">
        <f>$D16/(1+disc1)^($A16-'A - Inputs'!$C$6)</f>
        <v>3869024.1870749919</v>
      </c>
      <c r="F16" s="25">
        <f>$D16/(1+disc2)^($A16-'A - Inputs'!$C$6)</f>
        <v>3197927.9870676291</v>
      </c>
      <c r="H16" s="252">
        <f t="shared" si="4"/>
        <v>2025</v>
      </c>
      <c r="I16" s="251">
        <f t="shared" si="5"/>
        <v>6</v>
      </c>
      <c r="J16" s="36">
        <f>'D - Cost and Mtce'!X11</f>
        <v>-67129.649999999994</v>
      </c>
      <c r="K16" s="36">
        <f>'E - Safety'!N64</f>
        <v>0</v>
      </c>
      <c r="L16" s="36">
        <f>'F - Travel Time'!N64</f>
        <v>0</v>
      </c>
      <c r="M16" s="38">
        <f>'G - Environmental'!W11</f>
        <v>0</v>
      </c>
      <c r="N16" s="13">
        <f t="shared" si="1"/>
        <v>-67129.649999999994</v>
      </c>
      <c r="O16" s="13">
        <f>$N16/(1+disc1)^($A16-'A - Inputs'!$C$6)</f>
        <v>-57906.625782634394</v>
      </c>
      <c r="P16" s="25">
        <f>$N16/(1+disc2)^($A16-'A - Inputs'!$C$6)</f>
        <v>-47862.512683575835</v>
      </c>
    </row>
    <row r="17" spans="1:16" x14ac:dyDescent="0.25">
      <c r="A17" s="252">
        <f t="shared" si="2"/>
        <v>2026</v>
      </c>
      <c r="B17" s="251">
        <f t="shared" si="3"/>
        <v>7</v>
      </c>
      <c r="C17" s="64">
        <f>'D - Cost and Mtce'!Q12</f>
        <v>0</v>
      </c>
      <c r="D17" s="13">
        <f t="shared" si="6"/>
        <v>0</v>
      </c>
      <c r="E17" s="13">
        <f>$D17/(1+disc1)^($A17-'A - Inputs'!$C$6)</f>
        <v>0</v>
      </c>
      <c r="F17" s="25">
        <f>$D17/(1+disc2)^($A17-'A - Inputs'!$C$6)</f>
        <v>0</v>
      </c>
      <c r="H17" s="252">
        <f t="shared" si="4"/>
        <v>2026</v>
      </c>
      <c r="I17" s="251">
        <f t="shared" si="5"/>
        <v>7</v>
      </c>
      <c r="J17" s="36">
        <f>'D - Cost and Mtce'!X12</f>
        <v>-359984.2</v>
      </c>
      <c r="K17" s="36">
        <f>'E - Safety'!N65</f>
        <v>6033780.9375</v>
      </c>
      <c r="L17" s="36">
        <f>'F - Travel Time'!N65</f>
        <v>2429138.3030328043</v>
      </c>
      <c r="M17" s="38">
        <f>'G - Environmental'!W12</f>
        <v>23362.853458054084</v>
      </c>
      <c r="N17" s="13">
        <f t="shared" si="1"/>
        <v>8126297.8939908585</v>
      </c>
      <c r="O17" s="13">
        <f>$N17/(1+disc1)^($A17-'A - Inputs'!$C$6)</f>
        <v>6805646.5513388803</v>
      </c>
      <c r="P17" s="25">
        <f>$N17/(1+disc2)^($A17-'A - Inputs'!$C$6)</f>
        <v>5414895.4100773111</v>
      </c>
    </row>
    <row r="18" spans="1:16" x14ac:dyDescent="0.25">
      <c r="A18" s="252">
        <f t="shared" si="2"/>
        <v>2027</v>
      </c>
      <c r="B18" s="251">
        <f t="shared" si="3"/>
        <v>8</v>
      </c>
      <c r="C18" s="64">
        <f>'D - Cost and Mtce'!Q13</f>
        <v>0</v>
      </c>
      <c r="D18" s="13">
        <f t="shared" si="6"/>
        <v>0</v>
      </c>
      <c r="E18" s="13">
        <f>$D18/(1+disc1)^($A18-'A - Inputs'!$C$6)</f>
        <v>0</v>
      </c>
      <c r="F18" s="25">
        <f>$D18/(1+disc2)^($A18-'A - Inputs'!$C$6)</f>
        <v>0</v>
      </c>
      <c r="H18" s="252">
        <f t="shared" si="4"/>
        <v>2027</v>
      </c>
      <c r="I18" s="251">
        <f t="shared" si="5"/>
        <v>8</v>
      </c>
      <c r="J18" s="36">
        <f>'D - Cost and Mtce'!X13</f>
        <v>-359984.2</v>
      </c>
      <c r="K18" s="36">
        <f>'E - Safety'!N66</f>
        <v>6033780.9375</v>
      </c>
      <c r="L18" s="36">
        <f>'F - Travel Time'!N66</f>
        <v>2429138.3030328043</v>
      </c>
      <c r="M18" s="38">
        <f>'G - Environmental'!W13</f>
        <v>23668.350983892909</v>
      </c>
      <c r="N18" s="13">
        <f t="shared" si="1"/>
        <v>8126603.3915166967</v>
      </c>
      <c r="O18" s="13">
        <f>$N18/(1+disc1)^($A18-'A - Inputs'!$C$6)</f>
        <v>6607672.233696335</v>
      </c>
      <c r="P18" s="25">
        <f>$N18/(1+disc2)^($A18-'A - Inputs'!$C$6)</f>
        <v>5060840.1644654656</v>
      </c>
    </row>
    <row r="19" spans="1:16" x14ac:dyDescent="0.25">
      <c r="A19" s="252">
        <f t="shared" si="2"/>
        <v>2028</v>
      </c>
      <c r="B19" s="251">
        <f t="shared" si="3"/>
        <v>9</v>
      </c>
      <c r="C19" s="64">
        <f>'D - Cost and Mtce'!Q14</f>
        <v>0</v>
      </c>
      <c r="D19" s="13">
        <f t="shared" si="6"/>
        <v>0</v>
      </c>
      <c r="E19" s="13">
        <f>$D19/(1+disc1)^($A19-'A - Inputs'!$C$6)</f>
        <v>0</v>
      </c>
      <c r="F19" s="25">
        <f>$D19/(1+disc2)^($A19-'A - Inputs'!$C$6)</f>
        <v>0</v>
      </c>
      <c r="H19" s="252">
        <f t="shared" si="4"/>
        <v>2028</v>
      </c>
      <c r="I19" s="251">
        <f t="shared" si="5"/>
        <v>9</v>
      </c>
      <c r="J19" s="36">
        <f>'D - Cost and Mtce'!X14</f>
        <v>-359984.2</v>
      </c>
      <c r="K19" s="36">
        <f>'E - Safety'!N67</f>
        <v>6033780.9375</v>
      </c>
      <c r="L19" s="36">
        <f>'F - Travel Time'!N67</f>
        <v>2429138.3030328043</v>
      </c>
      <c r="M19" s="38">
        <f>'G - Environmental'!W14</f>
        <v>24064.998968221505</v>
      </c>
      <c r="N19" s="13">
        <f t="shared" si="1"/>
        <v>8127000.0395010253</v>
      </c>
      <c r="O19" s="13">
        <f>$N19/(1+disc1)^($A19-'A - Inputs'!$C$6)</f>
        <v>6415528.8784518298</v>
      </c>
      <c r="P19" s="25">
        <f>$N19/(1+disc2)^($A19-'A - Inputs'!$C$6)</f>
        <v>4729988.0157900238</v>
      </c>
    </row>
    <row r="20" spans="1:16" x14ac:dyDescent="0.25">
      <c r="A20" s="252">
        <f t="shared" si="2"/>
        <v>2029</v>
      </c>
      <c r="B20" s="251">
        <f t="shared" si="3"/>
        <v>10</v>
      </c>
      <c r="C20" s="64">
        <f>'D - Cost and Mtce'!Q15</f>
        <v>0</v>
      </c>
      <c r="D20" s="13">
        <f t="shared" si="6"/>
        <v>0</v>
      </c>
      <c r="E20" s="13">
        <f>$D20/(1+disc1)^($A20-'A - Inputs'!$C$6)</f>
        <v>0</v>
      </c>
      <c r="F20" s="25">
        <f>$D20/(1+disc2)^($A20-'A - Inputs'!$C$6)</f>
        <v>0</v>
      </c>
      <c r="H20" s="252">
        <f t="shared" si="4"/>
        <v>2029</v>
      </c>
      <c r="I20" s="251">
        <f t="shared" si="5"/>
        <v>10</v>
      </c>
      <c r="J20" s="36">
        <f>'D - Cost and Mtce'!X15</f>
        <v>-359984.2</v>
      </c>
      <c r="K20" s="36">
        <f>'E - Safety'!N68</f>
        <v>6033780.9375</v>
      </c>
      <c r="L20" s="36">
        <f>'F - Travel Time'!N68</f>
        <v>2429138.3030328043</v>
      </c>
      <c r="M20" s="38">
        <f>'G - Environmental'!W15</f>
        <v>24462.813842373303</v>
      </c>
      <c r="N20" s="13">
        <f t="shared" si="1"/>
        <v>8127397.8543751771</v>
      </c>
      <c r="O20" s="13">
        <f>$N20/(1+disc1)^($A20-'A - Inputs'!$C$6)</f>
        <v>6228973.7060068278</v>
      </c>
      <c r="P20" s="25">
        <f>$N20/(1+disc2)^($A20-'A - Inputs'!$C$6)</f>
        <v>4420765.9324006643</v>
      </c>
    </row>
    <row r="21" spans="1:16" x14ac:dyDescent="0.25">
      <c r="A21" s="252">
        <f t="shared" si="2"/>
        <v>2030</v>
      </c>
      <c r="B21" s="251">
        <f t="shared" si="3"/>
        <v>11</v>
      </c>
      <c r="C21" s="64">
        <f>'D - Cost and Mtce'!Q16</f>
        <v>0</v>
      </c>
      <c r="D21" s="13">
        <f t="shared" si="6"/>
        <v>0</v>
      </c>
      <c r="E21" s="13">
        <f>$D21/(1+disc1)^($A21-'A - Inputs'!$C$6)</f>
        <v>0</v>
      </c>
      <c r="F21" s="25">
        <f>$D21/(1+disc2)^($A21-'A - Inputs'!$C$6)</f>
        <v>0</v>
      </c>
      <c r="H21" s="252">
        <f t="shared" si="4"/>
        <v>2030</v>
      </c>
      <c r="I21" s="251">
        <f t="shared" si="5"/>
        <v>11</v>
      </c>
      <c r="J21" s="36">
        <f>'D - Cost and Mtce'!X16</f>
        <v>-359984.2</v>
      </c>
      <c r="K21" s="36">
        <f>'E - Safety'!N69</f>
        <v>6033780.9375</v>
      </c>
      <c r="L21" s="36">
        <f>'F - Travel Time'!N69</f>
        <v>2429138.3030328043</v>
      </c>
      <c r="M21" s="38">
        <f>'G - Environmental'!W16</f>
        <v>24906.495668225791</v>
      </c>
      <c r="N21" s="13">
        <f t="shared" si="1"/>
        <v>8127841.53620103</v>
      </c>
      <c r="O21" s="13">
        <f>$N21/(1+disc1)^($A21-'A - Inputs'!$C$6)</f>
        <v>6047877.4283320373</v>
      </c>
      <c r="P21" s="25">
        <f>$N21/(1+disc2)^($A21-'A - Inputs'!$C$6)</f>
        <v>4131782.491510951</v>
      </c>
    </row>
    <row r="22" spans="1:16" x14ac:dyDescent="0.25">
      <c r="A22" s="252">
        <f t="shared" si="2"/>
        <v>2031</v>
      </c>
      <c r="B22" s="251">
        <f t="shared" si="3"/>
        <v>12</v>
      </c>
      <c r="C22" s="64">
        <f>'D - Cost and Mtce'!Q17</f>
        <v>0</v>
      </c>
      <c r="D22" s="13">
        <f t="shared" si="6"/>
        <v>0</v>
      </c>
      <c r="E22" s="13">
        <f>$D22/(1+disc1)^($A22-'A - Inputs'!$C$6)</f>
        <v>0</v>
      </c>
      <c r="F22" s="25">
        <f>$D22/(1+disc2)^($A22-'A - Inputs'!$C$6)</f>
        <v>0</v>
      </c>
      <c r="H22" s="252">
        <f t="shared" si="4"/>
        <v>2031</v>
      </c>
      <c r="I22" s="251">
        <f t="shared" si="5"/>
        <v>12</v>
      </c>
      <c r="J22" s="36">
        <f>'D - Cost and Mtce'!X17</f>
        <v>-356420</v>
      </c>
      <c r="K22" s="36">
        <f>'E - Safety'!N70</f>
        <v>6033780.9375</v>
      </c>
      <c r="L22" s="36">
        <f>'F - Travel Time'!N70</f>
        <v>2429138.3030328043</v>
      </c>
      <c r="M22" s="38">
        <f>'G - Environmental'!W17</f>
        <v>25092.028738590794</v>
      </c>
      <c r="N22" s="13">
        <f t="shared" si="1"/>
        <v>8131591.2692713952</v>
      </c>
      <c r="O22" s="13">
        <f>$N22/(1+disc1)^($A22-'A - Inputs'!$C$6)</f>
        <v>5874434.5455263909</v>
      </c>
      <c r="P22" s="25">
        <f>$N22/(1+disc2)^($A22-'A - Inputs'!$C$6)</f>
        <v>3863260.4351990325</v>
      </c>
    </row>
    <row r="23" spans="1:16" x14ac:dyDescent="0.25">
      <c r="A23" s="252">
        <f t="shared" si="2"/>
        <v>2032</v>
      </c>
      <c r="B23" s="251">
        <f t="shared" si="3"/>
        <v>13</v>
      </c>
      <c r="C23" s="64">
        <f>'D - Cost and Mtce'!Q18</f>
        <v>0</v>
      </c>
      <c r="D23" s="13">
        <f t="shared" si="6"/>
        <v>0</v>
      </c>
      <c r="E23" s="13">
        <f>$D23/(1+disc1)^($A23-'A - Inputs'!$C$6)</f>
        <v>0</v>
      </c>
      <c r="F23" s="25">
        <f>$D23/(1+disc2)^($A23-'A - Inputs'!$C$6)</f>
        <v>0</v>
      </c>
      <c r="H23" s="252">
        <f t="shared" si="4"/>
        <v>2032</v>
      </c>
      <c r="I23" s="251">
        <f t="shared" si="5"/>
        <v>13</v>
      </c>
      <c r="J23" s="36">
        <f>'D - Cost and Mtce'!X18</f>
        <v>-359984.2</v>
      </c>
      <c r="K23" s="36">
        <f>'E - Safety'!N71</f>
        <v>6033780.9375</v>
      </c>
      <c r="L23" s="36">
        <f>'F - Travel Time'!N71</f>
        <v>2429138.3030328043</v>
      </c>
      <c r="M23" s="38">
        <f>'G - Environmental'!W18</f>
        <v>25277.561808955805</v>
      </c>
      <c r="N23" s="13">
        <f t="shared" si="1"/>
        <v>8128212.6023417599</v>
      </c>
      <c r="O23" s="13">
        <f>$N23/(1+disc1)^($A23-'A - Inputs'!$C$6)</f>
        <v>5700964.7812134782</v>
      </c>
      <c r="P23" s="25">
        <f>$N23/(1+disc2)^($A23-'A - Inputs'!$C$6)</f>
        <v>3609023.6026910003</v>
      </c>
    </row>
    <row r="24" spans="1:16" x14ac:dyDescent="0.25">
      <c r="A24" s="252">
        <f t="shared" si="2"/>
        <v>2033</v>
      </c>
      <c r="B24" s="251">
        <f t="shared" si="3"/>
        <v>14</v>
      </c>
      <c r="C24" s="64">
        <f>'D - Cost and Mtce'!Q19</f>
        <v>0</v>
      </c>
      <c r="D24" s="13">
        <f t="shared" si="6"/>
        <v>0</v>
      </c>
      <c r="E24" s="13">
        <f>$D24/(1+disc1)^($A24-'A - Inputs'!$C$6)</f>
        <v>0</v>
      </c>
      <c r="F24" s="25">
        <f>$D24/(1+disc2)^($A24-'A - Inputs'!$C$6)</f>
        <v>0</v>
      </c>
      <c r="H24" s="252">
        <f t="shared" si="4"/>
        <v>2033</v>
      </c>
      <c r="I24" s="251">
        <f t="shared" si="5"/>
        <v>14</v>
      </c>
      <c r="J24" s="36">
        <f>'D - Cost and Mtce'!X19</f>
        <v>0</v>
      </c>
      <c r="K24" s="36">
        <f>'E - Safety'!N72</f>
        <v>0</v>
      </c>
      <c r="L24" s="36">
        <f>'F - Travel Time'!N72</f>
        <v>0</v>
      </c>
      <c r="M24" s="38">
        <f>'G - Environmental'!W19</f>
        <v>0</v>
      </c>
      <c r="N24" s="13">
        <f t="shared" si="1"/>
        <v>0</v>
      </c>
      <c r="O24" s="13">
        <f>$N24/(1+disc1)^($A24-'A - Inputs'!$C$6)</f>
        <v>0</v>
      </c>
      <c r="P24" s="25">
        <f>$N24/(1+disc2)^($A24-'A - Inputs'!$C$6)</f>
        <v>0</v>
      </c>
    </row>
    <row r="25" spans="1:16" x14ac:dyDescent="0.25">
      <c r="A25" s="252">
        <f t="shared" si="2"/>
        <v>2034</v>
      </c>
      <c r="B25" s="251">
        <f t="shared" si="3"/>
        <v>15</v>
      </c>
      <c r="C25" s="64">
        <f>'D - Cost and Mtce'!Q20</f>
        <v>0</v>
      </c>
      <c r="D25" s="13">
        <f t="shared" si="6"/>
        <v>0</v>
      </c>
      <c r="E25" s="13">
        <f>$D25/(1+disc1)^($A25-'A - Inputs'!$C$6)</f>
        <v>0</v>
      </c>
      <c r="F25" s="25">
        <f>$D25/(1+disc2)^($A25-'A - Inputs'!$C$6)</f>
        <v>0</v>
      </c>
      <c r="H25" s="252">
        <f t="shared" si="4"/>
        <v>2034</v>
      </c>
      <c r="I25" s="251">
        <f t="shared" si="5"/>
        <v>15</v>
      </c>
      <c r="J25" s="36">
        <f>'D - Cost and Mtce'!X20</f>
        <v>0</v>
      </c>
      <c r="K25" s="36">
        <f>'E - Safety'!N73</f>
        <v>0</v>
      </c>
      <c r="L25" s="36">
        <f>'F - Travel Time'!N73</f>
        <v>0</v>
      </c>
      <c r="M25" s="38">
        <f>'G - Environmental'!W20</f>
        <v>0</v>
      </c>
      <c r="N25" s="13">
        <f t="shared" si="1"/>
        <v>0</v>
      </c>
      <c r="O25" s="13">
        <f>$N25/(1+disc1)^($A25-'A - Inputs'!$C$6)</f>
        <v>0</v>
      </c>
      <c r="P25" s="25">
        <f>$N25/(1+disc2)^($A25-'A - Inputs'!$C$6)</f>
        <v>0</v>
      </c>
    </row>
    <row r="26" spans="1:16" x14ac:dyDescent="0.25">
      <c r="A26" s="252">
        <f t="shared" si="2"/>
        <v>2035</v>
      </c>
      <c r="B26" s="251">
        <f t="shared" si="3"/>
        <v>16</v>
      </c>
      <c r="C26" s="64">
        <f>'D - Cost and Mtce'!Q21</f>
        <v>0</v>
      </c>
      <c r="D26" s="13">
        <f t="shared" si="6"/>
        <v>0</v>
      </c>
      <c r="E26" s="13">
        <f>$D26/(1+disc1)^($A26-'A - Inputs'!$C$6)</f>
        <v>0</v>
      </c>
      <c r="F26" s="25">
        <f>$D26/(1+disc2)^($A26-'A - Inputs'!$C$6)</f>
        <v>0</v>
      </c>
      <c r="H26" s="252">
        <f t="shared" si="4"/>
        <v>2035</v>
      </c>
      <c r="I26" s="251">
        <f t="shared" si="5"/>
        <v>16</v>
      </c>
      <c r="J26" s="36">
        <f>'D - Cost and Mtce'!X21</f>
        <v>0</v>
      </c>
      <c r="K26" s="36">
        <f>'E - Safety'!N74</f>
        <v>0</v>
      </c>
      <c r="L26" s="36">
        <f>'F - Travel Time'!N74</f>
        <v>0</v>
      </c>
      <c r="M26" s="38">
        <f>'G - Environmental'!W21</f>
        <v>0</v>
      </c>
      <c r="N26" s="13">
        <f t="shared" si="1"/>
        <v>0</v>
      </c>
      <c r="O26" s="13">
        <f>$N26/(1+disc1)^($A26-'A - Inputs'!$C$6)</f>
        <v>0</v>
      </c>
      <c r="P26" s="25">
        <f>$N26/(1+disc2)^($A26-'A - Inputs'!$C$6)</f>
        <v>0</v>
      </c>
    </row>
    <row r="27" spans="1:16" x14ac:dyDescent="0.25">
      <c r="A27" s="252">
        <f t="shared" si="2"/>
        <v>2036</v>
      </c>
      <c r="B27" s="251">
        <f t="shared" si="3"/>
        <v>17</v>
      </c>
      <c r="C27" s="64">
        <f>'D - Cost and Mtce'!Q22</f>
        <v>0</v>
      </c>
      <c r="D27" s="13">
        <f t="shared" si="6"/>
        <v>0</v>
      </c>
      <c r="E27" s="13">
        <f>$D27/(1+disc1)^($A27-'A - Inputs'!$C$6)</f>
        <v>0</v>
      </c>
      <c r="F27" s="25">
        <f>$D27/(1+disc2)^($A27-'A - Inputs'!$C$6)</f>
        <v>0</v>
      </c>
      <c r="H27" s="252">
        <f t="shared" si="4"/>
        <v>2036</v>
      </c>
      <c r="I27" s="251">
        <f t="shared" si="5"/>
        <v>17</v>
      </c>
      <c r="J27" s="36">
        <f>'D - Cost and Mtce'!X22</f>
        <v>0</v>
      </c>
      <c r="K27" s="36">
        <f>'E - Safety'!N75</f>
        <v>0</v>
      </c>
      <c r="L27" s="36">
        <f>'F - Travel Time'!N75</f>
        <v>0</v>
      </c>
      <c r="M27" s="38">
        <f>'G - Environmental'!W22</f>
        <v>0</v>
      </c>
      <c r="N27" s="13">
        <f t="shared" si="1"/>
        <v>0</v>
      </c>
      <c r="O27" s="13">
        <f>$N27/(1+disc1)^($A27-'A - Inputs'!$C$6)</f>
        <v>0</v>
      </c>
      <c r="P27" s="25">
        <f>$N27/(1+disc2)^($A27-'A - Inputs'!$C$6)</f>
        <v>0</v>
      </c>
    </row>
    <row r="28" spans="1:16" x14ac:dyDescent="0.25">
      <c r="A28" s="252">
        <f t="shared" si="2"/>
        <v>2037</v>
      </c>
      <c r="B28" s="251">
        <f t="shared" si="3"/>
        <v>18</v>
      </c>
      <c r="C28" s="64">
        <f>'D - Cost and Mtce'!Q23</f>
        <v>0</v>
      </c>
      <c r="D28" s="13">
        <f t="shared" si="6"/>
        <v>0</v>
      </c>
      <c r="E28" s="13">
        <f>$D28/(1+disc1)^($A28-'A - Inputs'!$C$6)</f>
        <v>0</v>
      </c>
      <c r="F28" s="25">
        <f>$D28/(1+disc2)^($A28-'A - Inputs'!$C$6)</f>
        <v>0</v>
      </c>
      <c r="H28" s="252">
        <f t="shared" si="4"/>
        <v>2037</v>
      </c>
      <c r="I28" s="251">
        <f t="shared" si="5"/>
        <v>18</v>
      </c>
      <c r="J28" s="36">
        <f>'D - Cost and Mtce'!X23</f>
        <v>0</v>
      </c>
      <c r="K28" s="36">
        <f>'E - Safety'!N76</f>
        <v>0</v>
      </c>
      <c r="L28" s="36">
        <f>'F - Travel Time'!N76</f>
        <v>0</v>
      </c>
      <c r="M28" s="38">
        <f>'G - Environmental'!W23</f>
        <v>0</v>
      </c>
      <c r="N28" s="13">
        <f t="shared" si="1"/>
        <v>0</v>
      </c>
      <c r="O28" s="13">
        <f>$N28/(1+disc1)^($A28-'A - Inputs'!$C$6)</f>
        <v>0</v>
      </c>
      <c r="P28" s="25">
        <f>$N28/(1+disc2)^($A28-'A - Inputs'!$C$6)</f>
        <v>0</v>
      </c>
    </row>
    <row r="29" spans="1:16" x14ac:dyDescent="0.25">
      <c r="A29" s="252">
        <f t="shared" si="2"/>
        <v>2038</v>
      </c>
      <c r="B29" s="251">
        <f t="shared" si="3"/>
        <v>19</v>
      </c>
      <c r="C29" s="64">
        <f>'D - Cost and Mtce'!Q24</f>
        <v>0</v>
      </c>
      <c r="D29" s="13">
        <f t="shared" si="6"/>
        <v>0</v>
      </c>
      <c r="E29" s="13">
        <f>$D29/(1+disc1)^($A29-'A - Inputs'!$C$6)</f>
        <v>0</v>
      </c>
      <c r="F29" s="25">
        <f>$D29/(1+disc2)^($A29-'A - Inputs'!$C$6)</f>
        <v>0</v>
      </c>
      <c r="H29" s="252">
        <f t="shared" si="4"/>
        <v>2038</v>
      </c>
      <c r="I29" s="251">
        <f t="shared" si="5"/>
        <v>19</v>
      </c>
      <c r="J29" s="36">
        <f>'D - Cost and Mtce'!X24</f>
        <v>0</v>
      </c>
      <c r="K29" s="36">
        <f>'E - Safety'!N77</f>
        <v>0</v>
      </c>
      <c r="L29" s="36">
        <f>'F - Travel Time'!N77</f>
        <v>0</v>
      </c>
      <c r="M29" s="38">
        <f>'G - Environmental'!W24</f>
        <v>0</v>
      </c>
      <c r="N29" s="13">
        <f t="shared" si="1"/>
        <v>0</v>
      </c>
      <c r="O29" s="13">
        <f>$N29/(1+disc1)^($A29-'A - Inputs'!$C$6)</f>
        <v>0</v>
      </c>
      <c r="P29" s="25">
        <f>$N29/(1+disc2)^($A29-'A - Inputs'!$C$6)</f>
        <v>0</v>
      </c>
    </row>
    <row r="30" spans="1:16" x14ac:dyDescent="0.25">
      <c r="A30" s="252">
        <f t="shared" si="2"/>
        <v>2039</v>
      </c>
      <c r="B30" s="251">
        <f t="shared" si="3"/>
        <v>20</v>
      </c>
      <c r="C30" s="64">
        <f>'D - Cost and Mtce'!Q25</f>
        <v>0</v>
      </c>
      <c r="D30" s="13">
        <f t="shared" si="6"/>
        <v>0</v>
      </c>
      <c r="E30" s="13">
        <f>$D30/(1+disc1)^($A30-'A - Inputs'!$C$6)</f>
        <v>0</v>
      </c>
      <c r="F30" s="25">
        <f>$D30/(1+disc2)^($A30-'A - Inputs'!$C$6)</f>
        <v>0</v>
      </c>
      <c r="H30" s="252">
        <f t="shared" si="4"/>
        <v>2039</v>
      </c>
      <c r="I30" s="251">
        <f t="shared" si="5"/>
        <v>20</v>
      </c>
      <c r="J30" s="36">
        <f>'D - Cost and Mtce'!X25</f>
        <v>0</v>
      </c>
      <c r="K30" s="36">
        <f>'E - Safety'!N78</f>
        <v>0</v>
      </c>
      <c r="L30" s="36">
        <f>'F - Travel Time'!N78</f>
        <v>0</v>
      </c>
      <c r="M30" s="38">
        <f>'G - Environmental'!W25</f>
        <v>0</v>
      </c>
      <c r="N30" s="13">
        <f t="shared" si="1"/>
        <v>0</v>
      </c>
      <c r="O30" s="13">
        <f>$N30/(1+disc1)^($A30-'A - Inputs'!$C$6)</f>
        <v>0</v>
      </c>
      <c r="P30" s="25">
        <f>$N30/(1+disc2)^($A30-'A - Inputs'!$C$6)</f>
        <v>0</v>
      </c>
    </row>
    <row r="31" spans="1:16" x14ac:dyDescent="0.25">
      <c r="A31" s="252">
        <f t="shared" si="2"/>
        <v>2040</v>
      </c>
      <c r="B31" s="251">
        <f t="shared" si="3"/>
        <v>21</v>
      </c>
      <c r="C31" s="64">
        <f>'D - Cost and Mtce'!Q26</f>
        <v>0</v>
      </c>
      <c r="D31" s="13">
        <f t="shared" si="6"/>
        <v>0</v>
      </c>
      <c r="E31" s="13">
        <f>$D31/(1+disc1)^($A31-'A - Inputs'!$C$6)</f>
        <v>0</v>
      </c>
      <c r="F31" s="25">
        <f>$D31/(1+disc2)^($A31-'A - Inputs'!$C$6)</f>
        <v>0</v>
      </c>
      <c r="H31" s="252">
        <f t="shared" si="4"/>
        <v>2040</v>
      </c>
      <c r="I31" s="251">
        <f t="shared" si="5"/>
        <v>21</v>
      </c>
      <c r="J31" s="36">
        <f>'D - Cost and Mtce'!X26</f>
        <v>0</v>
      </c>
      <c r="K31" s="36">
        <f>'E - Safety'!N79</f>
        <v>0</v>
      </c>
      <c r="L31" s="36">
        <f>'F - Travel Time'!N79</f>
        <v>0</v>
      </c>
      <c r="M31" s="38">
        <f>'G - Environmental'!W26</f>
        <v>0</v>
      </c>
      <c r="N31" s="13">
        <f t="shared" si="1"/>
        <v>0</v>
      </c>
      <c r="O31" s="13">
        <f>$N31/(1+disc1)^($A31-'A - Inputs'!$C$6)</f>
        <v>0</v>
      </c>
      <c r="P31" s="25">
        <f>$N31/(1+disc2)^($A31-'A - Inputs'!$C$6)</f>
        <v>0</v>
      </c>
    </row>
    <row r="32" spans="1:16" x14ac:dyDescent="0.25">
      <c r="A32" s="252">
        <f t="shared" si="2"/>
        <v>2041</v>
      </c>
      <c r="B32" s="251">
        <f t="shared" si="3"/>
        <v>22</v>
      </c>
      <c r="C32" s="64">
        <f>'D - Cost and Mtce'!Q27</f>
        <v>0</v>
      </c>
      <c r="D32" s="13">
        <f t="shared" si="6"/>
        <v>0</v>
      </c>
      <c r="E32" s="13">
        <f>$D32/(1+disc1)^($A32-'A - Inputs'!$C$6)</f>
        <v>0</v>
      </c>
      <c r="F32" s="25">
        <f>$D32/(1+disc2)^($A32-'A - Inputs'!$C$6)</f>
        <v>0</v>
      </c>
      <c r="H32" s="252">
        <f t="shared" si="4"/>
        <v>2041</v>
      </c>
      <c r="I32" s="251">
        <f t="shared" si="5"/>
        <v>22</v>
      </c>
      <c r="J32" s="36">
        <f>'D - Cost and Mtce'!X27</f>
        <v>0</v>
      </c>
      <c r="K32" s="36">
        <f>'E - Safety'!N80</f>
        <v>0</v>
      </c>
      <c r="L32" s="36">
        <f>'F - Travel Time'!N80</f>
        <v>0</v>
      </c>
      <c r="M32" s="38">
        <f>'G - Environmental'!W27</f>
        <v>0</v>
      </c>
      <c r="N32" s="13">
        <f t="shared" si="1"/>
        <v>0</v>
      </c>
      <c r="O32" s="13">
        <f>$N32/(1+disc1)^($A32-'A - Inputs'!$C$6)</f>
        <v>0</v>
      </c>
      <c r="P32" s="25">
        <f>$N32/(1+disc2)^($A32-'A - Inputs'!$C$6)</f>
        <v>0</v>
      </c>
    </row>
    <row r="33" spans="1:16" x14ac:dyDescent="0.25">
      <c r="A33" s="252">
        <f t="shared" si="2"/>
        <v>2042</v>
      </c>
      <c r="B33" s="251">
        <f t="shared" si="3"/>
        <v>23</v>
      </c>
      <c r="C33" s="64">
        <f>'D - Cost and Mtce'!Q28</f>
        <v>0</v>
      </c>
      <c r="D33" s="13">
        <f t="shared" si="6"/>
        <v>0</v>
      </c>
      <c r="E33" s="13">
        <f>$D33/(1+disc1)^($A33-'A - Inputs'!$C$6)</f>
        <v>0</v>
      </c>
      <c r="F33" s="25">
        <f>$D33/(1+disc2)^($A33-'A - Inputs'!$C$6)</f>
        <v>0</v>
      </c>
      <c r="H33" s="252">
        <f t="shared" si="4"/>
        <v>2042</v>
      </c>
      <c r="I33" s="251">
        <f t="shared" si="5"/>
        <v>23</v>
      </c>
      <c r="J33" s="36">
        <f>'D - Cost and Mtce'!X28</f>
        <v>0</v>
      </c>
      <c r="K33" s="36">
        <f>'E - Safety'!N81</f>
        <v>0</v>
      </c>
      <c r="L33" s="36">
        <f>'F - Travel Time'!N81</f>
        <v>0</v>
      </c>
      <c r="M33" s="38">
        <f>'G - Environmental'!W28</f>
        <v>0</v>
      </c>
      <c r="N33" s="13">
        <f t="shared" si="1"/>
        <v>0</v>
      </c>
      <c r="O33" s="13">
        <f>$N33/(1+disc1)^($A33-'A - Inputs'!$C$6)</f>
        <v>0</v>
      </c>
      <c r="P33" s="25">
        <f>$N33/(1+disc2)^($A33-'A - Inputs'!$C$6)</f>
        <v>0</v>
      </c>
    </row>
    <row r="34" spans="1:16" x14ac:dyDescent="0.25">
      <c r="A34" s="252">
        <f t="shared" si="2"/>
        <v>2043</v>
      </c>
      <c r="B34" s="251">
        <f t="shared" si="3"/>
        <v>24</v>
      </c>
      <c r="C34" s="64">
        <f>'D - Cost and Mtce'!Q29</f>
        <v>0</v>
      </c>
      <c r="D34" s="13">
        <f t="shared" si="6"/>
        <v>0</v>
      </c>
      <c r="E34" s="13">
        <f>$D34/(1+disc1)^($A34-'A - Inputs'!$C$6)</f>
        <v>0</v>
      </c>
      <c r="F34" s="25">
        <f>$D34/(1+disc2)^($A34-'A - Inputs'!$C$6)</f>
        <v>0</v>
      </c>
      <c r="H34" s="252">
        <f t="shared" si="4"/>
        <v>2043</v>
      </c>
      <c r="I34" s="251">
        <f t="shared" si="5"/>
        <v>24</v>
      </c>
      <c r="J34" s="36">
        <f>'D - Cost and Mtce'!X29</f>
        <v>0</v>
      </c>
      <c r="K34" s="36">
        <f>'E - Safety'!N82</f>
        <v>0</v>
      </c>
      <c r="L34" s="36">
        <f>'F - Travel Time'!N82</f>
        <v>0</v>
      </c>
      <c r="M34" s="38">
        <f>'G - Environmental'!W29</f>
        <v>0</v>
      </c>
      <c r="N34" s="13">
        <f t="shared" si="1"/>
        <v>0</v>
      </c>
      <c r="O34" s="13">
        <f>$N34/(1+disc1)^($A34-'A - Inputs'!$C$6)</f>
        <v>0</v>
      </c>
      <c r="P34" s="25">
        <f>$N34/(1+disc2)^($A34-'A - Inputs'!$C$6)</f>
        <v>0</v>
      </c>
    </row>
    <row r="35" spans="1:16" x14ac:dyDescent="0.25">
      <c r="A35" s="252">
        <f t="shared" si="2"/>
        <v>2044</v>
      </c>
      <c r="B35" s="251">
        <f t="shared" si="3"/>
        <v>25</v>
      </c>
      <c r="C35" s="64">
        <f>'D - Cost and Mtce'!Q30</f>
        <v>0</v>
      </c>
      <c r="D35" s="13">
        <f t="shared" si="6"/>
        <v>0</v>
      </c>
      <c r="E35" s="13">
        <f>$D35/(1+disc1)^($A35-'A - Inputs'!$C$6)</f>
        <v>0</v>
      </c>
      <c r="F35" s="25">
        <f>$D35/(1+disc2)^($A35-'A - Inputs'!$C$6)</f>
        <v>0</v>
      </c>
      <c r="H35" s="252">
        <f t="shared" si="4"/>
        <v>2044</v>
      </c>
      <c r="I35" s="251">
        <f t="shared" si="5"/>
        <v>25</v>
      </c>
      <c r="J35" s="36">
        <f>'D - Cost and Mtce'!X30</f>
        <v>0</v>
      </c>
      <c r="K35" s="36">
        <f>'E - Safety'!N83</f>
        <v>0</v>
      </c>
      <c r="L35" s="36">
        <f>'F - Travel Time'!N83</f>
        <v>0</v>
      </c>
      <c r="M35" s="38">
        <f>'G - Environmental'!W30</f>
        <v>0</v>
      </c>
      <c r="N35" s="13">
        <f t="shared" si="1"/>
        <v>0</v>
      </c>
      <c r="O35" s="13">
        <f>$N35/(1+disc1)^($A35-'A - Inputs'!$C$6)</f>
        <v>0</v>
      </c>
      <c r="P35" s="25">
        <f>$N35/(1+disc2)^($A35-'A - Inputs'!$C$6)</f>
        <v>0</v>
      </c>
    </row>
    <row r="36" spans="1:16" x14ac:dyDescent="0.25">
      <c r="A36" s="252">
        <f t="shared" si="2"/>
        <v>2045</v>
      </c>
      <c r="B36" s="251">
        <f t="shared" si="3"/>
        <v>26</v>
      </c>
      <c r="C36" s="64">
        <f>'D - Cost and Mtce'!Q31</f>
        <v>0</v>
      </c>
      <c r="D36" s="13">
        <f t="shared" si="6"/>
        <v>0</v>
      </c>
      <c r="E36" s="13">
        <f>$D36/(1+disc1)^($A36-'A - Inputs'!$C$6)</f>
        <v>0</v>
      </c>
      <c r="F36" s="25">
        <f>$D36/(1+disc2)^($A36-'A - Inputs'!$C$6)</f>
        <v>0</v>
      </c>
      <c r="H36" s="252">
        <f t="shared" si="4"/>
        <v>2045</v>
      </c>
      <c r="I36" s="251">
        <f t="shared" si="5"/>
        <v>26</v>
      </c>
      <c r="J36" s="36">
        <f>'D - Cost and Mtce'!X31</f>
        <v>0</v>
      </c>
      <c r="K36" s="36">
        <f>'E - Safety'!N84</f>
        <v>0</v>
      </c>
      <c r="L36" s="36">
        <f>'F - Travel Time'!N84</f>
        <v>0</v>
      </c>
      <c r="M36" s="38">
        <f>'G - Environmental'!W31</f>
        <v>0</v>
      </c>
      <c r="N36" s="13">
        <f t="shared" si="1"/>
        <v>0</v>
      </c>
      <c r="O36" s="13">
        <f>$N36/(1+disc1)^($A36-'A - Inputs'!$C$6)</f>
        <v>0</v>
      </c>
      <c r="P36" s="25">
        <f>$N36/(1+disc2)^($A36-'A - Inputs'!$C$6)</f>
        <v>0</v>
      </c>
    </row>
    <row r="37" spans="1:16" x14ac:dyDescent="0.25">
      <c r="A37" s="252">
        <f t="shared" si="2"/>
        <v>2046</v>
      </c>
      <c r="B37" s="251">
        <f t="shared" si="3"/>
        <v>27</v>
      </c>
      <c r="C37" s="64">
        <f>'D - Cost and Mtce'!Q32</f>
        <v>0</v>
      </c>
      <c r="D37" s="13">
        <f t="shared" si="6"/>
        <v>0</v>
      </c>
      <c r="E37" s="13">
        <f>$D37/(1+disc1)^($A37-'A - Inputs'!$C$6)</f>
        <v>0</v>
      </c>
      <c r="F37" s="25">
        <f>$D37/(1+disc2)^($A37-'A - Inputs'!$C$6)</f>
        <v>0</v>
      </c>
      <c r="H37" s="252">
        <f t="shared" si="4"/>
        <v>2046</v>
      </c>
      <c r="I37" s="251">
        <f t="shared" si="5"/>
        <v>27</v>
      </c>
      <c r="J37" s="36">
        <f>'D - Cost and Mtce'!X32</f>
        <v>0</v>
      </c>
      <c r="K37" s="36">
        <f>'E - Safety'!N85</f>
        <v>0</v>
      </c>
      <c r="L37" s="36">
        <f>'F - Travel Time'!N85</f>
        <v>0</v>
      </c>
      <c r="M37" s="38">
        <f>'G - Environmental'!W32</f>
        <v>0</v>
      </c>
      <c r="N37" s="13">
        <f t="shared" si="1"/>
        <v>0</v>
      </c>
      <c r="O37" s="13">
        <f>$N37/(1+disc1)^($A37-'A - Inputs'!$C$6)</f>
        <v>0</v>
      </c>
      <c r="P37" s="25">
        <f>$N37/(1+disc2)^($A37-'A - Inputs'!$C$6)</f>
        <v>0</v>
      </c>
    </row>
    <row r="38" spans="1:16" x14ac:dyDescent="0.25">
      <c r="A38" s="252">
        <f t="shared" si="2"/>
        <v>2047</v>
      </c>
      <c r="B38" s="251">
        <f t="shared" si="3"/>
        <v>28</v>
      </c>
      <c r="C38" s="64">
        <f>'D - Cost and Mtce'!Q33</f>
        <v>0</v>
      </c>
      <c r="D38" s="13">
        <f t="shared" si="6"/>
        <v>0</v>
      </c>
      <c r="E38" s="13">
        <f>$D38/(1+disc1)^($A38-'A - Inputs'!$C$6)</f>
        <v>0</v>
      </c>
      <c r="F38" s="25">
        <f>$D38/(1+disc2)^($A38-'A - Inputs'!$C$6)</f>
        <v>0</v>
      </c>
      <c r="H38" s="252">
        <f t="shared" si="4"/>
        <v>2047</v>
      </c>
      <c r="I38" s="251">
        <f t="shared" si="5"/>
        <v>28</v>
      </c>
      <c r="J38" s="36">
        <f>'D - Cost and Mtce'!X33</f>
        <v>0</v>
      </c>
      <c r="K38" s="36">
        <f>'E - Safety'!N86</f>
        <v>0</v>
      </c>
      <c r="L38" s="36">
        <f>'F - Travel Time'!N86</f>
        <v>0</v>
      </c>
      <c r="M38" s="38">
        <f>'G - Environmental'!W33</f>
        <v>0</v>
      </c>
      <c r="N38" s="13">
        <f t="shared" si="1"/>
        <v>0</v>
      </c>
      <c r="O38" s="13">
        <f>$N38/(1+disc1)^($A38-'A - Inputs'!$C$6)</f>
        <v>0</v>
      </c>
      <c r="P38" s="25">
        <f>$N38/(1+disc2)^($A38-'A - Inputs'!$C$6)</f>
        <v>0</v>
      </c>
    </row>
    <row r="39" spans="1:16" x14ac:dyDescent="0.25">
      <c r="A39" s="252">
        <f t="shared" si="2"/>
        <v>2048</v>
      </c>
      <c r="B39" s="251">
        <f t="shared" si="3"/>
        <v>29</v>
      </c>
      <c r="C39" s="64">
        <f>'D - Cost and Mtce'!Q34</f>
        <v>0</v>
      </c>
      <c r="D39" s="13">
        <f t="shared" si="6"/>
        <v>0</v>
      </c>
      <c r="E39" s="13">
        <f>$D39/(1+disc1)^($A39-'A - Inputs'!$C$6)</f>
        <v>0</v>
      </c>
      <c r="F39" s="25">
        <f>$D39/(1+disc2)^($A39-'A - Inputs'!$C$6)</f>
        <v>0</v>
      </c>
      <c r="H39" s="252">
        <f t="shared" si="4"/>
        <v>2048</v>
      </c>
      <c r="I39" s="251">
        <f t="shared" si="5"/>
        <v>29</v>
      </c>
      <c r="J39" s="36">
        <f>'D - Cost and Mtce'!X34</f>
        <v>0</v>
      </c>
      <c r="K39" s="36">
        <f>'E - Safety'!N87</f>
        <v>0</v>
      </c>
      <c r="L39" s="36">
        <f>'F - Travel Time'!N87</f>
        <v>0</v>
      </c>
      <c r="M39" s="38">
        <f>'G - Environmental'!W34</f>
        <v>0</v>
      </c>
      <c r="N39" s="13">
        <f t="shared" si="1"/>
        <v>0</v>
      </c>
      <c r="O39" s="13">
        <f>$N39/(1+disc1)^($A39-'A - Inputs'!$C$6)</f>
        <v>0</v>
      </c>
      <c r="P39" s="25">
        <f>$N39/(1+disc2)^($A39-'A - Inputs'!$C$6)</f>
        <v>0</v>
      </c>
    </row>
    <row r="40" spans="1:16" x14ac:dyDescent="0.25">
      <c r="A40" s="252">
        <f t="shared" si="2"/>
        <v>2049</v>
      </c>
      <c r="B40" s="251">
        <f t="shared" si="3"/>
        <v>30</v>
      </c>
      <c r="C40" s="64">
        <f>'D - Cost and Mtce'!Q35</f>
        <v>0</v>
      </c>
      <c r="D40" s="13">
        <f t="shared" si="6"/>
        <v>0</v>
      </c>
      <c r="E40" s="13">
        <f>$D40/(1+disc1)^($A40-'A - Inputs'!$C$6)</f>
        <v>0</v>
      </c>
      <c r="F40" s="25">
        <f>$D40/(1+disc2)^($A40-'A - Inputs'!$C$6)</f>
        <v>0</v>
      </c>
      <c r="H40" s="252">
        <f t="shared" si="4"/>
        <v>2049</v>
      </c>
      <c r="I40" s="251">
        <f t="shared" si="5"/>
        <v>30</v>
      </c>
      <c r="J40" s="36">
        <f>'D - Cost and Mtce'!X35</f>
        <v>0</v>
      </c>
      <c r="K40" s="36">
        <f>'E - Safety'!N88</f>
        <v>0</v>
      </c>
      <c r="L40" s="36">
        <f>'F - Travel Time'!N88</f>
        <v>0</v>
      </c>
      <c r="M40" s="38">
        <f>'G - Environmental'!W35</f>
        <v>0</v>
      </c>
      <c r="N40" s="13">
        <f t="shared" si="1"/>
        <v>0</v>
      </c>
      <c r="O40" s="13">
        <f>$N40/(1+disc1)^($A40-'A - Inputs'!$C$6)</f>
        <v>0</v>
      </c>
      <c r="P40" s="25">
        <f>$N40/(1+disc2)^($A40-'A - Inputs'!$C$6)</f>
        <v>0</v>
      </c>
    </row>
    <row r="41" spans="1:16" x14ac:dyDescent="0.25">
      <c r="A41" s="252">
        <f t="shared" si="2"/>
        <v>2050</v>
      </c>
      <c r="B41" s="251">
        <f t="shared" si="3"/>
        <v>31</v>
      </c>
      <c r="C41" s="64">
        <f>'D - Cost and Mtce'!Q36</f>
        <v>0</v>
      </c>
      <c r="D41" s="13">
        <f t="shared" si="6"/>
        <v>0</v>
      </c>
      <c r="E41" s="13">
        <f>$D41/(1+disc1)^($A41-'A - Inputs'!$C$6)</f>
        <v>0</v>
      </c>
      <c r="F41" s="25">
        <f>$D41/(1+disc2)^($A41-'A - Inputs'!$C$6)</f>
        <v>0</v>
      </c>
      <c r="H41" s="252">
        <f t="shared" si="4"/>
        <v>2050</v>
      </c>
      <c r="I41" s="251">
        <f t="shared" si="5"/>
        <v>31</v>
      </c>
      <c r="J41" s="36">
        <f>'D - Cost and Mtce'!X36</f>
        <v>0</v>
      </c>
      <c r="K41" s="36">
        <f>'E - Safety'!N89</f>
        <v>0</v>
      </c>
      <c r="L41" s="36">
        <f>'F - Travel Time'!N89</f>
        <v>0</v>
      </c>
      <c r="M41" s="38">
        <f>'G - Environmental'!W36</f>
        <v>0</v>
      </c>
      <c r="N41" s="13">
        <f t="shared" si="1"/>
        <v>0</v>
      </c>
      <c r="O41" s="13">
        <f>$N41/(1+disc1)^($A41-'A - Inputs'!$C$6)</f>
        <v>0</v>
      </c>
      <c r="P41" s="25">
        <f>$N41/(1+disc2)^($A41-'A - Inputs'!$C$6)</f>
        <v>0</v>
      </c>
    </row>
    <row r="42" spans="1:16" x14ac:dyDescent="0.25">
      <c r="A42" s="252">
        <f t="shared" si="2"/>
        <v>2051</v>
      </c>
      <c r="B42" s="251">
        <f t="shared" si="3"/>
        <v>32</v>
      </c>
      <c r="C42" s="64">
        <f>'D - Cost and Mtce'!Q37</f>
        <v>0</v>
      </c>
      <c r="D42" s="13">
        <f t="shared" si="6"/>
        <v>0</v>
      </c>
      <c r="E42" s="13">
        <f>$D42/(1+disc1)^($A42-'A - Inputs'!$C$6)</f>
        <v>0</v>
      </c>
      <c r="F42" s="25">
        <f>$D42/(1+disc2)^($A42-'A - Inputs'!$C$6)</f>
        <v>0</v>
      </c>
      <c r="H42" s="252">
        <f t="shared" si="4"/>
        <v>2051</v>
      </c>
      <c r="I42" s="251">
        <f t="shared" si="5"/>
        <v>32</v>
      </c>
      <c r="J42" s="36">
        <f>'D - Cost and Mtce'!X37</f>
        <v>0</v>
      </c>
      <c r="K42" s="36">
        <f>'E - Safety'!N90</f>
        <v>0</v>
      </c>
      <c r="L42" s="36">
        <f>'F - Travel Time'!N90</f>
        <v>0</v>
      </c>
      <c r="M42" s="38">
        <f>'G - Environmental'!W37</f>
        <v>0</v>
      </c>
      <c r="N42" s="13">
        <f t="shared" si="1"/>
        <v>0</v>
      </c>
      <c r="O42" s="13">
        <f>$N42/(1+disc1)^($A42-'A - Inputs'!$C$6)</f>
        <v>0</v>
      </c>
      <c r="P42" s="25">
        <f>$N42/(1+disc2)^($A42-'A - Inputs'!$C$6)</f>
        <v>0</v>
      </c>
    </row>
    <row r="43" spans="1:16" x14ac:dyDescent="0.25">
      <c r="A43" s="252">
        <f t="shared" si="2"/>
        <v>2052</v>
      </c>
      <c r="B43" s="251">
        <f t="shared" si="3"/>
        <v>33</v>
      </c>
      <c r="C43" s="64">
        <f>'D - Cost and Mtce'!Q38</f>
        <v>0</v>
      </c>
      <c r="D43" s="13">
        <f t="shared" si="6"/>
        <v>0</v>
      </c>
      <c r="E43" s="13">
        <f>$D43/(1+disc1)^($A43-'A - Inputs'!$C$6)</f>
        <v>0</v>
      </c>
      <c r="F43" s="25">
        <f>$D43/(1+disc2)^($A43-'A - Inputs'!$C$6)</f>
        <v>0</v>
      </c>
      <c r="H43" s="252">
        <f t="shared" si="4"/>
        <v>2052</v>
      </c>
      <c r="I43" s="251">
        <f t="shared" si="5"/>
        <v>33</v>
      </c>
      <c r="J43" s="36">
        <f>'D - Cost and Mtce'!X38</f>
        <v>0</v>
      </c>
      <c r="K43" s="36">
        <f>'E - Safety'!N91</f>
        <v>0</v>
      </c>
      <c r="L43" s="36">
        <f>'F - Travel Time'!N91</f>
        <v>0</v>
      </c>
      <c r="M43" s="38">
        <f>'G - Environmental'!W38</f>
        <v>0</v>
      </c>
      <c r="N43" s="13">
        <f t="shared" si="1"/>
        <v>0</v>
      </c>
      <c r="O43" s="13">
        <f>$N43/(1+disc1)^($A43-'A - Inputs'!$C$6)</f>
        <v>0</v>
      </c>
      <c r="P43" s="25">
        <f>$N43/(1+disc2)^($A43-'A - Inputs'!$C$6)</f>
        <v>0</v>
      </c>
    </row>
    <row r="44" spans="1:16" x14ac:dyDescent="0.25">
      <c r="A44" s="252">
        <f t="shared" si="2"/>
        <v>2053</v>
      </c>
      <c r="B44" s="251">
        <f t="shared" si="3"/>
        <v>34</v>
      </c>
      <c r="C44" s="64">
        <f>'D - Cost and Mtce'!Q39</f>
        <v>0</v>
      </c>
      <c r="D44" s="13">
        <f t="shared" si="6"/>
        <v>0</v>
      </c>
      <c r="E44" s="13">
        <f>$D44/(1+disc1)^($A44-'A - Inputs'!$C$6)</f>
        <v>0</v>
      </c>
      <c r="F44" s="25">
        <f>$D44/(1+disc2)^($A44-'A - Inputs'!$C$6)</f>
        <v>0</v>
      </c>
      <c r="H44" s="252">
        <f t="shared" si="4"/>
        <v>2053</v>
      </c>
      <c r="I44" s="251">
        <f t="shared" si="5"/>
        <v>34</v>
      </c>
      <c r="J44" s="36">
        <f>'D - Cost and Mtce'!X39</f>
        <v>0</v>
      </c>
      <c r="K44" s="36">
        <f>'E - Safety'!N92</f>
        <v>0</v>
      </c>
      <c r="L44" s="36">
        <f>'F - Travel Time'!N92</f>
        <v>0</v>
      </c>
      <c r="M44" s="38">
        <f>'G - Environmental'!W39</f>
        <v>0</v>
      </c>
      <c r="N44" s="13">
        <f t="shared" si="1"/>
        <v>0</v>
      </c>
      <c r="O44" s="13">
        <f>$N44/(1+disc1)^($A44-'A - Inputs'!$C$6)</f>
        <v>0</v>
      </c>
      <c r="P44" s="25">
        <f>$N44/(1+disc2)^($A44-'A - Inputs'!$C$6)</f>
        <v>0</v>
      </c>
    </row>
    <row r="45" spans="1:16" x14ac:dyDescent="0.25">
      <c r="A45" s="252">
        <f t="shared" si="2"/>
        <v>2054</v>
      </c>
      <c r="B45" s="251">
        <f t="shared" si="3"/>
        <v>35</v>
      </c>
      <c r="C45" s="64">
        <f>'D - Cost and Mtce'!Q40</f>
        <v>0</v>
      </c>
      <c r="D45" s="13">
        <f t="shared" si="6"/>
        <v>0</v>
      </c>
      <c r="E45" s="13">
        <f>$D45/(1+disc1)^($A45-'A - Inputs'!$C$6)</f>
        <v>0</v>
      </c>
      <c r="F45" s="25">
        <f>$D45/(1+disc2)^($A45-'A - Inputs'!$C$6)</f>
        <v>0</v>
      </c>
      <c r="H45" s="252">
        <f t="shared" si="4"/>
        <v>2054</v>
      </c>
      <c r="I45" s="251">
        <f t="shared" si="5"/>
        <v>35</v>
      </c>
      <c r="J45" s="36">
        <f>'D - Cost and Mtce'!X40</f>
        <v>0</v>
      </c>
      <c r="K45" s="36">
        <f>'E - Safety'!N93</f>
        <v>0</v>
      </c>
      <c r="L45" s="36">
        <f>'F - Travel Time'!N93</f>
        <v>0</v>
      </c>
      <c r="M45" s="38">
        <f>'G - Environmental'!W40</f>
        <v>0</v>
      </c>
      <c r="N45" s="13">
        <f t="shared" si="1"/>
        <v>0</v>
      </c>
      <c r="O45" s="13">
        <f>$N45/(1+disc1)^($A45-'A - Inputs'!$C$6)</f>
        <v>0</v>
      </c>
      <c r="P45" s="25">
        <f>$N45/(1+disc2)^($A45-'A - Inputs'!$C$6)</f>
        <v>0</v>
      </c>
    </row>
    <row r="46" spans="1:16" x14ac:dyDescent="0.25">
      <c r="A46" s="28" t="s">
        <v>48</v>
      </c>
      <c r="B46" s="29"/>
      <c r="C46" s="65">
        <f>SUM(C11:C45)</f>
        <v>17317444.850000001</v>
      </c>
      <c r="D46" s="32">
        <f t="shared" ref="D46:F46" si="7">SUM(D11:D45)</f>
        <v>17317444.850000001</v>
      </c>
      <c r="E46" s="32">
        <f t="shared" si="7"/>
        <v>15417035.781657968</v>
      </c>
      <c r="F46" s="33">
        <f t="shared" si="7"/>
        <v>13291657.751778277</v>
      </c>
      <c r="H46" s="28" t="s">
        <v>48</v>
      </c>
      <c r="I46" s="29"/>
      <c r="J46" s="52">
        <f>SUM(J11:J45)</f>
        <v>-2634964.85</v>
      </c>
      <c r="K46" s="52">
        <f t="shared" ref="K46:M46" si="8">SUM(K11:K45)</f>
        <v>42236466.5625</v>
      </c>
      <c r="L46" s="52">
        <f t="shared" si="8"/>
        <v>17003968.12122963</v>
      </c>
      <c r="M46" s="51">
        <f t="shared" si="8"/>
        <v>170835.10346831419</v>
      </c>
      <c r="N46" s="32">
        <f>SUM(N11:N45)</f>
        <v>56776304.937197939</v>
      </c>
      <c r="O46" s="32">
        <f t="shared" ref="O46:P46" si="9">SUM(O11:O45)</f>
        <v>43574595.951037392</v>
      </c>
      <c r="P46" s="33">
        <f t="shared" si="9"/>
        <v>31137496.489086777</v>
      </c>
    </row>
  </sheetData>
  <pageMargins left="0.7" right="0.7" top="0.75" bottom="0.75" header="0.3" footer="0.3"/>
  <pageSetup scale="76" fitToWidth="2" orientation="landscape" r:id="rId1"/>
  <headerFooter>
    <oddHeader>&amp;L&amp;"Arial,Bold"Florida Department of Transportation - SMART St. Augustine&amp;R&amp;"Arial,Bold"&amp;A</oddHeader>
    <oddFooter>&amp;CPage C-&amp;P</oddFooter>
  </headerFooter>
  <colBreaks count="1" manualBreakCount="1">
    <brk id="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3FF6A0-2277-4430-AE98-31C35E96F94D}">
  <dimension ref="A1:AA48"/>
  <sheetViews>
    <sheetView zoomScale="80" zoomScaleNormal="80" zoomScaleSheetLayoutView="70" workbookViewId="0">
      <pane xSplit="5" ySplit="5" topLeftCell="O21" activePane="bottomRight" state="frozen"/>
      <selection pane="topRight" activeCell="I15" sqref="I15"/>
      <selection pane="bottomLeft" activeCell="I15" sqref="I15"/>
      <selection pane="bottomRight" activeCell="B1" sqref="B1"/>
    </sheetView>
  </sheetViews>
  <sheetFormatPr defaultColWidth="8.7109375" defaultRowHeight="15" outlineLevelCol="1" x14ac:dyDescent="0.25"/>
  <cols>
    <col min="1" max="1" width="7.7109375" customWidth="1"/>
    <col min="2" max="2" width="67.42578125" style="9" bestFit="1" customWidth="1"/>
    <col min="3" max="3" width="4.42578125" style="9" bestFit="1" customWidth="1"/>
    <col min="4" max="5" width="15.5703125" style="9" customWidth="1"/>
    <col min="6" max="11" width="10.42578125" style="9" customWidth="1"/>
    <col min="12" max="12" width="10.42578125" style="39" hidden="1" customWidth="1"/>
    <col min="13" max="13" width="8.7109375" style="107" hidden="1" customWidth="1" outlineLevel="1"/>
    <col min="14" max="14" width="0" style="9" hidden="1" customWidth="1" collapsed="1"/>
    <col min="15" max="15" width="12.42578125" style="4" bestFit="1" customWidth="1"/>
    <col min="16" max="16" width="10.85546875" style="4" bestFit="1" customWidth="1"/>
    <col min="17" max="17" width="11.5703125" style="4" bestFit="1" customWidth="1"/>
    <col min="18" max="19" width="16.85546875" style="4" customWidth="1"/>
    <col min="20" max="20" width="8.7109375" style="9"/>
    <col min="21" max="21" width="12.42578125" style="4" bestFit="1" customWidth="1"/>
    <col min="22" max="22" width="10.85546875" style="4" bestFit="1" customWidth="1"/>
    <col min="23" max="24" width="12.5703125" style="4" customWidth="1"/>
    <col min="25" max="26" width="16.85546875" style="4" customWidth="1"/>
    <col min="27" max="16384" width="8.7109375" style="9"/>
  </cols>
  <sheetData>
    <row r="1" spans="1:27" ht="23.25" x14ac:dyDescent="0.35">
      <c r="B1" s="115" t="s">
        <v>296</v>
      </c>
      <c r="J1" s="262"/>
    </row>
    <row r="2" spans="1:27" ht="18.75" x14ac:dyDescent="0.3">
      <c r="B2" s="116" t="s">
        <v>293</v>
      </c>
    </row>
    <row r="3" spans="1:27" ht="19.5" thickBot="1" x14ac:dyDescent="0.35">
      <c r="B3" s="116" t="s">
        <v>294</v>
      </c>
      <c r="O3" s="37"/>
      <c r="P3" s="37"/>
      <c r="Q3" s="37"/>
      <c r="R3" s="37"/>
      <c r="S3" s="37"/>
      <c r="U3" s="37"/>
      <c r="V3" s="37"/>
      <c r="W3" s="37"/>
      <c r="X3" s="37"/>
      <c r="Y3" s="37"/>
      <c r="Z3" s="37"/>
    </row>
    <row r="4" spans="1:27" s="105" customFormat="1" ht="16.5" thickBot="1" x14ac:dyDescent="0.3">
      <c r="A4"/>
      <c r="B4" s="266" t="s">
        <v>295</v>
      </c>
      <c r="F4" s="62" t="s">
        <v>49</v>
      </c>
      <c r="G4" s="62"/>
      <c r="H4" s="62"/>
      <c r="I4" s="62"/>
      <c r="J4" s="62"/>
      <c r="K4" s="62"/>
      <c r="L4" s="106"/>
      <c r="M4" s="108"/>
      <c r="O4" s="11" t="s">
        <v>50</v>
      </c>
      <c r="P4" s="11"/>
      <c r="Q4" s="11"/>
      <c r="R4" s="11"/>
      <c r="S4" s="11"/>
      <c r="T4" s="9"/>
      <c r="U4" s="62" t="s">
        <v>51</v>
      </c>
      <c r="V4" s="11"/>
      <c r="W4" s="11"/>
      <c r="X4" s="11"/>
      <c r="Y4" s="11"/>
      <c r="Z4" s="11"/>
      <c r="AA4" s="9"/>
    </row>
    <row r="5" spans="1:27" ht="30" customHeight="1" x14ac:dyDescent="0.25">
      <c r="B5" s="21" t="s">
        <v>52</v>
      </c>
      <c r="C5" s="21"/>
      <c r="D5" s="53" t="s">
        <v>53</v>
      </c>
      <c r="E5" s="53" t="s">
        <v>54</v>
      </c>
      <c r="F5" s="53">
        <v>2020</v>
      </c>
      <c r="G5" s="53">
        <v>2022</v>
      </c>
      <c r="H5" s="53">
        <f>G5+1</f>
        <v>2023</v>
      </c>
      <c r="I5" s="53">
        <f t="shared" ref="I5:K5" si="0">H5+1</f>
        <v>2024</v>
      </c>
      <c r="J5" s="53">
        <f t="shared" si="0"/>
        <v>2025</v>
      </c>
      <c r="K5" s="53">
        <f t="shared" si="0"/>
        <v>2026</v>
      </c>
      <c r="L5" s="53" t="s">
        <v>55</v>
      </c>
      <c r="M5" s="109" t="s">
        <v>56</v>
      </c>
      <c r="O5" s="53" t="s">
        <v>42</v>
      </c>
      <c r="P5" s="53" t="s">
        <v>43</v>
      </c>
      <c r="Q5" s="21" t="s">
        <v>57</v>
      </c>
      <c r="R5" s="21" t="str">
        <f>"Present Value ("&amp;TEXT(disc1,"0%")&amp;" Discount Rate)"</f>
        <v>Present Value (3% Discount Rate)</v>
      </c>
      <c r="S5" s="21" t="str">
        <f>"Present Value ("&amp;TEXT(disc2,"0%")&amp;" Discount Rate)"</f>
        <v>Present Value (7% Discount Rate)</v>
      </c>
      <c r="T5" s="105"/>
      <c r="U5" s="53" t="s">
        <v>42</v>
      </c>
      <c r="V5" s="53" t="s">
        <v>43</v>
      </c>
      <c r="W5" s="117" t="s">
        <v>58</v>
      </c>
      <c r="X5" s="114" t="s">
        <v>59</v>
      </c>
      <c r="Y5" s="21" t="str">
        <f>"Present Value ("&amp;TEXT(disc1,"0%")&amp;" Discount Rate)"</f>
        <v>Present Value (3% Discount Rate)</v>
      </c>
      <c r="Z5" s="21" t="str">
        <f>"Present Value ("&amp;TEXT(disc2,"0%")&amp;" Discount Rate)"</f>
        <v>Present Value (7% Discount Rate)</v>
      </c>
    </row>
    <row r="6" spans="1:27" s="105" customFormat="1" x14ac:dyDescent="0.25">
      <c r="A6"/>
      <c r="B6" t="s">
        <v>60</v>
      </c>
      <c r="D6" s="99">
        <v>3970378.018749998</v>
      </c>
      <c r="E6" s="99">
        <v>20398</v>
      </c>
      <c r="F6" s="161"/>
      <c r="G6" s="100"/>
      <c r="H6" s="100"/>
      <c r="I6" s="100">
        <v>0.7</v>
      </c>
      <c r="J6" s="100">
        <v>0.3</v>
      </c>
      <c r="K6" s="100"/>
      <c r="L6" s="2">
        <v>2026</v>
      </c>
      <c r="M6" s="101" t="b">
        <f t="shared" ref="M6:M27" si="1">SUM(F6:K6)=1</f>
        <v>1</v>
      </c>
      <c r="O6" s="54">
        <f>'A - Inputs'!$C$7</f>
        <v>2020</v>
      </c>
      <c r="P6" s="90">
        <v>1</v>
      </c>
      <c r="Q6" s="267">
        <f t="shared" ref="Q6:Q11" si="2">IFERROR(INDEX($F$46:$K$46,MATCH($O6,$F$5:$K$5,0)),0)*1.01</f>
        <v>702506.51</v>
      </c>
      <c r="R6" s="13">
        <f>$Q6/(1+disc1)^($O6-'A - Inputs'!$C$6)</f>
        <v>702506.51</v>
      </c>
      <c r="S6" s="13">
        <f>$Q6/(1+disc2)^($O6-'A - Inputs'!$C$6)</f>
        <v>702506.51</v>
      </c>
      <c r="T6" s="9"/>
      <c r="U6" s="54">
        <f>'A - Inputs'!$C$7</f>
        <v>2020</v>
      </c>
      <c r="V6" s="90">
        <v>1</v>
      </c>
      <c r="W6" s="268">
        <f t="shared" ref="W6:W16" si="3">SUMIFS($E$6:$E$44,$L$6:$L$44,"&lt;="&amp;$U6)*1.01</f>
        <v>10302</v>
      </c>
      <c r="X6" s="13">
        <f t="shared" ref="X6:X40" si="4">IF($U6&lt;=AnalysisEnd,-W6,0)</f>
        <v>-10302</v>
      </c>
      <c r="Y6" s="13">
        <f>$X6/(1+disc1)^($U6-'A - Inputs'!$C$6)</f>
        <v>-10302</v>
      </c>
      <c r="Z6" s="13">
        <f>$X6/(1+disc2)^($U6-'A - Inputs'!$C$6)</f>
        <v>-10302</v>
      </c>
    </row>
    <row r="7" spans="1:27" x14ac:dyDescent="0.25">
      <c r="B7" t="s">
        <v>61</v>
      </c>
      <c r="D7" s="99">
        <v>233841.06899999996</v>
      </c>
      <c r="E7" s="99">
        <v>4410</v>
      </c>
      <c r="F7" s="100"/>
      <c r="G7" s="100"/>
      <c r="H7" s="100"/>
      <c r="I7" s="100">
        <v>0.7</v>
      </c>
      <c r="J7" s="100">
        <v>0.3</v>
      </c>
      <c r="K7" s="100"/>
      <c r="L7" s="2">
        <v>2026</v>
      </c>
      <c r="M7" s="101" t="b">
        <f t="shared" si="1"/>
        <v>1</v>
      </c>
      <c r="O7" s="40">
        <f t="shared" ref="O7:O40" si="5">O6+1</f>
        <v>2021</v>
      </c>
      <c r="P7" s="40">
        <f t="shared" ref="P7:P40" si="6">P6+1</f>
        <v>2</v>
      </c>
      <c r="Q7" s="267">
        <f t="shared" si="2"/>
        <v>0</v>
      </c>
      <c r="R7" s="13">
        <f>$Q7/(1+disc1)^($O7-'A - Inputs'!$C$6)</f>
        <v>0</v>
      </c>
      <c r="S7" s="13">
        <f>$Q7/(1+disc2)^($O7-'A - Inputs'!$C$6)</f>
        <v>0</v>
      </c>
      <c r="U7" s="40">
        <f t="shared" ref="U7:U40" si="7">U6+1</f>
        <v>2021</v>
      </c>
      <c r="V7" s="40">
        <f t="shared" ref="V7:V40" si="8">V6+1</f>
        <v>2</v>
      </c>
      <c r="W7" s="268">
        <f t="shared" si="3"/>
        <v>10302</v>
      </c>
      <c r="X7" s="13">
        <f t="shared" si="4"/>
        <v>-10302</v>
      </c>
      <c r="Y7" s="13">
        <f>$X7/(1+disc1)^($U7-'A - Inputs'!$C$6)</f>
        <v>-10001.941747572815</v>
      </c>
      <c r="Z7" s="13">
        <f>$X7/(1+disc2)^($U7-'A - Inputs'!$C$6)</f>
        <v>-9628.0373831775687</v>
      </c>
    </row>
    <row r="8" spans="1:27" x14ac:dyDescent="0.25">
      <c r="B8" t="s">
        <v>62</v>
      </c>
      <c r="D8" s="99">
        <v>22500</v>
      </c>
      <c r="E8" s="99">
        <v>1500</v>
      </c>
      <c r="F8" s="100"/>
      <c r="G8" s="100"/>
      <c r="H8" s="100"/>
      <c r="I8" s="100">
        <v>0.7</v>
      </c>
      <c r="J8" s="100">
        <v>0.3</v>
      </c>
      <c r="K8" s="100"/>
      <c r="L8" s="2">
        <v>2026</v>
      </c>
      <c r="M8" s="101" t="b">
        <f t="shared" si="1"/>
        <v>1</v>
      </c>
      <c r="O8" s="40">
        <f t="shared" si="5"/>
        <v>2022</v>
      </c>
      <c r="P8" s="40">
        <f t="shared" si="6"/>
        <v>3</v>
      </c>
      <c r="Q8" s="267">
        <f t="shared" si="2"/>
        <v>198677.50400000002</v>
      </c>
      <c r="R8" s="13">
        <f>$Q8/(1+disc1)^($O8-'A - Inputs'!$C$6)</f>
        <v>187272.60250730513</v>
      </c>
      <c r="S8" s="13">
        <f>$Q8/(1+disc2)^($O8-'A - Inputs'!$C$6)</f>
        <v>173532.62643025591</v>
      </c>
      <c r="U8" s="40">
        <f t="shared" si="7"/>
        <v>2022</v>
      </c>
      <c r="V8" s="40">
        <f t="shared" si="8"/>
        <v>3</v>
      </c>
      <c r="W8" s="268">
        <f t="shared" si="3"/>
        <v>10302</v>
      </c>
      <c r="X8" s="13">
        <f t="shared" si="4"/>
        <v>-10302</v>
      </c>
      <c r="Y8" s="13">
        <f>$X8/(1+disc1)^($U8-'A - Inputs'!$C$6)</f>
        <v>-9710.6230558959378</v>
      </c>
      <c r="Z8" s="13">
        <f>$X8/(1+disc2)^($U8-'A - Inputs'!$C$6)</f>
        <v>-8998.1657786706255</v>
      </c>
    </row>
    <row r="9" spans="1:27" x14ac:dyDescent="0.25">
      <c r="B9" t="s">
        <v>63</v>
      </c>
      <c r="D9" s="99">
        <v>18742.240000000002</v>
      </c>
      <c r="E9" s="99">
        <v>50</v>
      </c>
      <c r="F9" s="100"/>
      <c r="G9" s="100"/>
      <c r="H9" s="100"/>
      <c r="I9" s="100">
        <v>0.7</v>
      </c>
      <c r="J9" s="100">
        <v>0.3</v>
      </c>
      <c r="K9" s="100"/>
      <c r="L9" s="2">
        <v>2026</v>
      </c>
      <c r="M9" s="101" t="b">
        <f t="shared" si="1"/>
        <v>1</v>
      </c>
      <c r="O9" s="40">
        <f t="shared" si="5"/>
        <v>2023</v>
      </c>
      <c r="P9" s="40">
        <f t="shared" si="6"/>
        <v>4</v>
      </c>
      <c r="Q9" s="267">
        <f t="shared" si="2"/>
        <v>2164438.4840000002</v>
      </c>
      <c r="R9" s="13">
        <f>$Q9/(1+disc1)^($O9-'A - Inputs'!$C$6)</f>
        <v>1980767.8258155973</v>
      </c>
      <c r="S9" s="13">
        <f>$Q9/(1+disc2)^($O9-'A - Inputs'!$C$6)</f>
        <v>1766826.5391500543</v>
      </c>
      <c r="U9" s="40">
        <f t="shared" si="7"/>
        <v>2023</v>
      </c>
      <c r="V9" s="40">
        <f t="shared" si="8"/>
        <v>4</v>
      </c>
      <c r="W9" s="268">
        <f t="shared" si="3"/>
        <v>10302</v>
      </c>
      <c r="X9" s="13">
        <f t="shared" si="4"/>
        <v>-10302</v>
      </c>
      <c r="Y9" s="13">
        <f>$X9/(1+disc1)^($U9-'A - Inputs'!$C$6)</f>
        <v>-9427.7893746562495</v>
      </c>
      <c r="Z9" s="13">
        <f>$X9/(1+disc2)^($U9-'A - Inputs'!$C$6)</f>
        <v>-8409.5007277295572</v>
      </c>
    </row>
    <row r="10" spans="1:27" x14ac:dyDescent="0.25">
      <c r="B10" t="s">
        <v>64</v>
      </c>
      <c r="D10" s="99">
        <v>677518.50375000015</v>
      </c>
      <c r="E10" s="99">
        <v>56265</v>
      </c>
      <c r="F10" s="100"/>
      <c r="G10" s="100"/>
      <c r="H10" s="100"/>
      <c r="I10" s="100">
        <v>0.7</v>
      </c>
      <c r="J10" s="100">
        <v>0.3</v>
      </c>
      <c r="K10" s="100"/>
      <c r="L10" s="2">
        <v>2026</v>
      </c>
      <c r="M10" s="101" t="b">
        <f t="shared" si="1"/>
        <v>1</v>
      </c>
      <c r="O10" s="40">
        <f t="shared" si="5"/>
        <v>2024</v>
      </c>
      <c r="P10" s="40">
        <f t="shared" si="6"/>
        <v>5</v>
      </c>
      <c r="Q10" s="267">
        <f t="shared" si="2"/>
        <v>9766562.919084331</v>
      </c>
      <c r="R10" s="13">
        <f>$Q10/(1+disc1)^($O10-'A - Inputs'!$C$6)</f>
        <v>8677464.6562600713</v>
      </c>
      <c r="S10" s="13">
        <f>$Q10/(1+disc2)^($O10-'A - Inputs'!$C$6)</f>
        <v>7450864.0891303374</v>
      </c>
      <c r="U10" s="40">
        <f t="shared" si="7"/>
        <v>2024</v>
      </c>
      <c r="V10" s="40">
        <f t="shared" si="8"/>
        <v>5</v>
      </c>
      <c r="W10" s="268">
        <f t="shared" si="3"/>
        <v>10302</v>
      </c>
      <c r="X10" s="13">
        <f t="shared" si="4"/>
        <v>-10302</v>
      </c>
      <c r="Y10" s="13">
        <f>$X10/(1+disc1)^($U10-'A - Inputs'!$C$6)</f>
        <v>-9153.1935676274279</v>
      </c>
      <c r="Z10" s="13">
        <f>$X10/(1+disc2)^($U10-'A - Inputs'!$C$6)</f>
        <v>-7859.3464745136052</v>
      </c>
    </row>
    <row r="11" spans="1:27" x14ac:dyDescent="0.25">
      <c r="B11" t="s">
        <v>65</v>
      </c>
      <c r="D11" s="99">
        <v>94875</v>
      </c>
      <c r="E11" s="99">
        <v>75000</v>
      </c>
      <c r="F11" s="100"/>
      <c r="G11" s="100"/>
      <c r="H11" s="100"/>
      <c r="I11" s="100">
        <v>0.3</v>
      </c>
      <c r="J11" s="100">
        <v>0.7</v>
      </c>
      <c r="K11" s="100"/>
      <c r="L11" s="2">
        <v>2026</v>
      </c>
      <c r="M11" s="101" t="b">
        <f t="shared" si="1"/>
        <v>1</v>
      </c>
      <c r="O11" s="40">
        <f t="shared" si="5"/>
        <v>2025</v>
      </c>
      <c r="P11" s="40">
        <f t="shared" si="6"/>
        <v>6</v>
      </c>
      <c r="Q11" s="267">
        <f t="shared" si="2"/>
        <v>4485259.4329156708</v>
      </c>
      <c r="R11" s="13">
        <f>$Q11/(1+disc1)^($O11-'A - Inputs'!$C$6)</f>
        <v>3869024.1870749919</v>
      </c>
      <c r="S11" s="13">
        <f>$Q11/(1+disc2)^($O11-'A - Inputs'!$C$6)</f>
        <v>3197927.9870676291</v>
      </c>
      <c r="U11" s="40">
        <f t="shared" si="7"/>
        <v>2025</v>
      </c>
      <c r="V11" s="40">
        <f t="shared" si="8"/>
        <v>6</v>
      </c>
      <c r="W11" s="268">
        <f t="shared" si="3"/>
        <v>67129.649999999994</v>
      </c>
      <c r="X11" s="13">
        <f t="shared" si="4"/>
        <v>-67129.649999999994</v>
      </c>
      <c r="Y11" s="13">
        <f>$X11/(1+disc1)^($U11-'A - Inputs'!$C$6)</f>
        <v>-57906.625782634394</v>
      </c>
      <c r="Z11" s="13">
        <f>$X11/(1+disc2)^($U11-'A - Inputs'!$C$6)</f>
        <v>-47862.512683575835</v>
      </c>
    </row>
    <row r="12" spans="1:27" x14ac:dyDescent="0.25">
      <c r="B12" t="s">
        <v>66</v>
      </c>
      <c r="D12" s="99">
        <v>200000</v>
      </c>
      <c r="E12" s="99">
        <v>50000</v>
      </c>
      <c r="F12" s="100"/>
      <c r="G12" s="100"/>
      <c r="H12" s="100"/>
      <c r="I12" s="100">
        <v>0.7</v>
      </c>
      <c r="J12" s="100">
        <v>0.3</v>
      </c>
      <c r="K12" s="100"/>
      <c r="L12" s="2">
        <v>2026</v>
      </c>
      <c r="M12" s="101" t="b">
        <f t="shared" si="1"/>
        <v>1</v>
      </c>
      <c r="O12" s="40">
        <f t="shared" si="5"/>
        <v>2026</v>
      </c>
      <c r="P12" s="40">
        <f t="shared" si="6"/>
        <v>7</v>
      </c>
      <c r="Q12" s="267">
        <f t="shared" ref="Q12:Q40" si="9">IFERROR(INDEX($F$46:$K$46,MATCH($O12,$F$5:$K$5,0)),0)</f>
        <v>0</v>
      </c>
      <c r="R12" s="13">
        <f>$Q12/(1+disc1)^($O12-'A - Inputs'!$C$6)</f>
        <v>0</v>
      </c>
      <c r="S12" s="13">
        <f>$Q12/(1+disc2)^($O12-'A - Inputs'!$C$6)</f>
        <v>0</v>
      </c>
      <c r="U12" s="40">
        <f t="shared" si="7"/>
        <v>2026</v>
      </c>
      <c r="V12" s="40">
        <f t="shared" si="8"/>
        <v>7</v>
      </c>
      <c r="W12" s="268">
        <f t="shared" si="3"/>
        <v>359984.2</v>
      </c>
      <c r="X12" s="13">
        <f t="shared" si="4"/>
        <v>-359984.2</v>
      </c>
      <c r="Y12" s="13">
        <f>$X12/(1+disc1)^($U12-'A - Inputs'!$C$6)</f>
        <v>-301481.10015486</v>
      </c>
      <c r="Z12" s="13">
        <f>$X12/(1+disc2)^($U12-'A - Inputs'!$C$6)</f>
        <v>-239872.67236680823</v>
      </c>
    </row>
    <row r="13" spans="1:27" x14ac:dyDescent="0.25">
      <c r="B13" t="s">
        <v>67</v>
      </c>
      <c r="D13" s="99">
        <v>247307.5</v>
      </c>
      <c r="E13" s="99">
        <v>-45215</v>
      </c>
      <c r="F13" s="100"/>
      <c r="G13" s="100"/>
      <c r="H13" s="100"/>
      <c r="I13" s="100">
        <v>0.7</v>
      </c>
      <c r="J13" s="100">
        <v>0.3</v>
      </c>
      <c r="K13" s="100"/>
      <c r="L13" s="2">
        <v>2026</v>
      </c>
      <c r="M13" s="101" t="b">
        <f t="shared" si="1"/>
        <v>1</v>
      </c>
      <c r="O13" s="40">
        <f t="shared" si="5"/>
        <v>2027</v>
      </c>
      <c r="P13" s="40">
        <f t="shared" si="6"/>
        <v>8</v>
      </c>
      <c r="Q13" s="267">
        <f t="shared" si="9"/>
        <v>0</v>
      </c>
      <c r="R13" s="13">
        <f>$Q13/(1+disc1)^($O13-'A - Inputs'!$C$6)</f>
        <v>0</v>
      </c>
      <c r="S13" s="13">
        <f>$Q13/(1+disc2)^($O13-'A - Inputs'!$C$6)</f>
        <v>0</v>
      </c>
      <c r="U13" s="40">
        <f t="shared" si="7"/>
        <v>2027</v>
      </c>
      <c r="V13" s="40">
        <f t="shared" si="8"/>
        <v>8</v>
      </c>
      <c r="W13" s="268">
        <f t="shared" si="3"/>
        <v>359984.2</v>
      </c>
      <c r="X13" s="13">
        <f t="shared" si="4"/>
        <v>-359984.2</v>
      </c>
      <c r="Y13" s="13">
        <f>$X13/(1+disc1)^($U13-'A - Inputs'!$C$6)</f>
        <v>-292700.09723772813</v>
      </c>
      <c r="Z13" s="13">
        <f>$X13/(1+disc2)^($U13-'A - Inputs'!$C$6)</f>
        <v>-224180.06763253102</v>
      </c>
    </row>
    <row r="14" spans="1:27" x14ac:dyDescent="0.25">
      <c r="B14" t="s">
        <v>68</v>
      </c>
      <c r="D14" s="99">
        <v>100000</v>
      </c>
      <c r="E14" s="99">
        <v>15000</v>
      </c>
      <c r="F14" s="100"/>
      <c r="G14" s="100"/>
      <c r="H14" s="100"/>
      <c r="I14" s="100">
        <v>0.3</v>
      </c>
      <c r="J14" s="100">
        <v>0.7</v>
      </c>
      <c r="K14" s="100"/>
      <c r="L14" s="2">
        <v>2026</v>
      </c>
      <c r="M14" s="101" t="b">
        <f t="shared" si="1"/>
        <v>1</v>
      </c>
      <c r="O14" s="40">
        <f t="shared" si="5"/>
        <v>2028</v>
      </c>
      <c r="P14" s="40">
        <f t="shared" si="6"/>
        <v>9</v>
      </c>
      <c r="Q14" s="267">
        <f t="shared" si="9"/>
        <v>0</v>
      </c>
      <c r="R14" s="13">
        <f>$Q14/(1+disc1)^($O14-'A - Inputs'!$C$6)</f>
        <v>0</v>
      </c>
      <c r="S14" s="13">
        <f>$Q14/(1+disc2)^($O14-'A - Inputs'!$C$6)</f>
        <v>0</v>
      </c>
      <c r="U14" s="40">
        <f t="shared" si="7"/>
        <v>2028</v>
      </c>
      <c r="V14" s="40">
        <f t="shared" si="8"/>
        <v>9</v>
      </c>
      <c r="W14" s="268">
        <f t="shared" si="3"/>
        <v>359984.2</v>
      </c>
      <c r="X14" s="13">
        <f t="shared" si="4"/>
        <v>-359984.2</v>
      </c>
      <c r="Y14" s="13">
        <f>$X14/(1+disc1)^($U14-'A - Inputs'!$C$6)</f>
        <v>-284174.85168711474</v>
      </c>
      <c r="Z14" s="13">
        <f>$X14/(1+disc2)^($U14-'A - Inputs'!$C$6)</f>
        <v>-209514.08189956172</v>
      </c>
    </row>
    <row r="15" spans="1:27" x14ac:dyDescent="0.25">
      <c r="B15" t="s">
        <v>69</v>
      </c>
      <c r="D15" s="99">
        <v>765325</v>
      </c>
      <c r="E15" s="99">
        <v>9100</v>
      </c>
      <c r="F15" s="161"/>
      <c r="G15" s="161"/>
      <c r="H15" s="161"/>
      <c r="I15" s="161">
        <v>0.7</v>
      </c>
      <c r="J15" s="161">
        <v>0.3</v>
      </c>
      <c r="K15" s="161"/>
      <c r="L15" s="2">
        <v>2026</v>
      </c>
      <c r="M15" s="166" t="b">
        <f t="shared" si="1"/>
        <v>1</v>
      </c>
      <c r="O15" s="40">
        <f t="shared" si="5"/>
        <v>2029</v>
      </c>
      <c r="P15" s="40">
        <f t="shared" si="6"/>
        <v>10</v>
      </c>
      <c r="Q15" s="267">
        <f t="shared" si="9"/>
        <v>0</v>
      </c>
      <c r="R15" s="13">
        <f>$Q15/(1+disc1)^($O15-'A - Inputs'!$C$6)</f>
        <v>0</v>
      </c>
      <c r="S15" s="13">
        <f>$Q15/(1+disc2)^($O15-'A - Inputs'!$C$6)</f>
        <v>0</v>
      </c>
      <c r="U15" s="40">
        <f t="shared" si="7"/>
        <v>2029</v>
      </c>
      <c r="V15" s="40">
        <f t="shared" si="8"/>
        <v>10</v>
      </c>
      <c r="W15" s="268">
        <f t="shared" si="3"/>
        <v>359984.2</v>
      </c>
      <c r="X15" s="13">
        <f t="shared" si="4"/>
        <v>-359984.2</v>
      </c>
      <c r="Y15" s="13">
        <f>$X15/(1+disc1)^($U15-'A - Inputs'!$C$6)</f>
        <v>-275897.91425933468</v>
      </c>
      <c r="Z15" s="13">
        <f>$X15/(1+disc2)^($U15-'A - Inputs'!$C$6)</f>
        <v>-195807.55317716047</v>
      </c>
    </row>
    <row r="16" spans="1:27" x14ac:dyDescent="0.25">
      <c r="B16" t="s">
        <v>70</v>
      </c>
      <c r="D16" s="99">
        <v>287155</v>
      </c>
      <c r="E16" s="99">
        <v>22700</v>
      </c>
      <c r="F16" s="100"/>
      <c r="G16" s="100"/>
      <c r="H16" s="100"/>
      <c r="I16" s="100">
        <v>0.5</v>
      </c>
      <c r="J16" s="100">
        <v>0.5</v>
      </c>
      <c r="K16" s="100"/>
      <c r="L16" s="2">
        <v>2026</v>
      </c>
      <c r="M16" s="101" t="b">
        <f t="shared" si="1"/>
        <v>1</v>
      </c>
      <c r="O16" s="40">
        <f t="shared" si="5"/>
        <v>2030</v>
      </c>
      <c r="P16" s="40">
        <f t="shared" si="6"/>
        <v>11</v>
      </c>
      <c r="Q16" s="267">
        <f t="shared" si="9"/>
        <v>0</v>
      </c>
      <c r="R16" s="13">
        <f>$Q16/(1+disc1)^($O16-'A - Inputs'!$C$6)</f>
        <v>0</v>
      </c>
      <c r="S16" s="13">
        <f>$Q16/(1+disc2)^($O16-'A - Inputs'!$C$6)</f>
        <v>0</v>
      </c>
      <c r="U16" s="40">
        <f t="shared" si="7"/>
        <v>2030</v>
      </c>
      <c r="V16" s="40">
        <f t="shared" si="8"/>
        <v>11</v>
      </c>
      <c r="W16" s="268">
        <f t="shared" si="3"/>
        <v>359984.2</v>
      </c>
      <c r="X16" s="13">
        <f t="shared" si="4"/>
        <v>-359984.2</v>
      </c>
      <c r="Y16" s="13">
        <f>$X16/(1+disc1)^($U16-'A - Inputs'!$C$6)</f>
        <v>-267862.05267896573</v>
      </c>
      <c r="Z16" s="13">
        <f>$X16/(1+disc2)^($U16-'A - Inputs'!$C$6)</f>
        <v>-182997.71324968268</v>
      </c>
    </row>
    <row r="17" spans="1:26" x14ac:dyDescent="0.25">
      <c r="B17" t="s">
        <v>71</v>
      </c>
      <c r="D17" s="99">
        <v>750437.61979999987</v>
      </c>
      <c r="E17" s="99">
        <v>6024</v>
      </c>
      <c r="F17" s="100"/>
      <c r="G17" s="100"/>
      <c r="H17" s="100"/>
      <c r="I17" s="100">
        <v>0.3</v>
      </c>
      <c r="J17" s="100">
        <v>0.7</v>
      </c>
      <c r="K17" s="100"/>
      <c r="L17" s="2">
        <v>2026</v>
      </c>
      <c r="M17" s="101" t="b">
        <f t="shared" si="1"/>
        <v>1</v>
      </c>
      <c r="O17" s="40">
        <f t="shared" si="5"/>
        <v>2031</v>
      </c>
      <c r="P17" s="40">
        <f t="shared" si="6"/>
        <v>12</v>
      </c>
      <c r="Q17" s="267">
        <f t="shared" si="9"/>
        <v>0</v>
      </c>
      <c r="R17" s="13">
        <f>$Q17/(1+disc1)^($O17-'A - Inputs'!$C$6)</f>
        <v>0</v>
      </c>
      <c r="S17" s="13">
        <f>$Q17/(1+disc2)^($O17-'A - Inputs'!$C$6)</f>
        <v>0</v>
      </c>
      <c r="U17" s="40">
        <f t="shared" si="7"/>
        <v>2031</v>
      </c>
      <c r="V17" s="40">
        <f t="shared" si="8"/>
        <v>12</v>
      </c>
      <c r="W17" s="268">
        <f t="shared" ref="W17" si="10">SUMIFS($E$6:$E$44,$L$6:$L$44,"&lt;="&amp;$U17)</f>
        <v>356420</v>
      </c>
      <c r="X17" s="13">
        <f t="shared" si="4"/>
        <v>-356420</v>
      </c>
      <c r="Y17" s="13">
        <f>$X17/(1+disc1)^($U17-'A - Inputs'!$C$6)</f>
        <v>-257485.39140533085</v>
      </c>
      <c r="Z17" s="13">
        <f>$X17/(1+disc2)^($U17-'A - Inputs'!$C$6)</f>
        <v>-169332.57448846364</v>
      </c>
    </row>
    <row r="18" spans="1:26" x14ac:dyDescent="0.25">
      <c r="B18" t="s">
        <v>72</v>
      </c>
      <c r="D18" s="99">
        <v>440200.31660000002</v>
      </c>
      <c r="E18" s="99">
        <v>1800</v>
      </c>
      <c r="F18" s="100"/>
      <c r="G18" s="100"/>
      <c r="H18" s="100"/>
      <c r="I18" s="100">
        <v>0.5</v>
      </c>
      <c r="J18" s="100">
        <v>0.5</v>
      </c>
      <c r="K18" s="100"/>
      <c r="L18" s="2">
        <v>2026</v>
      </c>
      <c r="M18" s="101" t="b">
        <f t="shared" si="1"/>
        <v>1</v>
      </c>
      <c r="O18" s="40">
        <f t="shared" si="5"/>
        <v>2032</v>
      </c>
      <c r="P18" s="40">
        <f t="shared" si="6"/>
        <v>13</v>
      </c>
      <c r="Q18" s="267">
        <f t="shared" si="9"/>
        <v>0</v>
      </c>
      <c r="R18" s="13">
        <f>$Q18/(1+disc1)^($O18-'A - Inputs'!$C$6)</f>
        <v>0</v>
      </c>
      <c r="S18" s="13">
        <f>$Q18/(1+disc2)^($O18-'A - Inputs'!$C$6)</f>
        <v>0</v>
      </c>
      <c r="U18" s="40">
        <f t="shared" si="7"/>
        <v>2032</v>
      </c>
      <c r="V18" s="40">
        <f t="shared" si="8"/>
        <v>13</v>
      </c>
      <c r="W18" s="268">
        <f>SUMIFS($E$6:$E$44,$L$6:$L$44,"&lt;="&amp;$U18)*1.01</f>
        <v>359984.2</v>
      </c>
      <c r="X18" s="13">
        <f t="shared" si="4"/>
        <v>-359984.2</v>
      </c>
      <c r="Y18" s="13">
        <f>$X18/(1+disc1)^($U18-'A - Inputs'!$C$6)</f>
        <v>-252485.67506736331</v>
      </c>
      <c r="Z18" s="13">
        <f>$X18/(1+disc2)^($U18-'A - Inputs'!$C$6)</f>
        <v>-159837.2899377087</v>
      </c>
    </row>
    <row r="19" spans="1:26" x14ac:dyDescent="0.25">
      <c r="A19" s="63"/>
      <c r="B19" t="s">
        <v>73</v>
      </c>
      <c r="D19" s="99">
        <v>14846.039999999999</v>
      </c>
      <c r="E19" s="99">
        <v>1200</v>
      </c>
      <c r="F19" s="100"/>
      <c r="G19" s="100"/>
      <c r="H19" s="100"/>
      <c r="I19" s="100">
        <v>0.3</v>
      </c>
      <c r="J19" s="100">
        <v>0.7</v>
      </c>
      <c r="K19" s="100"/>
      <c r="L19" s="2">
        <v>2026</v>
      </c>
      <c r="M19" s="101" t="b">
        <f t="shared" si="1"/>
        <v>1</v>
      </c>
      <c r="O19" s="40">
        <f t="shared" si="5"/>
        <v>2033</v>
      </c>
      <c r="P19" s="40">
        <f t="shared" si="6"/>
        <v>14</v>
      </c>
      <c r="Q19" s="267">
        <f t="shared" si="9"/>
        <v>0</v>
      </c>
      <c r="R19" s="13">
        <f>$Q19/(1+disc1)^($O19-'A - Inputs'!$C$6)</f>
        <v>0</v>
      </c>
      <c r="S19" s="13">
        <f>$Q19/(1+disc2)^($O19-'A - Inputs'!$C$6)</f>
        <v>0</v>
      </c>
      <c r="U19" s="40">
        <f t="shared" si="7"/>
        <v>2033</v>
      </c>
      <c r="V19" s="40">
        <f t="shared" si="8"/>
        <v>14</v>
      </c>
      <c r="W19" s="268">
        <f t="shared" ref="W19:W40" si="11">SUMIFS($E$6:$E$44,$L$6:$L$44,"&lt;="&amp;$U19)*1.01</f>
        <v>359984.2</v>
      </c>
      <c r="X19" s="13">
        <f t="shared" si="4"/>
        <v>0</v>
      </c>
      <c r="Y19" s="13">
        <f>$X19/(1+disc1)^($U19-'A - Inputs'!$C$6)</f>
        <v>0</v>
      </c>
      <c r="Z19" s="13">
        <f>$X19/(1+disc2)^($U19-'A - Inputs'!$C$6)</f>
        <v>0</v>
      </c>
    </row>
    <row r="20" spans="1:26" x14ac:dyDescent="0.25">
      <c r="B20" t="s">
        <v>74</v>
      </c>
      <c r="D20" s="99">
        <v>22476.329999999998</v>
      </c>
      <c r="E20" s="99">
        <v>750</v>
      </c>
      <c r="F20" s="100"/>
      <c r="G20" s="100"/>
      <c r="H20" s="100"/>
      <c r="I20" s="100">
        <v>0.5</v>
      </c>
      <c r="J20" s="100">
        <v>0.5</v>
      </c>
      <c r="K20" s="100"/>
      <c r="L20" s="2">
        <v>2026</v>
      </c>
      <c r="M20" s="101" t="b">
        <f t="shared" si="1"/>
        <v>1</v>
      </c>
      <c r="O20" s="40">
        <f t="shared" si="5"/>
        <v>2034</v>
      </c>
      <c r="P20" s="40">
        <f t="shared" si="6"/>
        <v>15</v>
      </c>
      <c r="Q20" s="267">
        <f t="shared" si="9"/>
        <v>0</v>
      </c>
      <c r="R20" s="13">
        <f>$Q20/(1+disc1)^($O20-'A - Inputs'!$C$6)</f>
        <v>0</v>
      </c>
      <c r="S20" s="13">
        <f>$Q20/(1+disc2)^($O20-'A - Inputs'!$C$6)</f>
        <v>0</v>
      </c>
      <c r="U20" s="40">
        <f t="shared" si="7"/>
        <v>2034</v>
      </c>
      <c r="V20" s="40">
        <f t="shared" si="8"/>
        <v>15</v>
      </c>
      <c r="W20" s="268">
        <f t="shared" si="11"/>
        <v>359984.2</v>
      </c>
      <c r="X20" s="13">
        <f t="shared" si="4"/>
        <v>0</v>
      </c>
      <c r="Y20" s="13">
        <f>$X20/(1+disc1)^($U20-'A - Inputs'!$C$6)</f>
        <v>0</v>
      </c>
      <c r="Z20" s="13">
        <f>$X20/(1+disc2)^($U20-'A - Inputs'!$C$6)</f>
        <v>0</v>
      </c>
    </row>
    <row r="21" spans="1:26" x14ac:dyDescent="0.25">
      <c r="B21" t="s">
        <v>75</v>
      </c>
      <c r="D21" s="99">
        <v>100000</v>
      </c>
      <c r="E21" s="99">
        <v>5000</v>
      </c>
      <c r="F21" s="100"/>
      <c r="G21" s="100"/>
      <c r="H21" s="100"/>
      <c r="I21" s="100"/>
      <c r="J21" s="100">
        <v>1</v>
      </c>
      <c r="K21" s="100"/>
      <c r="L21" s="2">
        <v>2026</v>
      </c>
      <c r="M21" s="101" t="b">
        <f t="shared" si="1"/>
        <v>1</v>
      </c>
      <c r="O21" s="40">
        <f t="shared" si="5"/>
        <v>2035</v>
      </c>
      <c r="P21" s="40">
        <f t="shared" si="6"/>
        <v>16</v>
      </c>
      <c r="Q21" s="267">
        <f t="shared" si="9"/>
        <v>0</v>
      </c>
      <c r="R21" s="13">
        <f>$Q21/(1+disc1)^($O21-'A - Inputs'!$C$6)</f>
        <v>0</v>
      </c>
      <c r="S21" s="13">
        <f>$Q21/(1+disc2)^($O21-'A - Inputs'!$C$6)</f>
        <v>0</v>
      </c>
      <c r="U21" s="40">
        <f t="shared" si="7"/>
        <v>2035</v>
      </c>
      <c r="V21" s="40">
        <f t="shared" si="8"/>
        <v>16</v>
      </c>
      <c r="W21" s="268">
        <f t="shared" si="11"/>
        <v>359984.2</v>
      </c>
      <c r="X21" s="13">
        <f t="shared" si="4"/>
        <v>0</v>
      </c>
      <c r="Y21" s="13">
        <f>$X21/(1+disc1)^($U21-'A - Inputs'!$C$6)</f>
        <v>0</v>
      </c>
      <c r="Z21" s="13">
        <f>$X21/(1+disc2)^($U21-'A - Inputs'!$C$6)</f>
        <v>0</v>
      </c>
    </row>
    <row r="22" spans="1:26" x14ac:dyDescent="0.25">
      <c r="B22" t="s">
        <v>76</v>
      </c>
      <c r="D22" s="99">
        <v>15000</v>
      </c>
      <c r="E22" s="99">
        <v>15000</v>
      </c>
      <c r="F22" s="100"/>
      <c r="G22" s="100"/>
      <c r="H22" s="100"/>
      <c r="I22" s="100"/>
      <c r="J22" s="100">
        <v>1</v>
      </c>
      <c r="K22" s="100"/>
      <c r="L22" s="2">
        <v>2026</v>
      </c>
      <c r="M22" s="101" t="b">
        <f t="shared" si="1"/>
        <v>1</v>
      </c>
      <c r="O22" s="40">
        <f t="shared" si="5"/>
        <v>2036</v>
      </c>
      <c r="P22" s="40">
        <f t="shared" si="6"/>
        <v>17</v>
      </c>
      <c r="Q22" s="267">
        <f t="shared" si="9"/>
        <v>0</v>
      </c>
      <c r="R22" s="13">
        <f>$Q22/(1+disc1)^($O22-'A - Inputs'!$C$6)</f>
        <v>0</v>
      </c>
      <c r="S22" s="13">
        <f>$Q22/(1+disc2)^($O22-'A - Inputs'!$C$6)</f>
        <v>0</v>
      </c>
      <c r="U22" s="40">
        <f t="shared" si="7"/>
        <v>2036</v>
      </c>
      <c r="V22" s="40">
        <f t="shared" si="8"/>
        <v>17</v>
      </c>
      <c r="W22" s="268">
        <f t="shared" si="11"/>
        <v>359984.2</v>
      </c>
      <c r="X22" s="13">
        <f t="shared" si="4"/>
        <v>0</v>
      </c>
      <c r="Y22" s="13">
        <f>$X22/(1+disc1)^($U22-'A - Inputs'!$C$6)</f>
        <v>0</v>
      </c>
      <c r="Z22" s="13">
        <f>$X22/(1+disc2)^($U22-'A - Inputs'!$C$6)</f>
        <v>0</v>
      </c>
    </row>
    <row r="23" spans="1:26" x14ac:dyDescent="0.25">
      <c r="B23" s="63" t="s">
        <v>77</v>
      </c>
      <c r="D23" s="99">
        <v>88500.791499999978</v>
      </c>
      <c r="E23" s="99">
        <v>4800</v>
      </c>
      <c r="F23" s="161"/>
      <c r="G23" s="161"/>
      <c r="H23" s="161"/>
      <c r="I23" s="161">
        <v>1</v>
      </c>
      <c r="J23" s="161"/>
      <c r="K23" s="161"/>
      <c r="L23" s="2">
        <v>2026</v>
      </c>
      <c r="M23" s="166" t="b">
        <f t="shared" si="1"/>
        <v>1</v>
      </c>
      <c r="O23" s="40">
        <f t="shared" si="5"/>
        <v>2037</v>
      </c>
      <c r="P23" s="40">
        <f t="shared" si="6"/>
        <v>18</v>
      </c>
      <c r="Q23" s="267">
        <f t="shared" si="9"/>
        <v>0</v>
      </c>
      <c r="R23" s="13">
        <f>$Q23/(1+disc1)^($O23-'A - Inputs'!$C$6)</f>
        <v>0</v>
      </c>
      <c r="S23" s="13">
        <f>$Q23/(1+disc2)^($O23-'A - Inputs'!$C$6)</f>
        <v>0</v>
      </c>
      <c r="U23" s="40">
        <f t="shared" si="7"/>
        <v>2037</v>
      </c>
      <c r="V23" s="40">
        <f t="shared" si="8"/>
        <v>18</v>
      </c>
      <c r="W23" s="268">
        <f t="shared" si="11"/>
        <v>359984.2</v>
      </c>
      <c r="X23" s="13">
        <f t="shared" si="4"/>
        <v>0</v>
      </c>
      <c r="Y23" s="13">
        <f>$X23/(1+disc1)^($U23-'A - Inputs'!$C$6)</f>
        <v>0</v>
      </c>
      <c r="Z23" s="13">
        <f>$X23/(1+disc2)^($U23-'A - Inputs'!$C$6)</f>
        <v>0</v>
      </c>
    </row>
    <row r="24" spans="1:26" x14ac:dyDescent="0.25">
      <c r="B24" s="63" t="s">
        <v>78</v>
      </c>
      <c r="D24" s="99">
        <v>100000</v>
      </c>
      <c r="E24" s="99">
        <v>10000</v>
      </c>
      <c r="F24" s="100"/>
      <c r="G24" s="100"/>
      <c r="H24" s="100"/>
      <c r="I24" s="100"/>
      <c r="J24" s="100">
        <v>1</v>
      </c>
      <c r="K24" s="100"/>
      <c r="L24" s="2">
        <v>2026</v>
      </c>
      <c r="M24" s="101" t="b">
        <f t="shared" si="1"/>
        <v>1</v>
      </c>
      <c r="O24" s="40">
        <f t="shared" si="5"/>
        <v>2038</v>
      </c>
      <c r="P24" s="40">
        <f t="shared" si="6"/>
        <v>19</v>
      </c>
      <c r="Q24" s="267">
        <f t="shared" si="9"/>
        <v>0</v>
      </c>
      <c r="R24" s="13">
        <f>$Q24/(1+disc1)^($O24-'A - Inputs'!$C$6)</f>
        <v>0</v>
      </c>
      <c r="S24" s="13">
        <f>$Q24/(1+disc2)^($O24-'A - Inputs'!$C$6)</f>
        <v>0</v>
      </c>
      <c r="U24" s="40">
        <f t="shared" si="7"/>
        <v>2038</v>
      </c>
      <c r="V24" s="40">
        <f t="shared" si="8"/>
        <v>19</v>
      </c>
      <c r="W24" s="268">
        <f t="shared" si="11"/>
        <v>359984.2</v>
      </c>
      <c r="X24" s="13">
        <f t="shared" si="4"/>
        <v>0</v>
      </c>
      <c r="Y24" s="13">
        <f>$X24/(1+disc1)^($U24-'A - Inputs'!$C$6)</f>
        <v>0</v>
      </c>
      <c r="Z24" s="13">
        <f>$X24/(1+disc2)^($U24-'A - Inputs'!$C$6)</f>
        <v>0</v>
      </c>
    </row>
    <row r="25" spans="1:26" x14ac:dyDescent="0.25">
      <c r="A25" s="63"/>
      <c r="B25" t="s">
        <v>79</v>
      </c>
      <c r="D25" s="99">
        <v>150000</v>
      </c>
      <c r="E25" s="99">
        <v>15000</v>
      </c>
      <c r="F25" s="100"/>
      <c r="G25" s="100"/>
      <c r="H25" s="100"/>
      <c r="I25" s="100">
        <v>0.3</v>
      </c>
      <c r="J25" s="100">
        <v>0.7</v>
      </c>
      <c r="K25" s="100"/>
      <c r="L25" s="2">
        <v>2026</v>
      </c>
      <c r="M25" s="101" t="b">
        <f t="shared" si="1"/>
        <v>1</v>
      </c>
      <c r="O25" s="40">
        <f t="shared" si="5"/>
        <v>2039</v>
      </c>
      <c r="P25" s="40">
        <f t="shared" si="6"/>
        <v>20</v>
      </c>
      <c r="Q25" s="267">
        <f t="shared" si="9"/>
        <v>0</v>
      </c>
      <c r="R25" s="13">
        <f>$Q25/(1+disc1)^($O25-'A - Inputs'!$C$6)</f>
        <v>0</v>
      </c>
      <c r="S25" s="13">
        <f>$Q25/(1+disc2)^($O25-'A - Inputs'!$C$6)</f>
        <v>0</v>
      </c>
      <c r="U25" s="40">
        <f t="shared" si="7"/>
        <v>2039</v>
      </c>
      <c r="V25" s="40">
        <f t="shared" si="8"/>
        <v>20</v>
      </c>
      <c r="W25" s="268">
        <f t="shared" si="11"/>
        <v>359984.2</v>
      </c>
      <c r="X25" s="13">
        <f t="shared" si="4"/>
        <v>0</v>
      </c>
      <c r="Y25" s="13">
        <f>$X25/(1+disc1)^($U25-'A - Inputs'!$C$6)</f>
        <v>0</v>
      </c>
      <c r="Z25" s="13">
        <f>$X25/(1+disc2)^($U25-'A - Inputs'!$C$6)</f>
        <v>0</v>
      </c>
    </row>
    <row r="26" spans="1:26" x14ac:dyDescent="0.25">
      <c r="B26" t="s">
        <v>80</v>
      </c>
      <c r="D26" s="99">
        <v>112699.99999999999</v>
      </c>
      <c r="E26" s="99">
        <v>1173</v>
      </c>
      <c r="F26" s="100"/>
      <c r="G26" s="100"/>
      <c r="H26" s="100"/>
      <c r="I26" s="100">
        <v>1</v>
      </c>
      <c r="J26" s="100"/>
      <c r="K26" s="100"/>
      <c r="L26" s="2">
        <v>2026</v>
      </c>
      <c r="M26" s="101" t="b">
        <f t="shared" si="1"/>
        <v>1</v>
      </c>
      <c r="O26" s="40">
        <f t="shared" si="5"/>
        <v>2040</v>
      </c>
      <c r="P26" s="40">
        <f t="shared" si="6"/>
        <v>21</v>
      </c>
      <c r="Q26" s="267">
        <f t="shared" si="9"/>
        <v>0</v>
      </c>
      <c r="R26" s="13">
        <f>$Q26/(1+disc1)^($O26-'A - Inputs'!$C$6)</f>
        <v>0</v>
      </c>
      <c r="S26" s="13">
        <f>$Q26/(1+disc2)^($O26-'A - Inputs'!$C$6)</f>
        <v>0</v>
      </c>
      <c r="U26" s="40">
        <f t="shared" si="7"/>
        <v>2040</v>
      </c>
      <c r="V26" s="40">
        <f t="shared" si="8"/>
        <v>21</v>
      </c>
      <c r="W26" s="268">
        <f t="shared" si="11"/>
        <v>359984.2</v>
      </c>
      <c r="X26" s="13">
        <f t="shared" si="4"/>
        <v>0</v>
      </c>
      <c r="Y26" s="13">
        <f>$X26/(1+disc1)^($U26-'A - Inputs'!$C$6)</f>
        <v>0</v>
      </c>
      <c r="Z26" s="13">
        <f>$X26/(1+disc2)^($U26-'A - Inputs'!$C$6)</f>
        <v>0</v>
      </c>
    </row>
    <row r="27" spans="1:26" ht="15.75" thickBot="1" x14ac:dyDescent="0.3">
      <c r="B27" t="s">
        <v>81</v>
      </c>
      <c r="D27" s="99">
        <v>150000</v>
      </c>
      <c r="E27" s="99">
        <v>5000</v>
      </c>
      <c r="F27" s="167"/>
      <c r="G27" s="167"/>
      <c r="H27" s="167"/>
      <c r="I27" s="167"/>
      <c r="J27" s="167">
        <v>1</v>
      </c>
      <c r="K27" s="167"/>
      <c r="L27" s="2">
        <v>2026</v>
      </c>
      <c r="M27" s="168" t="b">
        <f t="shared" si="1"/>
        <v>1</v>
      </c>
      <c r="O27" s="40">
        <f t="shared" si="5"/>
        <v>2041</v>
      </c>
      <c r="P27" s="40">
        <f t="shared" si="6"/>
        <v>22</v>
      </c>
      <c r="Q27" s="267">
        <f t="shared" si="9"/>
        <v>0</v>
      </c>
      <c r="R27" s="13">
        <f>$Q27/(1+disc1)^($O27-'A - Inputs'!$C$6)</f>
        <v>0</v>
      </c>
      <c r="S27" s="13">
        <f>$Q27/(1+disc2)^($O27-'A - Inputs'!$C$6)</f>
        <v>0</v>
      </c>
      <c r="U27" s="40">
        <f t="shared" si="7"/>
        <v>2041</v>
      </c>
      <c r="V27" s="40">
        <f t="shared" si="8"/>
        <v>22</v>
      </c>
      <c r="W27" s="268">
        <f t="shared" si="11"/>
        <v>359984.2</v>
      </c>
      <c r="X27" s="13">
        <f t="shared" si="4"/>
        <v>0</v>
      </c>
      <c r="Y27" s="13">
        <f>$X27/(1+disc1)^($U27-'A - Inputs'!$C$6)</f>
        <v>0</v>
      </c>
      <c r="Z27" s="13">
        <f>$X27/(1+disc2)^($U27-'A - Inputs'!$C$6)</f>
        <v>0</v>
      </c>
    </row>
    <row r="28" spans="1:26" ht="15.75" thickBot="1" x14ac:dyDescent="0.3">
      <c r="B28" s="95" t="s">
        <v>82</v>
      </c>
      <c r="C28" s="102"/>
      <c r="D28" s="264">
        <f>SUM(D6:D27)</f>
        <v>8561803.429399997</v>
      </c>
      <c r="E28" s="264">
        <f>SUM(E6:E27)</f>
        <v>274955</v>
      </c>
      <c r="F28" s="104">
        <f t="shared" ref="F28:K28" si="12">SUMPRODUCT($D6:$D27,F6:F27)</f>
        <v>0</v>
      </c>
      <c r="G28" s="104">
        <f t="shared" si="12"/>
        <v>0</v>
      </c>
      <c r="H28" s="104">
        <f t="shared" si="12"/>
        <v>0</v>
      </c>
      <c r="I28" s="104">
        <f t="shared" si="12"/>
        <v>5204092.8447899986</v>
      </c>
      <c r="J28" s="104">
        <f t="shared" si="12"/>
        <v>3357710.5846099993</v>
      </c>
      <c r="K28" s="104">
        <f t="shared" si="12"/>
        <v>0</v>
      </c>
      <c r="L28" s="103"/>
      <c r="M28" s="110" t="b">
        <f>SUM(F28:K28)=D28</f>
        <v>1</v>
      </c>
      <c r="O28" s="40">
        <f t="shared" si="5"/>
        <v>2042</v>
      </c>
      <c r="P28" s="40">
        <f t="shared" si="6"/>
        <v>23</v>
      </c>
      <c r="Q28" s="267">
        <f t="shared" si="9"/>
        <v>0</v>
      </c>
      <c r="R28" s="13">
        <f>$Q28/(1+disc1)^($O28-'A - Inputs'!$C$6)</f>
        <v>0</v>
      </c>
      <c r="S28" s="13">
        <f>$Q28/(1+disc2)^($O28-'A - Inputs'!$C$6)</f>
        <v>0</v>
      </c>
      <c r="U28" s="40">
        <f t="shared" si="7"/>
        <v>2042</v>
      </c>
      <c r="V28" s="40">
        <f t="shared" si="8"/>
        <v>23</v>
      </c>
      <c r="W28" s="268">
        <f t="shared" si="11"/>
        <v>359984.2</v>
      </c>
      <c r="X28" s="13">
        <f t="shared" si="4"/>
        <v>0</v>
      </c>
      <c r="Y28" s="13">
        <f>$X28/(1+disc1)^($U28-'A - Inputs'!$C$6)</f>
        <v>0</v>
      </c>
      <c r="Z28" s="13">
        <f>$X28/(1+disc2)^($U28-'A - Inputs'!$C$6)</f>
        <v>0</v>
      </c>
    </row>
    <row r="29" spans="1:26" x14ac:dyDescent="0.25">
      <c r="B29" s="63" t="s">
        <v>83</v>
      </c>
      <c r="C29" s="61">
        <v>0.1</v>
      </c>
      <c r="D29" s="1">
        <f>$C29*D$28</f>
        <v>856180.34293999977</v>
      </c>
      <c r="E29" s="1"/>
      <c r="F29" s="244">
        <f>F$28/$D$28</f>
        <v>0</v>
      </c>
      <c r="G29" s="244">
        <f t="shared" ref="G29:H29" si="13">G28/$D28</f>
        <v>0</v>
      </c>
      <c r="H29" s="244">
        <f t="shared" si="13"/>
        <v>0</v>
      </c>
      <c r="I29" s="244">
        <f>I28/$D28</f>
        <v>0.6078267140448349</v>
      </c>
      <c r="J29" s="244">
        <f t="shared" ref="J29" si="14">J28/$D28</f>
        <v>0.39217328595516521</v>
      </c>
      <c r="K29" s="1">
        <f t="shared" ref="K29" si="15">$D29*(K28/$D28)</f>
        <v>0</v>
      </c>
      <c r="L29" s="2"/>
      <c r="M29" s="101" t="b">
        <f>SUM(F29:K29)=1</f>
        <v>1</v>
      </c>
      <c r="O29" s="40">
        <f t="shared" si="5"/>
        <v>2043</v>
      </c>
      <c r="P29" s="40">
        <f t="shared" si="6"/>
        <v>24</v>
      </c>
      <c r="Q29" s="267">
        <f t="shared" si="9"/>
        <v>0</v>
      </c>
      <c r="R29" s="13">
        <f>$Q29/(1+disc1)^($O29-'A - Inputs'!$C$6)</f>
        <v>0</v>
      </c>
      <c r="S29" s="13">
        <f>$Q29/(1+disc2)^($O29-'A - Inputs'!$C$6)</f>
        <v>0</v>
      </c>
      <c r="U29" s="40">
        <f t="shared" si="7"/>
        <v>2043</v>
      </c>
      <c r="V29" s="40">
        <f t="shared" si="8"/>
        <v>24</v>
      </c>
      <c r="W29" s="268">
        <f t="shared" si="11"/>
        <v>359984.2</v>
      </c>
      <c r="X29" s="13">
        <f t="shared" si="4"/>
        <v>0</v>
      </c>
      <c r="Y29" s="13">
        <f>$X29/(1+disc1)^($U29-'A - Inputs'!$C$6)</f>
        <v>0</v>
      </c>
      <c r="Z29" s="13">
        <f>$X29/(1+disc2)^($U29-'A - Inputs'!$C$6)</f>
        <v>0</v>
      </c>
    </row>
    <row r="30" spans="1:26" x14ac:dyDescent="0.25">
      <c r="B30" s="9" t="s">
        <v>84</v>
      </c>
      <c r="C30" s="242"/>
      <c r="D30" s="99">
        <v>1632409.227660004</v>
      </c>
      <c r="E30" s="1"/>
      <c r="F30" s="1"/>
      <c r="G30" s="1"/>
      <c r="H30" s="243"/>
      <c r="I30" s="243">
        <f t="shared" ref="I30" si="16">$D30*(I29/$D29)</f>
        <v>1.158893619792648</v>
      </c>
      <c r="J30" s="243">
        <f>1-I30</f>
        <v>-0.15889361979264804</v>
      </c>
      <c r="K30" s="1"/>
      <c r="M30" s="101" t="b">
        <f>SUM(F30:K30)=1</f>
        <v>1</v>
      </c>
      <c r="O30" s="40">
        <f t="shared" si="5"/>
        <v>2044</v>
      </c>
      <c r="P30" s="40">
        <f t="shared" si="6"/>
        <v>25</v>
      </c>
      <c r="Q30" s="267">
        <f t="shared" si="9"/>
        <v>0</v>
      </c>
      <c r="R30" s="13">
        <f>$Q30/(1+disc1)^($O30-'A - Inputs'!$C$6)</f>
        <v>0</v>
      </c>
      <c r="S30" s="13">
        <f>$Q30/(1+disc2)^($O30-'A - Inputs'!$C$6)</f>
        <v>0</v>
      </c>
      <c r="U30" s="40">
        <f t="shared" si="7"/>
        <v>2044</v>
      </c>
      <c r="V30" s="40">
        <f t="shared" si="8"/>
        <v>25</v>
      </c>
      <c r="W30" s="268">
        <f t="shared" si="11"/>
        <v>359984.2</v>
      </c>
      <c r="X30" s="13">
        <f t="shared" si="4"/>
        <v>0</v>
      </c>
      <c r="Y30" s="13">
        <f>$X30/(1+disc1)^($U30-'A - Inputs'!$C$6)</f>
        <v>0</v>
      </c>
      <c r="Z30" s="13">
        <f>$X30/(1+disc2)^($U30-'A - Inputs'!$C$6)</f>
        <v>0</v>
      </c>
    </row>
    <row r="31" spans="1:26" ht="15.75" x14ac:dyDescent="0.25">
      <c r="B31" s="263" t="s">
        <v>82</v>
      </c>
      <c r="C31" s="96"/>
      <c r="D31" s="265">
        <f>D28+D29+D30</f>
        <v>11050393</v>
      </c>
      <c r="E31" s="265">
        <f>E28+E29+E30</f>
        <v>274955</v>
      </c>
      <c r="F31" s="1">
        <f>SUMPRODUCT($D29:$D30,F29:F30)+F28</f>
        <v>0</v>
      </c>
      <c r="G31" s="1">
        <f t="shared" ref="G31:K31" si="17">SUMPRODUCT($D29:$D30,G29:G30)+G28</f>
        <v>0</v>
      </c>
      <c r="H31" s="1">
        <f t="shared" si="17"/>
        <v>0</v>
      </c>
      <c r="I31" s="1">
        <f t="shared" si="17"/>
        <v>7616290.7680948218</v>
      </c>
      <c r="J31" s="1">
        <f t="shared" si="17"/>
        <v>3434102.2319051805</v>
      </c>
      <c r="K31" s="1">
        <f t="shared" si="17"/>
        <v>0</v>
      </c>
      <c r="M31" s="111" t="b">
        <f>SUM(F31:K31)=D31</f>
        <v>1</v>
      </c>
      <c r="O31" s="40">
        <f t="shared" si="5"/>
        <v>2045</v>
      </c>
      <c r="P31" s="40">
        <f t="shared" si="6"/>
        <v>26</v>
      </c>
      <c r="Q31" s="267">
        <f t="shared" si="9"/>
        <v>0</v>
      </c>
      <c r="R31" s="13">
        <f>$Q31/(1+disc1)^($O31-'A - Inputs'!$C$6)</f>
        <v>0</v>
      </c>
      <c r="S31" s="13">
        <f>$Q31/(1+disc2)^($O31-'A - Inputs'!$C$6)</f>
        <v>0</v>
      </c>
      <c r="U31" s="40">
        <f t="shared" si="7"/>
        <v>2045</v>
      </c>
      <c r="V31" s="40">
        <f t="shared" si="8"/>
        <v>26</v>
      </c>
      <c r="W31" s="268">
        <f t="shared" si="11"/>
        <v>359984.2</v>
      </c>
      <c r="X31" s="13">
        <f t="shared" si="4"/>
        <v>0</v>
      </c>
      <c r="Y31" s="13">
        <f>$X31/(1+disc1)^($U31-'A - Inputs'!$C$6)</f>
        <v>0</v>
      </c>
      <c r="Z31" s="13">
        <f>$X31/(1+disc2)^($U31-'A - Inputs'!$C$6)</f>
        <v>0</v>
      </c>
    </row>
    <row r="32" spans="1:26" x14ac:dyDescent="0.25">
      <c r="B32" s="63" t="s">
        <v>85</v>
      </c>
      <c r="C32" s="61"/>
      <c r="D32" s="99">
        <v>305482</v>
      </c>
      <c r="E32" s="99"/>
      <c r="F32" s="167"/>
      <c r="G32" s="167"/>
      <c r="H32" s="243">
        <v>1</v>
      </c>
      <c r="I32" s="243"/>
      <c r="J32" s="243"/>
      <c r="K32" s="167"/>
      <c r="L32" s="2"/>
      <c r="M32" s="101" t="b">
        <f>SUM(F32:K32)=1</f>
        <v>1</v>
      </c>
      <c r="O32" s="40">
        <f t="shared" si="5"/>
        <v>2046</v>
      </c>
      <c r="P32" s="40">
        <f t="shared" si="6"/>
        <v>27</v>
      </c>
      <c r="Q32" s="267">
        <f t="shared" si="9"/>
        <v>0</v>
      </c>
      <c r="R32" s="13">
        <f>$Q32/(1+disc1)^($O32-'A - Inputs'!$C$6)</f>
        <v>0</v>
      </c>
      <c r="S32" s="13">
        <f>$Q32/(1+disc2)^($O32-'A - Inputs'!$C$6)</f>
        <v>0</v>
      </c>
      <c r="U32" s="40">
        <f t="shared" si="7"/>
        <v>2046</v>
      </c>
      <c r="V32" s="40">
        <f t="shared" si="8"/>
        <v>27</v>
      </c>
      <c r="W32" s="268">
        <f t="shared" si="11"/>
        <v>359984.2</v>
      </c>
      <c r="X32" s="13">
        <f t="shared" si="4"/>
        <v>0</v>
      </c>
      <c r="Y32" s="13">
        <f>$X32/(1+disc1)^($U32-'A - Inputs'!$C$6)</f>
        <v>0</v>
      </c>
      <c r="Z32" s="13">
        <f>$X32/(1+disc2)^($U32-'A - Inputs'!$C$6)</f>
        <v>0</v>
      </c>
    </row>
    <row r="33" spans="2:26" x14ac:dyDescent="0.25">
      <c r="B33" s="63" t="s">
        <v>86</v>
      </c>
      <c r="C33" s="61"/>
      <c r="D33" s="99">
        <v>1682188</v>
      </c>
      <c r="E33" s="99"/>
      <c r="F33" s="167"/>
      <c r="G33" s="167"/>
      <c r="H33" s="243">
        <v>0.8</v>
      </c>
      <c r="I33" s="243">
        <v>0.18</v>
      </c>
      <c r="J33" s="243">
        <f>1-SUM(H33:I33)</f>
        <v>2.0000000000000018E-2</v>
      </c>
      <c r="K33" s="167"/>
      <c r="L33" s="2"/>
      <c r="M33" s="101" t="b">
        <f>SUM(F33:K33)=1</f>
        <v>1</v>
      </c>
      <c r="O33" s="40">
        <f t="shared" si="5"/>
        <v>2047</v>
      </c>
      <c r="P33" s="40">
        <f t="shared" si="6"/>
        <v>28</v>
      </c>
      <c r="Q33" s="267">
        <f t="shared" si="9"/>
        <v>0</v>
      </c>
      <c r="R33" s="13">
        <f>$Q33/(1+disc1)^($O33-'A - Inputs'!$C$6)</f>
        <v>0</v>
      </c>
      <c r="S33" s="13">
        <f>$Q33/(1+disc2)^($O33-'A - Inputs'!$C$6)</f>
        <v>0</v>
      </c>
      <c r="U33" s="40">
        <f t="shared" si="7"/>
        <v>2047</v>
      </c>
      <c r="V33" s="40">
        <f t="shared" si="8"/>
        <v>28</v>
      </c>
      <c r="W33" s="268">
        <f t="shared" si="11"/>
        <v>359984.2</v>
      </c>
      <c r="X33" s="13">
        <f t="shared" si="4"/>
        <v>0</v>
      </c>
      <c r="Y33" s="13">
        <f>$X33/(1+disc1)^($U33-'A - Inputs'!$C$6)</f>
        <v>0</v>
      </c>
      <c r="Z33" s="13">
        <f>$X33/(1+disc2)^($U33-'A - Inputs'!$C$6)</f>
        <v>0</v>
      </c>
    </row>
    <row r="34" spans="2:26" x14ac:dyDescent="0.25">
      <c r="B34" s="63" t="s">
        <v>87</v>
      </c>
      <c r="C34" s="61"/>
      <c r="D34" s="99">
        <v>2353819</v>
      </c>
      <c r="E34" s="99"/>
      <c r="F34" s="244">
        <f>F$28/$D$28</f>
        <v>0</v>
      </c>
      <c r="G34" s="244">
        <f t="shared" ref="G34:J34" si="18">G$28/$D$28</f>
        <v>0</v>
      </c>
      <c r="H34" s="244">
        <f t="shared" si="18"/>
        <v>0</v>
      </c>
      <c r="I34" s="244">
        <f t="shared" si="18"/>
        <v>0.6078267140448349</v>
      </c>
      <c r="J34" s="244">
        <f t="shared" si="18"/>
        <v>0.39217328595516521</v>
      </c>
      <c r="K34" s="167"/>
      <c r="L34" s="2"/>
      <c r="M34" s="101" t="b">
        <f>SUM(F34:K34)=1</f>
        <v>1</v>
      </c>
      <c r="O34" s="40">
        <f t="shared" si="5"/>
        <v>2048</v>
      </c>
      <c r="P34" s="40">
        <f t="shared" si="6"/>
        <v>29</v>
      </c>
      <c r="Q34" s="267">
        <f t="shared" si="9"/>
        <v>0</v>
      </c>
      <c r="R34" s="13">
        <f>$Q34/(1+disc1)^($O34-'A - Inputs'!$C$6)</f>
        <v>0</v>
      </c>
      <c r="S34" s="13">
        <f>$Q34/(1+disc2)^($O34-'A - Inputs'!$C$6)</f>
        <v>0</v>
      </c>
      <c r="U34" s="40">
        <f t="shared" si="7"/>
        <v>2048</v>
      </c>
      <c r="V34" s="40">
        <f t="shared" si="8"/>
        <v>29</v>
      </c>
      <c r="W34" s="268">
        <f t="shared" si="11"/>
        <v>359984.2</v>
      </c>
      <c r="X34" s="13">
        <f t="shared" si="4"/>
        <v>0</v>
      </c>
      <c r="Y34" s="13">
        <f>$X34/(1+disc1)^($U34-'A - Inputs'!$C$6)</f>
        <v>0</v>
      </c>
      <c r="Z34" s="13">
        <f>$X34/(1+disc2)^($U34-'A - Inputs'!$C$6)</f>
        <v>0</v>
      </c>
    </row>
    <row r="35" spans="2:26" ht="15.75" thickBot="1" x14ac:dyDescent="0.3">
      <c r="B35" s="9" t="s">
        <v>88</v>
      </c>
      <c r="D35" s="242">
        <f>SUM(D32:D34)</f>
        <v>4341489</v>
      </c>
      <c r="F35" s="1">
        <f>SUMPRODUCT($D32:$D34,F32:F34)</f>
        <v>0</v>
      </c>
      <c r="G35" s="1">
        <f t="shared" ref="G35:K35" si="19">SUMPRODUCT($D32:$D34,G32:G34)</f>
        <v>0</v>
      </c>
      <c r="H35" s="1">
        <f t="shared" si="19"/>
        <v>1651232.4000000001</v>
      </c>
      <c r="I35" s="1">
        <f t="shared" si="19"/>
        <v>1733507.9082262991</v>
      </c>
      <c r="J35" s="1">
        <f t="shared" si="19"/>
        <v>956748.69177370099</v>
      </c>
      <c r="K35" s="1">
        <f t="shared" si="19"/>
        <v>0</v>
      </c>
      <c r="M35" s="107" t="b">
        <f>SUM(F35:K35)=D35</f>
        <v>1</v>
      </c>
      <c r="O35" s="40">
        <f t="shared" si="5"/>
        <v>2049</v>
      </c>
      <c r="P35" s="40">
        <f t="shared" si="6"/>
        <v>30</v>
      </c>
      <c r="Q35" s="267">
        <f t="shared" si="9"/>
        <v>0</v>
      </c>
      <c r="R35" s="13">
        <f>$Q35/(1+disc1)^($O35-'A - Inputs'!$C$6)</f>
        <v>0</v>
      </c>
      <c r="S35" s="13">
        <f>$Q35/(1+disc2)^($O35-'A - Inputs'!$C$6)</f>
        <v>0</v>
      </c>
      <c r="U35" s="40">
        <f t="shared" si="7"/>
        <v>2049</v>
      </c>
      <c r="V35" s="40">
        <f t="shared" si="8"/>
        <v>30</v>
      </c>
      <c r="W35" s="268">
        <f t="shared" si="11"/>
        <v>359984.2</v>
      </c>
      <c r="X35" s="13">
        <f t="shared" si="4"/>
        <v>0</v>
      </c>
      <c r="Y35" s="13">
        <f>$X35/(1+disc1)^($U35-'A - Inputs'!$C$6)</f>
        <v>0</v>
      </c>
      <c r="Z35" s="13">
        <f>$X35/(1+disc2)^($U35-'A - Inputs'!$C$6)</f>
        <v>0</v>
      </c>
    </row>
    <row r="36" spans="2:26" ht="15.75" thickBot="1" x14ac:dyDescent="0.3">
      <c r="B36" s="95" t="s">
        <v>89</v>
      </c>
      <c r="C36" s="102"/>
      <c r="D36" s="261">
        <f>(D35+D31)*1.01</f>
        <v>15545800.82</v>
      </c>
      <c r="E36" s="261">
        <f>(E35+E31)*1.01</f>
        <v>277704.55</v>
      </c>
      <c r="F36" s="98">
        <f>F35+F31</f>
        <v>0</v>
      </c>
      <c r="G36" s="98">
        <f t="shared" ref="G36:K36" si="20">G35+G31</f>
        <v>0</v>
      </c>
      <c r="H36" s="98">
        <f t="shared" si="20"/>
        <v>1651232.4000000001</v>
      </c>
      <c r="I36" s="98">
        <f t="shared" si="20"/>
        <v>9349798.6763211209</v>
      </c>
      <c r="J36" s="98">
        <f t="shared" si="20"/>
        <v>4390850.9236788815</v>
      </c>
      <c r="K36" s="98">
        <f t="shared" si="20"/>
        <v>0</v>
      </c>
      <c r="L36" s="112"/>
      <c r="M36" s="110" t="b">
        <f>SUM(F36:K36)=D36</f>
        <v>0</v>
      </c>
      <c r="O36" s="40">
        <f t="shared" si="5"/>
        <v>2050</v>
      </c>
      <c r="P36" s="40">
        <f t="shared" si="6"/>
        <v>31</v>
      </c>
      <c r="Q36" s="267">
        <f t="shared" si="9"/>
        <v>0</v>
      </c>
      <c r="R36" s="13">
        <f>$Q36/(1+disc1)^($O36-'A - Inputs'!$C$6)</f>
        <v>0</v>
      </c>
      <c r="S36" s="13">
        <f>$Q36/(1+disc2)^($O36-'A - Inputs'!$C$6)</f>
        <v>0</v>
      </c>
      <c r="U36" s="40">
        <f t="shared" si="7"/>
        <v>2050</v>
      </c>
      <c r="V36" s="40">
        <f t="shared" si="8"/>
        <v>31</v>
      </c>
      <c r="W36" s="268">
        <f t="shared" si="11"/>
        <v>359984.2</v>
      </c>
      <c r="X36" s="13">
        <f t="shared" si="4"/>
        <v>0</v>
      </c>
      <c r="Y36" s="13">
        <f>$X36/(1+disc1)^($U36-'A - Inputs'!$C$6)</f>
        <v>0</v>
      </c>
      <c r="Z36" s="13">
        <f>$X36/(1+disc2)^($U36-'A - Inputs'!$C$6)</f>
        <v>0</v>
      </c>
    </row>
    <row r="37" spans="2:26" x14ac:dyDescent="0.25">
      <c r="B37" s="96" t="s">
        <v>90</v>
      </c>
      <c r="M37" s="101"/>
      <c r="O37" s="40">
        <f t="shared" si="5"/>
        <v>2051</v>
      </c>
      <c r="P37" s="40">
        <f t="shared" si="6"/>
        <v>32</v>
      </c>
      <c r="Q37" s="267">
        <f t="shared" si="9"/>
        <v>0</v>
      </c>
      <c r="R37" s="13">
        <f>$Q37/(1+disc1)^($O37-'A - Inputs'!$C$6)</f>
        <v>0</v>
      </c>
      <c r="S37" s="13">
        <f>$Q37/(1+disc2)^($O37-'A - Inputs'!$C$6)</f>
        <v>0</v>
      </c>
      <c r="U37" s="40">
        <f t="shared" si="7"/>
        <v>2051</v>
      </c>
      <c r="V37" s="40">
        <f t="shared" si="8"/>
        <v>32</v>
      </c>
      <c r="W37" s="268">
        <f t="shared" si="11"/>
        <v>359984.2</v>
      </c>
      <c r="X37" s="13">
        <f t="shared" si="4"/>
        <v>0</v>
      </c>
      <c r="Y37" s="13">
        <f>$X37/(1+disc1)^($U37-'A - Inputs'!$C$6)</f>
        <v>0</v>
      </c>
      <c r="Z37" s="13">
        <f>$X37/(1+disc2)^($U37-'A - Inputs'!$C$6)</f>
        <v>0</v>
      </c>
    </row>
    <row r="38" spans="2:26" x14ac:dyDescent="0.25">
      <c r="B38" s="97" t="s">
        <v>91</v>
      </c>
      <c r="C38" s="1"/>
      <c r="D38" s="99">
        <v>25000</v>
      </c>
      <c r="E38" s="245">
        <v>15000</v>
      </c>
      <c r="F38" s="243"/>
      <c r="G38"/>
      <c r="H38"/>
      <c r="I38"/>
      <c r="J38" s="243">
        <v>1</v>
      </c>
      <c r="K38" s="246"/>
      <c r="L38" s="2">
        <v>2026</v>
      </c>
      <c r="M38" s="101" t="b">
        <f t="shared" ref="M38:M44" si="21">SUM(F38:K38)=1</f>
        <v>1</v>
      </c>
      <c r="O38" s="40">
        <f t="shared" si="5"/>
        <v>2052</v>
      </c>
      <c r="P38" s="40">
        <f t="shared" si="6"/>
        <v>33</v>
      </c>
      <c r="Q38" s="267">
        <f t="shared" si="9"/>
        <v>0</v>
      </c>
      <c r="R38" s="13">
        <f>$Q38/(1+disc1)^($O38-'A - Inputs'!$C$6)</f>
        <v>0</v>
      </c>
      <c r="S38" s="13">
        <f>$Q38/(1+disc2)^($O38-'A - Inputs'!$C$6)</f>
        <v>0</v>
      </c>
      <c r="U38" s="40">
        <f t="shared" si="7"/>
        <v>2052</v>
      </c>
      <c r="V38" s="40">
        <f t="shared" si="8"/>
        <v>33</v>
      </c>
      <c r="W38" s="268">
        <f t="shared" si="11"/>
        <v>359984.2</v>
      </c>
      <c r="X38" s="13">
        <f t="shared" si="4"/>
        <v>0</v>
      </c>
      <c r="Y38" s="13">
        <f>$X38/(1+disc1)^($U38-'A - Inputs'!$C$6)</f>
        <v>0</v>
      </c>
      <c r="Z38" s="13">
        <f>$X38/(1+disc2)^($U38-'A - Inputs'!$C$6)</f>
        <v>0</v>
      </c>
    </row>
    <row r="39" spans="2:26" x14ac:dyDescent="0.25">
      <c r="B39" s="97" t="s">
        <v>92</v>
      </c>
      <c r="C39" s="1"/>
      <c r="D39" s="99">
        <v>50000</v>
      </c>
      <c r="E39" s="245">
        <v>0</v>
      </c>
      <c r="F39" s="243"/>
      <c r="G39"/>
      <c r="H39"/>
      <c r="I39" s="243">
        <v>0.5</v>
      </c>
      <c r="J39" s="243">
        <v>0.5</v>
      </c>
      <c r="K39" s="246"/>
      <c r="L39" s="2"/>
      <c r="M39" s="101" t="b">
        <f t="shared" si="21"/>
        <v>1</v>
      </c>
      <c r="O39" s="40">
        <f t="shared" si="5"/>
        <v>2053</v>
      </c>
      <c r="P39" s="40">
        <f t="shared" si="6"/>
        <v>34</v>
      </c>
      <c r="Q39" s="267">
        <f t="shared" si="9"/>
        <v>0</v>
      </c>
      <c r="R39" s="13">
        <f>$Q39/(1+disc1)^($O39-'A - Inputs'!$C$6)</f>
        <v>0</v>
      </c>
      <c r="S39" s="13">
        <f>$Q39/(1+disc2)^($O39-'A - Inputs'!$C$6)</f>
        <v>0</v>
      </c>
      <c r="U39" s="40">
        <f t="shared" si="7"/>
        <v>2053</v>
      </c>
      <c r="V39" s="40">
        <f t="shared" si="8"/>
        <v>34</v>
      </c>
      <c r="W39" s="268">
        <f t="shared" si="11"/>
        <v>359984.2</v>
      </c>
      <c r="X39" s="13">
        <f t="shared" si="4"/>
        <v>0</v>
      </c>
      <c r="Y39" s="13">
        <f>$X39/(1+disc1)^($U39-'A - Inputs'!$C$6)</f>
        <v>0</v>
      </c>
      <c r="Z39" s="13">
        <f>$X39/(1+disc2)^($U39-'A - Inputs'!$C$6)</f>
        <v>0</v>
      </c>
    </row>
    <row r="40" spans="2:26" x14ac:dyDescent="0.25">
      <c r="B40" s="97" t="s">
        <v>93</v>
      </c>
      <c r="C40" s="1"/>
      <c r="D40" s="99">
        <v>983552</v>
      </c>
      <c r="E40" s="245">
        <v>56265</v>
      </c>
      <c r="F40" s="243"/>
      <c r="G40" s="243">
        <v>0.2</v>
      </c>
      <c r="H40" s="243">
        <v>0.5</v>
      </c>
      <c r="I40" s="243">
        <f>1-SUM(G40:H40)</f>
        <v>0.30000000000000004</v>
      </c>
      <c r="J40"/>
      <c r="K40" s="246"/>
      <c r="L40" s="2">
        <v>2025</v>
      </c>
      <c r="M40" s="101" t="b">
        <f t="shared" si="21"/>
        <v>1</v>
      </c>
      <c r="O40" s="40">
        <f t="shared" si="5"/>
        <v>2054</v>
      </c>
      <c r="P40" s="40">
        <f t="shared" si="6"/>
        <v>35</v>
      </c>
      <c r="Q40" s="267">
        <f t="shared" si="9"/>
        <v>0</v>
      </c>
      <c r="R40" s="13">
        <f>$Q40/(1+disc1)^($O40-'A - Inputs'!$C$6)</f>
        <v>0</v>
      </c>
      <c r="S40" s="13">
        <f>$Q40/(1+disc2)^($O40-'A - Inputs'!$C$6)</f>
        <v>0</v>
      </c>
      <c r="U40" s="40">
        <f t="shared" si="7"/>
        <v>2054</v>
      </c>
      <c r="V40" s="40">
        <f t="shared" si="8"/>
        <v>35</v>
      </c>
      <c r="W40" s="268">
        <f t="shared" si="11"/>
        <v>359984.2</v>
      </c>
      <c r="X40" s="13">
        <f t="shared" si="4"/>
        <v>0</v>
      </c>
      <c r="Y40" s="13">
        <f>$X40/(1+disc1)^($U40-'A - Inputs'!$C$6)</f>
        <v>0</v>
      </c>
      <c r="Z40" s="13">
        <f>$X40/(1+disc2)^($U40-'A - Inputs'!$C$6)</f>
        <v>0</v>
      </c>
    </row>
    <row r="41" spans="2:26" x14ac:dyDescent="0.25">
      <c r="B41" s="97" t="s">
        <v>94</v>
      </c>
      <c r="C41" s="1"/>
      <c r="D41" s="99">
        <v>415551</v>
      </c>
      <c r="E41" s="245">
        <v>1040447</v>
      </c>
      <c r="F41" s="243">
        <v>1</v>
      </c>
      <c r="G41"/>
      <c r="H41"/>
      <c r="I41"/>
      <c r="J41"/>
      <c r="K41" s="246"/>
      <c r="L41" s="248" t="s">
        <v>95</v>
      </c>
      <c r="M41" s="101" t="b">
        <f t="shared" si="21"/>
        <v>1</v>
      </c>
      <c r="O41" s="55" t="s">
        <v>48</v>
      </c>
      <c r="P41" s="55"/>
      <c r="Q41" s="32">
        <f>SUM(Q6:Q40)</f>
        <v>17317444.850000001</v>
      </c>
      <c r="R41" s="32">
        <f>SUM(R6:R40)</f>
        <v>15417035.781657968</v>
      </c>
      <c r="S41" s="32">
        <f>SUM(S6:S40)</f>
        <v>13291657.751778277</v>
      </c>
      <c r="U41" s="55" t="s">
        <v>48</v>
      </c>
      <c r="V41" s="55"/>
      <c r="W41" s="33">
        <f>SUM(W6:W40)</f>
        <v>10554617.249999998</v>
      </c>
      <c r="X41" s="32">
        <f>SUM(X6:X40)</f>
        <v>-2634964.85</v>
      </c>
      <c r="Y41" s="32">
        <f>SUM(Y6:Y40)</f>
        <v>-2038589.2560190842</v>
      </c>
      <c r="Z41" s="32">
        <f>SUM(Z6:Z40)</f>
        <v>-1474601.5157995836</v>
      </c>
    </row>
    <row r="42" spans="2:26" x14ac:dyDescent="0.25">
      <c r="B42" s="97" t="s">
        <v>96</v>
      </c>
      <c r="C42" s="1"/>
      <c r="D42" s="99">
        <v>120000</v>
      </c>
      <c r="E42" s="245">
        <v>10200</v>
      </c>
      <c r="F42" s="243">
        <v>1</v>
      </c>
      <c r="G42"/>
      <c r="H42"/>
      <c r="I42"/>
      <c r="J42"/>
      <c r="K42" s="246"/>
      <c r="L42" s="2">
        <v>2020</v>
      </c>
      <c r="M42" s="101" t="b">
        <f t="shared" si="21"/>
        <v>1</v>
      </c>
      <c r="U42" s="9" t="s">
        <v>97</v>
      </c>
    </row>
    <row r="43" spans="2:26" x14ac:dyDescent="0.25">
      <c r="B43" s="97" t="s">
        <v>98</v>
      </c>
      <c r="C43" s="1"/>
      <c r="D43" s="99">
        <v>35000</v>
      </c>
      <c r="E43" s="245">
        <v>0</v>
      </c>
      <c r="F43" s="243">
        <v>1</v>
      </c>
      <c r="G43" s="243"/>
      <c r="H43"/>
      <c r="I43" s="243"/>
      <c r="J43" s="243"/>
      <c r="K43" s="246"/>
      <c r="M43" s="101" t="b">
        <f t="shared" si="21"/>
        <v>1</v>
      </c>
      <c r="Q43" s="113" t="b">
        <f>D46=Q41</f>
        <v>1</v>
      </c>
      <c r="W43" s="113" t="b">
        <f>W40=E36</f>
        <v>0</v>
      </c>
    </row>
    <row r="44" spans="2:26" ht="15.75" thickBot="1" x14ac:dyDescent="0.3">
      <c r="B44" s="97" t="s">
        <v>99</v>
      </c>
      <c r="C44" s="1"/>
      <c r="D44" s="99">
        <v>125000</v>
      </c>
      <c r="E44" s="245">
        <v>0</v>
      </c>
      <c r="F44" s="243">
        <v>1</v>
      </c>
      <c r="G44"/>
      <c r="H44"/>
      <c r="I44"/>
      <c r="J44"/>
      <c r="K44" s="246"/>
      <c r="M44" s="101" t="b">
        <f t="shared" si="21"/>
        <v>1</v>
      </c>
    </row>
    <row r="45" spans="2:26" ht="15.75" thickBot="1" x14ac:dyDescent="0.3">
      <c r="B45" s="95" t="s">
        <v>82</v>
      </c>
      <c r="C45" s="102"/>
      <c r="D45" s="261">
        <f>SUM(D38:D44)*1.01</f>
        <v>1771644.03</v>
      </c>
      <c r="E45" s="261">
        <f>SUM(E38:E44)*1.01</f>
        <v>1133131.1200000001</v>
      </c>
      <c r="F45" s="104">
        <f>SUMPRODUCT($D38:$D44,F38:F44)</f>
        <v>695551</v>
      </c>
      <c r="G45" s="104">
        <f t="shared" ref="G45:K45" si="22">SUMPRODUCT($D38:$D44,G38:G44)</f>
        <v>196710.40000000002</v>
      </c>
      <c r="H45" s="104">
        <f t="shared" si="22"/>
        <v>491776</v>
      </c>
      <c r="I45" s="104">
        <f t="shared" si="22"/>
        <v>320065.60000000003</v>
      </c>
      <c r="J45" s="104">
        <f t="shared" si="22"/>
        <v>50000</v>
      </c>
      <c r="K45" s="104">
        <f t="shared" si="22"/>
        <v>0</v>
      </c>
      <c r="L45" s="103"/>
      <c r="M45" s="110" t="b">
        <f>SUM(F45:K45)=D45</f>
        <v>0</v>
      </c>
    </row>
    <row r="46" spans="2:26" ht="15.75" thickBot="1" x14ac:dyDescent="0.3">
      <c r="B46" s="95" t="s">
        <v>100</v>
      </c>
      <c r="C46" s="102"/>
      <c r="D46" s="98">
        <f>D36+D45</f>
        <v>17317444.850000001</v>
      </c>
      <c r="E46" s="98">
        <f t="shared" ref="E46:K46" si="23">E36+E45</f>
        <v>1410835.6700000002</v>
      </c>
      <c r="F46" s="98">
        <f t="shared" si="23"/>
        <v>695551</v>
      </c>
      <c r="G46" s="98">
        <f t="shared" si="23"/>
        <v>196710.40000000002</v>
      </c>
      <c r="H46" s="98">
        <f t="shared" si="23"/>
        <v>2143008.4000000004</v>
      </c>
      <c r="I46" s="98">
        <f t="shared" si="23"/>
        <v>9669864.2763211206</v>
      </c>
      <c r="J46" s="98">
        <f t="shared" si="23"/>
        <v>4440850.9236788815</v>
      </c>
      <c r="K46" s="98">
        <f t="shared" si="23"/>
        <v>0</v>
      </c>
      <c r="L46" s="112"/>
      <c r="M46" s="110" t="b">
        <f>SUM(F46:K46)=D46</f>
        <v>0</v>
      </c>
    </row>
    <row r="47" spans="2:26" x14ac:dyDescent="0.25">
      <c r="B47" s="9" t="s">
        <v>101</v>
      </c>
    </row>
    <row r="48" spans="2:26" x14ac:dyDescent="0.25">
      <c r="B48" s="9" t="s">
        <v>102</v>
      </c>
    </row>
  </sheetData>
  <autoFilter ref="A5:AA52" xr:uid="{0F0922A0-6E57-4BE9-A740-9D12D00AC3E0}"/>
  <pageMargins left="0.7" right="0.7" top="0.75" bottom="0.75" header="0.3" footer="0.3"/>
  <pageSetup scale="69" orientation="landscape" r:id="rId1"/>
  <headerFooter>
    <oddHeader>&amp;L&amp;"Arial,Bold"Florida Department of Transportation - SMART St. Augustine&amp;R&amp;"Arial,Bold"&amp;A</oddHeader>
    <oddFooter>&amp;CPage D-&amp;P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C9947-4306-4E43-8F29-8A5BA08C13A7}">
  <dimension ref="B1:P94"/>
  <sheetViews>
    <sheetView tabSelected="1" topLeftCell="A55" zoomScale="70" zoomScaleNormal="70" workbookViewId="0">
      <selection activeCell="J94" sqref="J94"/>
    </sheetView>
  </sheetViews>
  <sheetFormatPr defaultColWidth="8.7109375" defaultRowHeight="15" x14ac:dyDescent="0.25"/>
  <cols>
    <col min="1" max="1" width="3" style="10" bestFit="1" customWidth="1"/>
    <col min="2" max="9" width="19.140625" style="10" customWidth="1"/>
    <col min="10" max="10" width="22.85546875" style="10" customWidth="1"/>
    <col min="11" max="11" width="19.140625" style="10" customWidth="1"/>
    <col min="12" max="15" width="19.140625" style="12" customWidth="1"/>
    <col min="16" max="16" width="19.140625" style="10" customWidth="1"/>
    <col min="17" max="17" width="12.85546875" style="10" bestFit="1" customWidth="1"/>
    <col min="18" max="18" width="10" style="10" bestFit="1" customWidth="1"/>
    <col min="19" max="16384" width="8.7109375" style="10"/>
  </cols>
  <sheetData>
    <row r="1" spans="2:15" x14ac:dyDescent="0.25">
      <c r="L1" s="10"/>
      <c r="M1" s="10"/>
      <c r="N1" s="10"/>
      <c r="O1" s="10"/>
    </row>
    <row r="2" spans="2:15" x14ac:dyDescent="0.25">
      <c r="B2" s="15"/>
      <c r="C2" s="92" t="s">
        <v>103</v>
      </c>
      <c r="D2" s="92"/>
      <c r="E2" s="118"/>
      <c r="F2" s="92" t="s">
        <v>104</v>
      </c>
      <c r="G2" s="92"/>
      <c r="H2" s="118"/>
      <c r="I2" s="144" t="s">
        <v>105</v>
      </c>
      <c r="J2" s="118" t="s">
        <v>106</v>
      </c>
      <c r="K2" s="92" t="s">
        <v>107</v>
      </c>
      <c r="L2" s="118"/>
      <c r="M2" s="92" t="s">
        <v>108</v>
      </c>
      <c r="N2" s="118"/>
      <c r="O2" s="10"/>
    </row>
    <row r="3" spans="2:15" x14ac:dyDescent="0.25">
      <c r="B3" s="124" t="s">
        <v>109</v>
      </c>
      <c r="C3" s="123" t="s">
        <v>110</v>
      </c>
      <c r="D3" s="123" t="s">
        <v>111</v>
      </c>
      <c r="E3" s="124" t="s">
        <v>48</v>
      </c>
      <c r="F3" s="123" t="str">
        <f>C3</f>
        <v>Pedestrian</v>
      </c>
      <c r="G3" s="123" t="str">
        <f t="shared" ref="G3:H3" si="0">D3</f>
        <v>Bicycle</v>
      </c>
      <c r="H3" s="124" t="str">
        <f t="shared" si="0"/>
        <v>Total</v>
      </c>
      <c r="I3" s="144" t="s">
        <v>112</v>
      </c>
      <c r="J3" s="124" t="s">
        <v>113</v>
      </c>
      <c r="K3" s="123" t="s">
        <v>114</v>
      </c>
      <c r="L3" s="124" t="s">
        <v>108</v>
      </c>
      <c r="M3" s="141" t="s">
        <v>115</v>
      </c>
      <c r="N3" s="130" t="s">
        <v>113</v>
      </c>
      <c r="O3" s="10"/>
    </row>
    <row r="4" spans="2:15" x14ac:dyDescent="0.25">
      <c r="B4" s="8" t="s">
        <v>116</v>
      </c>
      <c r="C4" s="120">
        <v>0</v>
      </c>
      <c r="D4" s="120">
        <v>0</v>
      </c>
      <c r="E4" s="126">
        <f>C4+D4</f>
        <v>0</v>
      </c>
      <c r="F4" s="121">
        <f>C4/$C$20</f>
        <v>0</v>
      </c>
      <c r="G4" s="121">
        <f>D4/$C$20</f>
        <v>0</v>
      </c>
      <c r="H4" s="158">
        <f>E4/$C$20</f>
        <v>0</v>
      </c>
      <c r="I4" s="146">
        <v>0.25</v>
      </c>
      <c r="J4" s="148">
        <f>H4*(1-I4)</f>
        <v>0</v>
      </c>
      <c r="K4" s="140" t="str">
        <f>F26</f>
        <v>Fatal Crash</v>
      </c>
      <c r="L4" s="129" cm="1">
        <f t="array" ref="L4">INDEX($I$25:$I$27,MATCH($K4,$F$25:$F$27,0),0)</f>
        <v>3017750</v>
      </c>
      <c r="M4" s="131">
        <f>H4*$L4</f>
        <v>0</v>
      </c>
      <c r="N4" s="132">
        <f>J4*$L4</f>
        <v>0</v>
      </c>
      <c r="O4" s="10"/>
    </row>
    <row r="5" spans="2:15" x14ac:dyDescent="0.25">
      <c r="B5" s="138" t="s">
        <v>117</v>
      </c>
      <c r="C5" s="120">
        <v>9</v>
      </c>
      <c r="D5" s="120">
        <v>7</v>
      </c>
      <c r="E5" s="126">
        <f t="shared" ref="E5:E6" si="1">C5+D5</f>
        <v>16</v>
      </c>
      <c r="F5" s="121">
        <f t="shared" ref="F5:F6" si="2">C5/$C$20</f>
        <v>2.25</v>
      </c>
      <c r="G5" s="121">
        <f t="shared" ref="G5:H6" si="3">D5/$C$20</f>
        <v>1.75</v>
      </c>
      <c r="H5" s="158">
        <f t="shared" si="3"/>
        <v>4</v>
      </c>
      <c r="I5" s="146">
        <v>0.25</v>
      </c>
      <c r="J5" s="148">
        <f>H4*I4+H5*(1-I5)</f>
        <v>3</v>
      </c>
      <c r="K5" s="140" t="str">
        <f>F25</f>
        <v>Injury Crash</v>
      </c>
      <c r="L5" s="129" cm="1">
        <f t="array" ref="L5">INDEX($I$25:$I$27,MATCH($K5,$F$25:$F$27,0),0)</f>
        <v>71025</v>
      </c>
      <c r="M5" s="131">
        <f t="shared" ref="M5:M6" si="4">H5*$L5</f>
        <v>284100</v>
      </c>
      <c r="N5" s="132">
        <f t="shared" ref="N5:N6" si="5">J5*$L5</f>
        <v>213075</v>
      </c>
      <c r="O5" s="10"/>
    </row>
    <row r="6" spans="2:15" x14ac:dyDescent="0.25">
      <c r="B6" s="8" t="s">
        <v>118</v>
      </c>
      <c r="C6" s="120">
        <v>4</v>
      </c>
      <c r="D6" s="120">
        <v>15</v>
      </c>
      <c r="E6" s="126">
        <f t="shared" si="1"/>
        <v>19</v>
      </c>
      <c r="F6" s="121">
        <f t="shared" si="2"/>
        <v>1</v>
      </c>
      <c r="G6" s="121">
        <f t="shared" si="3"/>
        <v>3.75</v>
      </c>
      <c r="H6" s="158">
        <f t="shared" si="3"/>
        <v>4.75</v>
      </c>
      <c r="I6" s="146">
        <v>0.25</v>
      </c>
      <c r="J6" s="148">
        <f>H5*I5+H6*(1-I6)</f>
        <v>4.5625</v>
      </c>
      <c r="K6" s="140" t="str">
        <f>F27</f>
        <v>PDO Crash</v>
      </c>
      <c r="L6" s="129" cm="1">
        <f t="array" ref="L6">INDEX($I$25:$I$27,MATCH($K6,$F$25:$F$27,0),0)</f>
        <v>1125</v>
      </c>
      <c r="M6" s="131">
        <f t="shared" si="4"/>
        <v>5343.75</v>
      </c>
      <c r="N6" s="132">
        <f t="shared" si="5"/>
        <v>5132.8125</v>
      </c>
      <c r="O6" s="10"/>
    </row>
    <row r="7" spans="2:15" x14ac:dyDescent="0.25">
      <c r="B7" s="125" t="s">
        <v>48</v>
      </c>
      <c r="C7" s="122">
        <f t="shared" ref="C7:H7" si="6">SUM(C4:C6)</f>
        <v>13</v>
      </c>
      <c r="D7" s="122">
        <f t="shared" si="6"/>
        <v>22</v>
      </c>
      <c r="E7" s="127">
        <f t="shared" si="6"/>
        <v>35</v>
      </c>
      <c r="F7" s="122">
        <f t="shared" si="6"/>
        <v>3.25</v>
      </c>
      <c r="G7" s="122">
        <f t="shared" si="6"/>
        <v>5.5</v>
      </c>
      <c r="H7" s="127">
        <f t="shared" si="6"/>
        <v>8.75</v>
      </c>
      <c r="I7" s="147"/>
      <c r="J7" s="127"/>
      <c r="K7" s="122"/>
      <c r="L7" s="127"/>
      <c r="M7" s="133">
        <f>SUM(M4:M6)</f>
        <v>289443.75</v>
      </c>
      <c r="N7" s="134">
        <f>SUM(N4:N6)</f>
        <v>218207.8125</v>
      </c>
      <c r="O7" s="10"/>
    </row>
    <row r="8" spans="2:15" x14ac:dyDescent="0.25">
      <c r="I8" s="15"/>
      <c r="L8" s="10"/>
      <c r="M8" s="142" t="s">
        <v>119</v>
      </c>
      <c r="N8" s="143">
        <f>M7-N7</f>
        <v>71235.9375</v>
      </c>
      <c r="O8" s="10"/>
    </row>
    <row r="9" spans="2:15" x14ac:dyDescent="0.25">
      <c r="B9" s="15"/>
      <c r="C9" s="92" t="s">
        <v>120</v>
      </c>
      <c r="D9" s="92"/>
      <c r="E9" s="118"/>
      <c r="F9" s="92" t="s">
        <v>106</v>
      </c>
      <c r="G9" s="92"/>
      <c r="H9" s="118"/>
      <c r="I9" s="144" t="s">
        <v>105</v>
      </c>
      <c r="J9" s="118" t="s">
        <v>106</v>
      </c>
      <c r="K9" s="92" t="s">
        <v>121</v>
      </c>
      <c r="L9" s="118"/>
      <c r="M9" s="92" t="s">
        <v>108</v>
      </c>
      <c r="N9" s="118"/>
      <c r="O9" s="10"/>
    </row>
    <row r="10" spans="2:15" x14ac:dyDescent="0.25">
      <c r="B10" s="124" t="s">
        <v>109</v>
      </c>
      <c r="C10" s="123" t="s">
        <v>122</v>
      </c>
      <c r="D10" s="123" t="s">
        <v>123</v>
      </c>
      <c r="E10" s="124" t="s">
        <v>124</v>
      </c>
      <c r="F10" s="123" t="str">
        <f>C10</f>
        <v>All</v>
      </c>
      <c r="G10" s="123" t="str">
        <f t="shared" ref="G10" si="7">D10</f>
        <v>Bike/Ped</v>
      </c>
      <c r="H10" s="124" t="str">
        <f t="shared" ref="H10" si="8">E10</f>
        <v>Vehicle Only</v>
      </c>
      <c r="I10" s="118" t="s">
        <v>125</v>
      </c>
      <c r="J10" s="124" t="s">
        <v>113</v>
      </c>
      <c r="K10" s="123" t="s">
        <v>114</v>
      </c>
      <c r="L10" s="124" t="s">
        <v>108</v>
      </c>
      <c r="M10" s="141" t="s">
        <v>115</v>
      </c>
      <c r="N10" s="130" t="s">
        <v>113</v>
      </c>
      <c r="O10" s="10"/>
    </row>
    <row r="11" spans="2:15" x14ac:dyDescent="0.25">
      <c r="B11" s="8" t="s">
        <v>116</v>
      </c>
      <c r="C11" s="120">
        <v>20</v>
      </c>
      <c r="D11" s="139"/>
      <c r="E11" s="126"/>
      <c r="F11" s="121">
        <f t="shared" ref="F11:F15" si="9">C11/$C$21</f>
        <v>5</v>
      </c>
      <c r="G11" s="139">
        <f>H4</f>
        <v>0</v>
      </c>
      <c r="H11" s="126">
        <f>F11-G11</f>
        <v>5</v>
      </c>
      <c r="I11" s="146">
        <v>0.05</v>
      </c>
      <c r="J11" s="148">
        <f>H11*(1-I11)</f>
        <v>4.75</v>
      </c>
      <c r="K11" s="140" t="s">
        <v>126</v>
      </c>
      <c r="L11" s="129">
        <f>VLOOKUP(K11,$C$24:$D$30,2,FALSE)</f>
        <v>11600000</v>
      </c>
      <c r="M11" s="131">
        <f t="shared" ref="M11:M15" si="10">H11*$L11</f>
        <v>58000000</v>
      </c>
      <c r="N11" s="132">
        <f t="shared" ref="N11:N15" si="11">J11*$L11</f>
        <v>55100000</v>
      </c>
      <c r="O11" s="10"/>
    </row>
    <row r="12" spans="2:15" x14ac:dyDescent="0.25">
      <c r="B12" s="8" t="s">
        <v>127</v>
      </c>
      <c r="C12" s="120">
        <v>113</v>
      </c>
      <c r="D12" s="139"/>
      <c r="E12" s="126"/>
      <c r="F12" s="121">
        <f t="shared" si="9"/>
        <v>28.25</v>
      </c>
      <c r="G12" s="139">
        <f>H5</f>
        <v>4</v>
      </c>
      <c r="H12" s="126">
        <f t="shared" ref="H12:H15" si="12">F12-G12</f>
        <v>24.25</v>
      </c>
      <c r="I12" s="146">
        <v>0.05</v>
      </c>
      <c r="J12" s="148">
        <f t="shared" ref="J12:J15" si="13">H12*(1-I12)</f>
        <v>23.037499999999998</v>
      </c>
      <c r="K12" s="140" t="s">
        <v>128</v>
      </c>
      <c r="L12" s="129">
        <f>VLOOKUP(K12,$C$24:$D$30,2,FALSE)</f>
        <v>554800</v>
      </c>
      <c r="M12" s="131">
        <f t="shared" si="10"/>
        <v>13453900</v>
      </c>
      <c r="N12" s="132">
        <f t="shared" si="11"/>
        <v>12781204.999999998</v>
      </c>
      <c r="O12" s="10"/>
    </row>
    <row r="13" spans="2:15" x14ac:dyDescent="0.25">
      <c r="B13" s="8" t="s">
        <v>129</v>
      </c>
      <c r="C13" s="120">
        <v>508</v>
      </c>
      <c r="D13" s="139"/>
      <c r="E13" s="126"/>
      <c r="F13" s="121">
        <f t="shared" si="9"/>
        <v>127</v>
      </c>
      <c r="G13" s="139"/>
      <c r="H13" s="126">
        <f t="shared" si="12"/>
        <v>127</v>
      </c>
      <c r="I13" s="146">
        <v>0.05</v>
      </c>
      <c r="J13" s="148">
        <f t="shared" si="13"/>
        <v>120.64999999999999</v>
      </c>
      <c r="K13" s="140" t="s">
        <v>130</v>
      </c>
      <c r="L13" s="129">
        <f>VLOOKUP(K13,$C$24:$D$30,2,FALSE)</f>
        <v>151100</v>
      </c>
      <c r="M13" s="131">
        <f t="shared" si="10"/>
        <v>19189700</v>
      </c>
      <c r="N13" s="132">
        <f t="shared" si="11"/>
        <v>18230215</v>
      </c>
      <c r="O13" s="10"/>
    </row>
    <row r="14" spans="2:15" x14ac:dyDescent="0.25">
      <c r="B14" s="8" t="s">
        <v>131</v>
      </c>
      <c r="C14" s="120">
        <v>1088</v>
      </c>
      <c r="D14" s="139"/>
      <c r="E14" s="126"/>
      <c r="F14" s="121">
        <f t="shared" si="9"/>
        <v>272</v>
      </c>
      <c r="G14" s="139"/>
      <c r="H14" s="126">
        <f t="shared" si="12"/>
        <v>272</v>
      </c>
      <c r="I14" s="146">
        <v>0.05</v>
      </c>
      <c r="J14" s="148">
        <f t="shared" si="13"/>
        <v>258.39999999999998</v>
      </c>
      <c r="K14" s="140" t="s">
        <v>132</v>
      </c>
      <c r="L14" s="129">
        <f>VLOOKUP(K14,$C$24:$D$30,2,FALSE)</f>
        <v>77200</v>
      </c>
      <c r="M14" s="131">
        <f t="shared" si="10"/>
        <v>20998400</v>
      </c>
      <c r="N14" s="132">
        <f t="shared" si="11"/>
        <v>19948480</v>
      </c>
      <c r="O14" s="10"/>
    </row>
    <row r="15" spans="2:15" x14ac:dyDescent="0.25">
      <c r="B15" s="8" t="s">
        <v>118</v>
      </c>
      <c r="C15" s="120">
        <v>7823</v>
      </c>
      <c r="D15" s="139"/>
      <c r="E15" s="126"/>
      <c r="F15" s="121">
        <f t="shared" si="9"/>
        <v>1955.75</v>
      </c>
      <c r="G15" s="139">
        <f>H6</f>
        <v>4.75</v>
      </c>
      <c r="H15" s="126">
        <f t="shared" si="12"/>
        <v>1951</v>
      </c>
      <c r="I15" s="146">
        <v>0.05</v>
      </c>
      <c r="J15" s="148">
        <f t="shared" si="13"/>
        <v>1853.4499999999998</v>
      </c>
      <c r="K15" s="140" t="s">
        <v>133</v>
      </c>
      <c r="L15" s="129">
        <f>VLOOKUP(K15,$C$24:$D$30,2,FALSE)</f>
        <v>3900</v>
      </c>
      <c r="M15" s="131">
        <f t="shared" si="10"/>
        <v>7608900</v>
      </c>
      <c r="N15" s="132">
        <f t="shared" si="11"/>
        <v>7228454.9999999991</v>
      </c>
      <c r="O15" s="10"/>
    </row>
    <row r="16" spans="2:15" x14ac:dyDescent="0.25">
      <c r="B16" s="125" t="s">
        <v>48</v>
      </c>
      <c r="C16" s="122">
        <f>SUM(C11:C15)</f>
        <v>9552</v>
      </c>
      <c r="D16" s="122"/>
      <c r="E16" s="127"/>
      <c r="F16" s="122">
        <f t="shared" ref="F16" si="14">SUM(F11:F15)</f>
        <v>2388</v>
      </c>
      <c r="G16" s="122">
        <f t="shared" ref="G16:H16" si="15">SUM(G11:G15)</f>
        <v>8.75</v>
      </c>
      <c r="H16" s="127">
        <f t="shared" si="15"/>
        <v>2379.25</v>
      </c>
      <c r="I16" s="145"/>
      <c r="J16" s="127"/>
      <c r="K16" s="122"/>
      <c r="L16" s="127"/>
      <c r="M16" s="133">
        <f>SUM(M11:M15)</f>
        <v>119250900</v>
      </c>
      <c r="N16" s="134">
        <f>SUM(N11:N15)</f>
        <v>113288355</v>
      </c>
      <c r="O16" s="10"/>
    </row>
    <row r="17" spans="2:15" x14ac:dyDescent="0.25">
      <c r="L17" s="10"/>
      <c r="M17" s="142" t="s">
        <v>119</v>
      </c>
      <c r="N17" s="143">
        <f>M16-N16</f>
        <v>5962545</v>
      </c>
      <c r="O17" s="10"/>
    </row>
    <row r="18" spans="2:15" x14ac:dyDescent="0.25">
      <c r="L18" s="10"/>
      <c r="M18" s="253"/>
      <c r="N18" s="136"/>
      <c r="O18" s="10"/>
    </row>
    <row r="19" spans="2:15" x14ac:dyDescent="0.25">
      <c r="B19" s="254" t="s">
        <v>134</v>
      </c>
      <c r="L19" s="10"/>
      <c r="N19" s="253"/>
      <c r="O19" s="136"/>
    </row>
    <row r="20" spans="2:15" x14ac:dyDescent="0.25">
      <c r="B20" s="255" t="s">
        <v>123</v>
      </c>
      <c r="C20" s="120">
        <v>4</v>
      </c>
      <c r="L20" s="10"/>
      <c r="N20" s="253"/>
      <c r="O20" s="136"/>
    </row>
    <row r="21" spans="2:15" x14ac:dyDescent="0.25">
      <c r="B21" s="255" t="s">
        <v>135</v>
      </c>
      <c r="C21" s="120">
        <v>4</v>
      </c>
      <c r="L21" s="10"/>
      <c r="N21" s="253"/>
      <c r="O21" s="136"/>
    </row>
    <row r="23" spans="2:15" x14ac:dyDescent="0.25">
      <c r="B23" s="92" t="s">
        <v>136</v>
      </c>
      <c r="C23" s="92"/>
      <c r="D23" s="92"/>
      <c r="F23" s="92" t="s">
        <v>137</v>
      </c>
      <c r="G23" s="92"/>
      <c r="H23" s="92"/>
      <c r="I23" s="92"/>
    </row>
    <row r="24" spans="2:15" ht="30" x14ac:dyDescent="0.25">
      <c r="B24" s="119" t="s">
        <v>138</v>
      </c>
      <c r="C24" s="119" t="s">
        <v>139</v>
      </c>
      <c r="D24" s="128" t="s">
        <v>140</v>
      </c>
      <c r="F24" s="119" t="s">
        <v>114</v>
      </c>
      <c r="G24" s="128" t="s">
        <v>141</v>
      </c>
      <c r="H24" s="128" t="s">
        <v>142</v>
      </c>
      <c r="I24" s="128" t="s">
        <v>143</v>
      </c>
    </row>
    <row r="25" spans="2:15" x14ac:dyDescent="0.25">
      <c r="B25" s="89" t="s">
        <v>144</v>
      </c>
      <c r="C25" s="89" t="s">
        <v>133</v>
      </c>
      <c r="D25" s="272">
        <v>3900</v>
      </c>
      <c r="F25" s="89" t="s">
        <v>145</v>
      </c>
      <c r="G25" s="93">
        <f>284100</f>
        <v>284100</v>
      </c>
      <c r="H25" s="164">
        <v>0.25</v>
      </c>
      <c r="I25" s="162">
        <f>G25*H25</f>
        <v>71025</v>
      </c>
      <c r="J25" s="93"/>
    </row>
    <row r="26" spans="2:15" x14ac:dyDescent="0.25">
      <c r="B26" s="89" t="s">
        <v>146</v>
      </c>
      <c r="C26" s="89" t="s">
        <v>132</v>
      </c>
      <c r="D26" s="272">
        <v>77200</v>
      </c>
      <c r="E26" s="136"/>
      <c r="F26" s="89" t="s">
        <v>147</v>
      </c>
      <c r="G26" s="93">
        <f>12071000</f>
        <v>12071000</v>
      </c>
      <c r="H26" s="164">
        <v>0.25</v>
      </c>
      <c r="I26" s="162">
        <f>G26*H26</f>
        <v>3017750</v>
      </c>
      <c r="J26" s="93"/>
    </row>
    <row r="27" spans="2:15" x14ac:dyDescent="0.25">
      <c r="B27" s="89" t="s">
        <v>148</v>
      </c>
      <c r="C27" s="89" t="s">
        <v>130</v>
      </c>
      <c r="D27" s="272">
        <v>151100</v>
      </c>
      <c r="F27" s="89" t="s">
        <v>149</v>
      </c>
      <c r="G27" s="93">
        <f>4500</f>
        <v>4500</v>
      </c>
      <c r="H27" s="164">
        <v>0.25</v>
      </c>
      <c r="I27" s="162">
        <f>G27*H27</f>
        <v>1125</v>
      </c>
      <c r="J27" s="254"/>
    </row>
    <row r="28" spans="2:15" x14ac:dyDescent="0.25">
      <c r="B28" s="89" t="s">
        <v>150</v>
      </c>
      <c r="C28" s="89" t="s">
        <v>128</v>
      </c>
      <c r="D28" s="272">
        <v>554800</v>
      </c>
      <c r="F28" s="89"/>
      <c r="G28" s="163" t="s">
        <v>151</v>
      </c>
    </row>
    <row r="29" spans="2:15" x14ac:dyDescent="0.25">
      <c r="B29" s="89" t="s">
        <v>152</v>
      </c>
      <c r="C29" s="89" t="s">
        <v>126</v>
      </c>
      <c r="D29" s="272">
        <v>11600000</v>
      </c>
      <c r="F29" s="89"/>
      <c r="G29" s="162" t="str">
        <f>"Motorized: "&amp;'A - Inputs'!$C$19</f>
        <v>Motorized: USDOT Benefit-Cost Analysis Guidance for Discretionary Grant Programs 2022</v>
      </c>
    </row>
    <row r="30" spans="2:15" x14ac:dyDescent="0.25">
      <c r="B30" s="89" t="s">
        <v>153</v>
      </c>
      <c r="C30" s="89" t="s">
        <v>154</v>
      </c>
      <c r="D30" s="272">
        <v>150200</v>
      </c>
      <c r="F30" s="89"/>
      <c r="G30" s="162" t="s">
        <v>155</v>
      </c>
    </row>
    <row r="31" spans="2:15" x14ac:dyDescent="0.25">
      <c r="G31" s="165"/>
    </row>
    <row r="32" spans="2:15" x14ac:dyDescent="0.25">
      <c r="B32" s="94" t="s">
        <v>151</v>
      </c>
    </row>
    <row r="33" spans="2:15" x14ac:dyDescent="0.25">
      <c r="B33" s="89" t="str">
        <f>"Motorized crash monetized values: "&amp;'A - Inputs'!$C$19</f>
        <v>Motorized crash monetized values: USDOT Benefit-Cost Analysis Guidance for Discretionary Grant Programs 2022</v>
      </c>
      <c r="G33" s="89"/>
    </row>
    <row r="34" spans="2:15" x14ac:dyDescent="0.25">
      <c r="B34" s="89" t="s">
        <v>156</v>
      </c>
      <c r="G34" s="89"/>
    </row>
    <row r="35" spans="2:15" x14ac:dyDescent="0.25">
      <c r="B35" s="89" t="s">
        <v>157</v>
      </c>
      <c r="G35" s="89"/>
    </row>
    <row r="36" spans="2:15" x14ac:dyDescent="0.25">
      <c r="B36" s="159" t="s">
        <v>158</v>
      </c>
      <c r="G36" s="89"/>
    </row>
    <row r="37" spans="2:15" x14ac:dyDescent="0.25">
      <c r="B37" s="159" t="s">
        <v>159</v>
      </c>
      <c r="G37" s="89"/>
    </row>
    <row r="38" spans="2:15" x14ac:dyDescent="0.25">
      <c r="B38" s="89" t="s">
        <v>160</v>
      </c>
      <c r="G38" s="89"/>
    </row>
    <row r="39" spans="2:15" x14ac:dyDescent="0.25">
      <c r="B39" s="89" t="s">
        <v>161</v>
      </c>
      <c r="G39" s="89"/>
    </row>
    <row r="40" spans="2:15" x14ac:dyDescent="0.25">
      <c r="B40" s="137"/>
      <c r="G40" s="89"/>
    </row>
    <row r="41" spans="2:15" x14ac:dyDescent="0.25">
      <c r="B41" s="94" t="s">
        <v>162</v>
      </c>
      <c r="G41" s="89"/>
    </row>
    <row r="42" spans="2:15" x14ac:dyDescent="0.25">
      <c r="B42" s="89" t="s">
        <v>163</v>
      </c>
      <c r="G42" s="89"/>
      <c r="K42" s="12"/>
      <c r="O42" s="10"/>
    </row>
    <row r="43" spans="2:15" x14ac:dyDescent="0.25">
      <c r="K43" s="12"/>
      <c r="O43" s="10"/>
    </row>
    <row r="44" spans="2:15" x14ac:dyDescent="0.25">
      <c r="B44" s="135" t="s">
        <v>164</v>
      </c>
      <c r="K44" s="12"/>
      <c r="O44" s="10"/>
    </row>
    <row r="45" spans="2:15" x14ac:dyDescent="0.25">
      <c r="B45" s="256" t="s">
        <v>165</v>
      </c>
      <c r="C45" s="254" t="s">
        <v>166</v>
      </c>
      <c r="K45" s="12"/>
      <c r="O45" s="10"/>
    </row>
    <row r="46" spans="2:15" x14ac:dyDescent="0.25">
      <c r="C46" s="255" t="s">
        <v>167</v>
      </c>
      <c r="K46" s="12"/>
      <c r="O46" s="10"/>
    </row>
    <row r="47" spans="2:15" x14ac:dyDescent="0.25">
      <c r="B47" s="256" t="s">
        <v>168</v>
      </c>
      <c r="C47" s="254" t="s">
        <v>169</v>
      </c>
      <c r="K47" s="12"/>
      <c r="O47" s="10"/>
    </row>
    <row r="48" spans="2:15" x14ac:dyDescent="0.25">
      <c r="C48" s="255" t="s">
        <v>170</v>
      </c>
      <c r="K48" s="12"/>
      <c r="O48" s="10"/>
    </row>
    <row r="49" spans="2:16" x14ac:dyDescent="0.25">
      <c r="B49" s="256" t="s">
        <v>168</v>
      </c>
      <c r="C49" s="254" t="s">
        <v>171</v>
      </c>
      <c r="K49" s="12"/>
      <c r="O49" s="10"/>
    </row>
    <row r="50" spans="2:16" x14ac:dyDescent="0.25">
      <c r="B50" s="256" t="s">
        <v>172</v>
      </c>
      <c r="C50" s="254" t="s">
        <v>173</v>
      </c>
      <c r="K50" s="12"/>
      <c r="O50" s="10"/>
    </row>
    <row r="51" spans="2:16" x14ac:dyDescent="0.25">
      <c r="C51" s="255" t="s">
        <v>167</v>
      </c>
      <c r="K51" s="12"/>
      <c r="O51" s="10"/>
    </row>
    <row r="52" spans="2:16" x14ac:dyDescent="0.25">
      <c r="B52" s="256" t="s">
        <v>174</v>
      </c>
      <c r="C52" s="254" t="s">
        <v>175</v>
      </c>
      <c r="K52" s="12"/>
      <c r="O52" s="10"/>
    </row>
    <row r="53" spans="2:16" x14ac:dyDescent="0.25">
      <c r="C53" s="255" t="s">
        <v>176</v>
      </c>
      <c r="K53" s="12"/>
      <c r="O53" s="10"/>
    </row>
    <row r="54" spans="2:16" x14ac:dyDescent="0.25">
      <c r="K54" s="12"/>
      <c r="O54" s="10"/>
    </row>
    <row r="55" spans="2:16" x14ac:dyDescent="0.25">
      <c r="K55" s="12"/>
      <c r="O55" s="10"/>
    </row>
    <row r="56" spans="2:16" x14ac:dyDescent="0.25">
      <c r="J56" s="12"/>
      <c r="L56" s="10"/>
      <c r="M56" s="10"/>
      <c r="N56" s="10"/>
      <c r="O56" s="10"/>
    </row>
    <row r="57" spans="2:16" x14ac:dyDescent="0.25">
      <c r="E57" s="15"/>
      <c r="F57" s="6" t="s">
        <v>123</v>
      </c>
      <c r="G57" s="16"/>
      <c r="H57" s="17"/>
      <c r="I57" s="6" t="s">
        <v>177</v>
      </c>
      <c r="J57" s="17"/>
      <c r="K57" s="18"/>
      <c r="L57" s="6" t="s">
        <v>178</v>
      </c>
      <c r="M57" s="6"/>
      <c r="N57" s="6"/>
      <c r="O57" s="6"/>
      <c r="P57" s="7"/>
    </row>
    <row r="58" spans="2:16" ht="30" x14ac:dyDescent="0.25">
      <c r="D58" s="14" t="s">
        <v>42</v>
      </c>
      <c r="E58" s="19" t="s">
        <v>43</v>
      </c>
      <c r="F58" s="14" t="str">
        <f>M3</f>
        <v>No Build</v>
      </c>
      <c r="G58" s="14" t="str">
        <f>N3</f>
        <v>Build</v>
      </c>
      <c r="H58" s="19" t="s">
        <v>178</v>
      </c>
      <c r="I58" s="14" t="str">
        <f>M10</f>
        <v>No Build</v>
      </c>
      <c r="J58" s="14" t="str">
        <f>N10</f>
        <v>Build</v>
      </c>
      <c r="K58" s="19" t="s">
        <v>178</v>
      </c>
      <c r="L58" s="14" t="str">
        <f>F57</f>
        <v>Bike/Ped</v>
      </c>
      <c r="M58" s="20" t="str">
        <f>I57</f>
        <v>Vehicle</v>
      </c>
      <c r="N58" s="14" t="s">
        <v>48</v>
      </c>
      <c r="O58" s="21" t="str">
        <f>"Present Value ("&amp;TEXT(disc1,"0%")&amp;" Discount Rate)"</f>
        <v>Present Value (3% Discount Rate)</v>
      </c>
      <c r="P58" s="22" t="str">
        <f>"Present Value ("&amp;TEXT(disc2,"0%")&amp;" Discount Rate)"</f>
        <v>Present Value (7% Discount Rate)</v>
      </c>
    </row>
    <row r="59" spans="2:16" x14ac:dyDescent="0.25">
      <c r="D59" s="26">
        <f>'A - Inputs'!$C$7</f>
        <v>2020</v>
      </c>
      <c r="E59" s="27">
        <v>1</v>
      </c>
      <c r="F59" s="23">
        <f t="shared" ref="F59:F93" si="16">$M$7</f>
        <v>289443.75</v>
      </c>
      <c r="G59" s="23">
        <f t="shared" ref="G59:G93" si="17">IF($D59&gt;=BenefitStart,N$7,F59)</f>
        <v>289443.75</v>
      </c>
      <c r="H59" s="24">
        <f>F59-G59</f>
        <v>0</v>
      </c>
      <c r="I59" s="23">
        <f t="shared" ref="I59:I93" si="18">$M$16</f>
        <v>119250900</v>
      </c>
      <c r="J59" s="23">
        <f t="shared" ref="J59:J93" si="19">IF($D59&gt;=BenefitStart,N$16,I59)</f>
        <v>119250900</v>
      </c>
      <c r="K59" s="24">
        <f t="shared" ref="K59:K93" si="20">I59-J59</f>
        <v>0</v>
      </c>
      <c r="L59" s="13">
        <f t="shared" ref="L59:L93" si="21">IF($D59&lt;=AnalysisEnd,H59,0)</f>
        <v>0</v>
      </c>
      <c r="M59" s="25">
        <f t="shared" ref="M59:M93" si="22">IF($D59&lt;=AnalysisEnd,K59,0)</f>
        <v>0</v>
      </c>
      <c r="N59" s="13">
        <f>SUM(L59:M59)</f>
        <v>0</v>
      </c>
      <c r="O59" s="13">
        <f>N59/(1+disc1)^($D59-'A - Inputs'!$C$6)</f>
        <v>0</v>
      </c>
      <c r="P59" s="25">
        <f>N59/(1+disc2)^($D59-'A - Inputs'!$C$6)</f>
        <v>0</v>
      </c>
    </row>
    <row r="60" spans="2:16" x14ac:dyDescent="0.25">
      <c r="D60" s="12">
        <f t="shared" ref="D60:D93" si="23">D59+1</f>
        <v>2021</v>
      </c>
      <c r="E60" s="27">
        <f t="shared" ref="E60:E93" si="24">E59+1</f>
        <v>2</v>
      </c>
      <c r="F60" s="23">
        <f t="shared" si="16"/>
        <v>289443.75</v>
      </c>
      <c r="G60" s="23">
        <f t="shared" si="17"/>
        <v>289443.75</v>
      </c>
      <c r="H60" s="24">
        <f t="shared" ref="H60:H93" si="25">F60-G60</f>
        <v>0</v>
      </c>
      <c r="I60" s="23">
        <f t="shared" si="18"/>
        <v>119250900</v>
      </c>
      <c r="J60" s="23">
        <f t="shared" si="19"/>
        <v>119250900</v>
      </c>
      <c r="K60" s="24">
        <f t="shared" si="20"/>
        <v>0</v>
      </c>
      <c r="L60" s="13">
        <f t="shared" si="21"/>
        <v>0</v>
      </c>
      <c r="M60" s="25">
        <f t="shared" si="22"/>
        <v>0</v>
      </c>
      <c r="N60" s="13">
        <f t="shared" ref="N60:N93" si="26">SUM(L60:M60)</f>
        <v>0</v>
      </c>
      <c r="O60" s="13">
        <f>N60/(1+disc1)^($D60-'A - Inputs'!$C$6)</f>
        <v>0</v>
      </c>
      <c r="P60" s="25">
        <f>N60/(1+disc2)^($D60-'A - Inputs'!$C$6)</f>
        <v>0</v>
      </c>
    </row>
    <row r="61" spans="2:16" x14ac:dyDescent="0.25">
      <c r="D61" s="12">
        <f t="shared" si="23"/>
        <v>2022</v>
      </c>
      <c r="E61" s="27">
        <f t="shared" si="24"/>
        <v>3</v>
      </c>
      <c r="F61" s="23">
        <f t="shared" si="16"/>
        <v>289443.75</v>
      </c>
      <c r="G61" s="23">
        <f t="shared" si="17"/>
        <v>289443.75</v>
      </c>
      <c r="H61" s="24">
        <f t="shared" si="25"/>
        <v>0</v>
      </c>
      <c r="I61" s="23">
        <f t="shared" si="18"/>
        <v>119250900</v>
      </c>
      <c r="J61" s="23">
        <f t="shared" si="19"/>
        <v>119250900</v>
      </c>
      <c r="K61" s="24">
        <f t="shared" si="20"/>
        <v>0</v>
      </c>
      <c r="L61" s="13">
        <f t="shared" si="21"/>
        <v>0</v>
      </c>
      <c r="M61" s="25">
        <f t="shared" si="22"/>
        <v>0</v>
      </c>
      <c r="N61" s="13">
        <f t="shared" si="26"/>
        <v>0</v>
      </c>
      <c r="O61" s="13">
        <f>N61/(1+disc1)^($D61-'A - Inputs'!$C$6)</f>
        <v>0</v>
      </c>
      <c r="P61" s="25">
        <f>N61/(1+disc2)^($D61-'A - Inputs'!$C$6)</f>
        <v>0</v>
      </c>
    </row>
    <row r="62" spans="2:16" x14ac:dyDescent="0.25">
      <c r="D62" s="12">
        <f t="shared" si="23"/>
        <v>2023</v>
      </c>
      <c r="E62" s="27">
        <f t="shared" si="24"/>
        <v>4</v>
      </c>
      <c r="F62" s="23">
        <f t="shared" si="16"/>
        <v>289443.75</v>
      </c>
      <c r="G62" s="23">
        <f t="shared" si="17"/>
        <v>289443.75</v>
      </c>
      <c r="H62" s="24">
        <f t="shared" si="25"/>
        <v>0</v>
      </c>
      <c r="I62" s="23">
        <f t="shared" si="18"/>
        <v>119250900</v>
      </c>
      <c r="J62" s="23">
        <f t="shared" si="19"/>
        <v>119250900</v>
      </c>
      <c r="K62" s="24">
        <f t="shared" si="20"/>
        <v>0</v>
      </c>
      <c r="L62" s="13">
        <f t="shared" si="21"/>
        <v>0</v>
      </c>
      <c r="M62" s="25">
        <f t="shared" si="22"/>
        <v>0</v>
      </c>
      <c r="N62" s="13">
        <f t="shared" si="26"/>
        <v>0</v>
      </c>
      <c r="O62" s="13">
        <f>N62/(1+disc1)^($D62-'A - Inputs'!$C$6)</f>
        <v>0</v>
      </c>
      <c r="P62" s="25">
        <f>N62/(1+disc2)^($D62-'A - Inputs'!$C$6)</f>
        <v>0</v>
      </c>
    </row>
    <row r="63" spans="2:16" x14ac:dyDescent="0.25">
      <c r="D63" s="12">
        <f t="shared" si="23"/>
        <v>2024</v>
      </c>
      <c r="E63" s="27">
        <f t="shared" si="24"/>
        <v>5</v>
      </c>
      <c r="F63" s="23">
        <f t="shared" si="16"/>
        <v>289443.75</v>
      </c>
      <c r="G63" s="23">
        <f t="shared" si="17"/>
        <v>289443.75</v>
      </c>
      <c r="H63" s="24">
        <f t="shared" si="25"/>
        <v>0</v>
      </c>
      <c r="I63" s="23">
        <f t="shared" si="18"/>
        <v>119250900</v>
      </c>
      <c r="J63" s="23">
        <f t="shared" si="19"/>
        <v>119250900</v>
      </c>
      <c r="K63" s="24">
        <f t="shared" si="20"/>
        <v>0</v>
      </c>
      <c r="L63" s="13">
        <f t="shared" si="21"/>
        <v>0</v>
      </c>
      <c r="M63" s="25">
        <f t="shared" si="22"/>
        <v>0</v>
      </c>
      <c r="N63" s="13">
        <f t="shared" si="26"/>
        <v>0</v>
      </c>
      <c r="O63" s="13">
        <f>N63/(1+disc1)^($D63-'A - Inputs'!$C$6)</f>
        <v>0</v>
      </c>
      <c r="P63" s="25">
        <f>N63/(1+disc2)^($D63-'A - Inputs'!$C$6)</f>
        <v>0</v>
      </c>
    </row>
    <row r="64" spans="2:16" x14ac:dyDescent="0.25">
      <c r="D64" s="12">
        <f t="shared" si="23"/>
        <v>2025</v>
      </c>
      <c r="E64" s="27">
        <f t="shared" si="24"/>
        <v>6</v>
      </c>
      <c r="F64" s="23">
        <f t="shared" si="16"/>
        <v>289443.75</v>
      </c>
      <c r="G64" s="23">
        <f t="shared" si="17"/>
        <v>289443.75</v>
      </c>
      <c r="H64" s="24">
        <f t="shared" si="25"/>
        <v>0</v>
      </c>
      <c r="I64" s="23">
        <f t="shared" si="18"/>
        <v>119250900</v>
      </c>
      <c r="J64" s="23">
        <f t="shared" si="19"/>
        <v>119250900</v>
      </c>
      <c r="K64" s="24">
        <f t="shared" si="20"/>
        <v>0</v>
      </c>
      <c r="L64" s="13">
        <f t="shared" si="21"/>
        <v>0</v>
      </c>
      <c r="M64" s="25">
        <f t="shared" si="22"/>
        <v>0</v>
      </c>
      <c r="N64" s="13">
        <f t="shared" si="26"/>
        <v>0</v>
      </c>
      <c r="O64" s="13">
        <f>N64/(1+disc1)^($D64-'A - Inputs'!$C$6)</f>
        <v>0</v>
      </c>
      <c r="P64" s="25">
        <f>N64/(1+disc2)^($D64-'A - Inputs'!$C$6)</f>
        <v>0</v>
      </c>
    </row>
    <row r="65" spans="4:16" x14ac:dyDescent="0.25">
      <c r="D65" s="12">
        <f t="shared" si="23"/>
        <v>2026</v>
      </c>
      <c r="E65" s="27">
        <f t="shared" si="24"/>
        <v>7</v>
      </c>
      <c r="F65" s="23">
        <f t="shared" si="16"/>
        <v>289443.75</v>
      </c>
      <c r="G65" s="23">
        <f t="shared" si="17"/>
        <v>218207.8125</v>
      </c>
      <c r="H65" s="24">
        <f t="shared" si="25"/>
        <v>71235.9375</v>
      </c>
      <c r="I65" s="23">
        <f t="shared" si="18"/>
        <v>119250900</v>
      </c>
      <c r="J65" s="23">
        <f t="shared" si="19"/>
        <v>113288355</v>
      </c>
      <c r="K65" s="24">
        <f t="shared" si="20"/>
        <v>5962545</v>
      </c>
      <c r="L65" s="13">
        <f t="shared" si="21"/>
        <v>71235.9375</v>
      </c>
      <c r="M65" s="25">
        <f t="shared" si="22"/>
        <v>5962545</v>
      </c>
      <c r="N65" s="13">
        <f t="shared" si="26"/>
        <v>6033780.9375</v>
      </c>
      <c r="O65" s="13">
        <f>N65/(1+disc1)^($D65-'A - Inputs'!$C$6)</f>
        <v>5053196.5434341906</v>
      </c>
      <c r="P65" s="25">
        <f>N65/(1+disc2)^($D65-'A - Inputs'!$C$6)</f>
        <v>4020563.0079154316</v>
      </c>
    </row>
    <row r="66" spans="4:16" x14ac:dyDescent="0.25">
      <c r="D66" s="12">
        <f t="shared" si="23"/>
        <v>2027</v>
      </c>
      <c r="E66" s="27">
        <f t="shared" si="24"/>
        <v>8</v>
      </c>
      <c r="F66" s="23">
        <f t="shared" si="16"/>
        <v>289443.75</v>
      </c>
      <c r="G66" s="23">
        <f t="shared" si="17"/>
        <v>218207.8125</v>
      </c>
      <c r="H66" s="24">
        <f t="shared" si="25"/>
        <v>71235.9375</v>
      </c>
      <c r="I66" s="23">
        <f t="shared" si="18"/>
        <v>119250900</v>
      </c>
      <c r="J66" s="23">
        <f t="shared" si="19"/>
        <v>113288355</v>
      </c>
      <c r="K66" s="24">
        <f t="shared" si="20"/>
        <v>5962545</v>
      </c>
      <c r="L66" s="13">
        <f t="shared" si="21"/>
        <v>71235.9375</v>
      </c>
      <c r="M66" s="25">
        <f t="shared" si="22"/>
        <v>5962545</v>
      </c>
      <c r="N66" s="13">
        <f t="shared" si="26"/>
        <v>6033780.9375</v>
      </c>
      <c r="O66" s="13">
        <f>N66/(1+disc1)^($D66-'A - Inputs'!$C$6)</f>
        <v>4906016.0615865933</v>
      </c>
      <c r="P66" s="25">
        <f>N66/(1+disc2)^($D66-'A - Inputs'!$C$6)</f>
        <v>3757535.5214162911</v>
      </c>
    </row>
    <row r="67" spans="4:16" x14ac:dyDescent="0.25">
      <c r="D67" s="12">
        <f t="shared" si="23"/>
        <v>2028</v>
      </c>
      <c r="E67" s="27">
        <f t="shared" si="24"/>
        <v>9</v>
      </c>
      <c r="F67" s="23">
        <f t="shared" si="16"/>
        <v>289443.75</v>
      </c>
      <c r="G67" s="23">
        <f t="shared" si="17"/>
        <v>218207.8125</v>
      </c>
      <c r="H67" s="24">
        <f t="shared" si="25"/>
        <v>71235.9375</v>
      </c>
      <c r="I67" s="23">
        <f t="shared" si="18"/>
        <v>119250900</v>
      </c>
      <c r="J67" s="23">
        <f t="shared" si="19"/>
        <v>113288355</v>
      </c>
      <c r="K67" s="24">
        <f t="shared" si="20"/>
        <v>5962545</v>
      </c>
      <c r="L67" s="13">
        <f t="shared" si="21"/>
        <v>71235.9375</v>
      </c>
      <c r="M67" s="25">
        <f t="shared" si="22"/>
        <v>5962545</v>
      </c>
      <c r="N67" s="13">
        <f t="shared" si="26"/>
        <v>6033780.9375</v>
      </c>
      <c r="O67" s="13">
        <f>N67/(1+disc1)^($D67-'A - Inputs'!$C$6)</f>
        <v>4763122.3898898968</v>
      </c>
      <c r="P67" s="25">
        <f>N67/(1+disc2)^($D67-'A - Inputs'!$C$6)</f>
        <v>3511715.4405759731</v>
      </c>
    </row>
    <row r="68" spans="4:16" x14ac:dyDescent="0.25">
      <c r="D68" s="12">
        <f t="shared" si="23"/>
        <v>2029</v>
      </c>
      <c r="E68" s="27">
        <f t="shared" si="24"/>
        <v>10</v>
      </c>
      <c r="F68" s="23">
        <f t="shared" si="16"/>
        <v>289443.75</v>
      </c>
      <c r="G68" s="23">
        <f t="shared" si="17"/>
        <v>218207.8125</v>
      </c>
      <c r="H68" s="24">
        <f t="shared" si="25"/>
        <v>71235.9375</v>
      </c>
      <c r="I68" s="23">
        <f t="shared" si="18"/>
        <v>119250900</v>
      </c>
      <c r="J68" s="23">
        <f t="shared" si="19"/>
        <v>113288355</v>
      </c>
      <c r="K68" s="24">
        <f t="shared" si="20"/>
        <v>5962545</v>
      </c>
      <c r="L68" s="13">
        <f t="shared" si="21"/>
        <v>71235.9375</v>
      </c>
      <c r="M68" s="25">
        <f t="shared" si="22"/>
        <v>5962545</v>
      </c>
      <c r="N68" s="13">
        <f t="shared" si="26"/>
        <v>6033780.9375</v>
      </c>
      <c r="O68" s="13">
        <f>N68/(1+disc1)^($D68-'A - Inputs'!$C$6)</f>
        <v>4624390.6697960161</v>
      </c>
      <c r="P68" s="25">
        <f>N68/(1+disc2)^($D68-'A - Inputs'!$C$6)</f>
        <v>3281977.0472672642</v>
      </c>
    </row>
    <row r="69" spans="4:16" x14ac:dyDescent="0.25">
      <c r="D69" s="12">
        <f t="shared" si="23"/>
        <v>2030</v>
      </c>
      <c r="E69" s="27">
        <f t="shared" si="24"/>
        <v>11</v>
      </c>
      <c r="F69" s="23">
        <f t="shared" si="16"/>
        <v>289443.75</v>
      </c>
      <c r="G69" s="23">
        <f t="shared" si="17"/>
        <v>218207.8125</v>
      </c>
      <c r="H69" s="24">
        <f t="shared" si="25"/>
        <v>71235.9375</v>
      </c>
      <c r="I69" s="23">
        <f t="shared" si="18"/>
        <v>119250900</v>
      </c>
      <c r="J69" s="23">
        <f t="shared" si="19"/>
        <v>113288355</v>
      </c>
      <c r="K69" s="24">
        <f t="shared" si="20"/>
        <v>5962545</v>
      </c>
      <c r="L69" s="13">
        <f t="shared" si="21"/>
        <v>71235.9375</v>
      </c>
      <c r="M69" s="25">
        <f t="shared" si="22"/>
        <v>5962545</v>
      </c>
      <c r="N69" s="13">
        <f t="shared" si="26"/>
        <v>6033780.9375</v>
      </c>
      <c r="O69" s="13">
        <f>N69/(1+disc1)^($D69-'A - Inputs'!$C$6)</f>
        <v>4489699.6794136073</v>
      </c>
      <c r="P69" s="25">
        <f>N69/(1+disc2)^($D69-'A - Inputs'!$C$6)</f>
        <v>3067268.2684740787</v>
      </c>
    </row>
    <row r="70" spans="4:16" x14ac:dyDescent="0.25">
      <c r="D70" s="12">
        <f t="shared" si="23"/>
        <v>2031</v>
      </c>
      <c r="E70" s="27">
        <f t="shared" si="24"/>
        <v>12</v>
      </c>
      <c r="F70" s="23">
        <f t="shared" si="16"/>
        <v>289443.75</v>
      </c>
      <c r="G70" s="23">
        <f t="shared" si="17"/>
        <v>218207.8125</v>
      </c>
      <c r="H70" s="24">
        <f t="shared" si="25"/>
        <v>71235.9375</v>
      </c>
      <c r="I70" s="23">
        <f t="shared" si="18"/>
        <v>119250900</v>
      </c>
      <c r="J70" s="23">
        <f t="shared" si="19"/>
        <v>113288355</v>
      </c>
      <c r="K70" s="24">
        <f t="shared" si="20"/>
        <v>5962545</v>
      </c>
      <c r="L70" s="13">
        <f t="shared" si="21"/>
        <v>71235.9375</v>
      </c>
      <c r="M70" s="25">
        <f t="shared" si="22"/>
        <v>5962545</v>
      </c>
      <c r="N70" s="13">
        <f t="shared" si="26"/>
        <v>6033780.9375</v>
      </c>
      <c r="O70" s="13">
        <f>N70/(1+disc1)^($D70-'A - Inputs'!$C$6)</f>
        <v>4358931.7275860272</v>
      </c>
      <c r="P70" s="25">
        <f>N70/(1+disc2)^($D70-'A - Inputs'!$C$6)</f>
        <v>2866605.8583869892</v>
      </c>
    </row>
    <row r="71" spans="4:16" x14ac:dyDescent="0.25">
      <c r="D71" s="12">
        <f t="shared" si="23"/>
        <v>2032</v>
      </c>
      <c r="E71" s="27">
        <f t="shared" si="24"/>
        <v>13</v>
      </c>
      <c r="F71" s="23">
        <f t="shared" si="16"/>
        <v>289443.75</v>
      </c>
      <c r="G71" s="23">
        <f t="shared" si="17"/>
        <v>218207.8125</v>
      </c>
      <c r="H71" s="24">
        <f t="shared" si="25"/>
        <v>71235.9375</v>
      </c>
      <c r="I71" s="23">
        <f t="shared" si="18"/>
        <v>119250900</v>
      </c>
      <c r="J71" s="23">
        <f t="shared" si="19"/>
        <v>113288355</v>
      </c>
      <c r="K71" s="24">
        <f t="shared" si="20"/>
        <v>5962545</v>
      </c>
      <c r="L71" s="13">
        <f t="shared" si="21"/>
        <v>71235.9375</v>
      </c>
      <c r="M71" s="25">
        <f t="shared" si="22"/>
        <v>5962545</v>
      </c>
      <c r="N71" s="13">
        <f t="shared" si="26"/>
        <v>6033780.9375</v>
      </c>
      <c r="O71" s="13">
        <f>N71/(1+disc1)^($D71-'A - Inputs'!$C$6)</f>
        <v>4231972.5510543957</v>
      </c>
      <c r="P71" s="25">
        <f>N71/(1+disc2)^($D71-'A - Inputs'!$C$6)</f>
        <v>2679070.8956887755</v>
      </c>
    </row>
    <row r="72" spans="4:16" x14ac:dyDescent="0.25">
      <c r="D72" s="12">
        <f t="shared" si="23"/>
        <v>2033</v>
      </c>
      <c r="E72" s="27">
        <f t="shared" si="24"/>
        <v>14</v>
      </c>
      <c r="F72" s="23">
        <f t="shared" si="16"/>
        <v>289443.75</v>
      </c>
      <c r="G72" s="23">
        <f t="shared" si="17"/>
        <v>218207.8125</v>
      </c>
      <c r="H72" s="24">
        <f t="shared" si="25"/>
        <v>71235.9375</v>
      </c>
      <c r="I72" s="23">
        <f t="shared" si="18"/>
        <v>119250900</v>
      </c>
      <c r="J72" s="23">
        <f t="shared" si="19"/>
        <v>113288355</v>
      </c>
      <c r="K72" s="24">
        <f t="shared" si="20"/>
        <v>5962545</v>
      </c>
      <c r="L72" s="13">
        <f t="shared" si="21"/>
        <v>0</v>
      </c>
      <c r="M72" s="25">
        <f t="shared" si="22"/>
        <v>0</v>
      </c>
      <c r="N72" s="13">
        <f t="shared" si="26"/>
        <v>0</v>
      </c>
      <c r="O72" s="13">
        <f>N72/(1+disc1)^($D72-'A - Inputs'!$C$6)</f>
        <v>0</v>
      </c>
      <c r="P72" s="25">
        <f>N72/(1+disc2)^($D72-'A - Inputs'!$C$6)</f>
        <v>0</v>
      </c>
    </row>
    <row r="73" spans="4:16" x14ac:dyDescent="0.25">
      <c r="D73" s="12">
        <f t="shared" si="23"/>
        <v>2034</v>
      </c>
      <c r="E73" s="27">
        <f t="shared" si="24"/>
        <v>15</v>
      </c>
      <c r="F73" s="23">
        <f t="shared" si="16"/>
        <v>289443.75</v>
      </c>
      <c r="G73" s="23">
        <f t="shared" si="17"/>
        <v>218207.8125</v>
      </c>
      <c r="H73" s="24">
        <f t="shared" si="25"/>
        <v>71235.9375</v>
      </c>
      <c r="I73" s="23">
        <f t="shared" si="18"/>
        <v>119250900</v>
      </c>
      <c r="J73" s="23">
        <f t="shared" si="19"/>
        <v>113288355</v>
      </c>
      <c r="K73" s="24">
        <f t="shared" si="20"/>
        <v>5962545</v>
      </c>
      <c r="L73" s="13">
        <f t="shared" si="21"/>
        <v>0</v>
      </c>
      <c r="M73" s="25">
        <f t="shared" si="22"/>
        <v>0</v>
      </c>
      <c r="N73" s="13">
        <f t="shared" si="26"/>
        <v>0</v>
      </c>
      <c r="O73" s="13">
        <f>N73/(1+disc1)^($D73-'A - Inputs'!$C$6)</f>
        <v>0</v>
      </c>
      <c r="P73" s="25">
        <f>N73/(1+disc2)^($D73-'A - Inputs'!$C$6)</f>
        <v>0</v>
      </c>
    </row>
    <row r="74" spans="4:16" x14ac:dyDescent="0.25">
      <c r="D74" s="12">
        <f t="shared" si="23"/>
        <v>2035</v>
      </c>
      <c r="E74" s="27">
        <f t="shared" si="24"/>
        <v>16</v>
      </c>
      <c r="F74" s="23">
        <f t="shared" si="16"/>
        <v>289443.75</v>
      </c>
      <c r="G74" s="23">
        <f t="shared" si="17"/>
        <v>218207.8125</v>
      </c>
      <c r="H74" s="24">
        <f t="shared" si="25"/>
        <v>71235.9375</v>
      </c>
      <c r="I74" s="23">
        <f t="shared" si="18"/>
        <v>119250900</v>
      </c>
      <c r="J74" s="23">
        <f t="shared" si="19"/>
        <v>113288355</v>
      </c>
      <c r="K74" s="24">
        <f t="shared" si="20"/>
        <v>5962545</v>
      </c>
      <c r="L74" s="13">
        <f t="shared" si="21"/>
        <v>0</v>
      </c>
      <c r="M74" s="25">
        <f t="shared" si="22"/>
        <v>0</v>
      </c>
      <c r="N74" s="13">
        <f t="shared" si="26"/>
        <v>0</v>
      </c>
      <c r="O74" s="13">
        <f>N74/(1+disc1)^($D74-'A - Inputs'!$C$6)</f>
        <v>0</v>
      </c>
      <c r="P74" s="25">
        <f>N74/(1+disc2)^($D74-'A - Inputs'!$C$6)</f>
        <v>0</v>
      </c>
    </row>
    <row r="75" spans="4:16" x14ac:dyDescent="0.25">
      <c r="D75" s="12">
        <f t="shared" si="23"/>
        <v>2036</v>
      </c>
      <c r="E75" s="27">
        <f t="shared" si="24"/>
        <v>17</v>
      </c>
      <c r="F75" s="23">
        <f t="shared" si="16"/>
        <v>289443.75</v>
      </c>
      <c r="G75" s="23">
        <f t="shared" si="17"/>
        <v>218207.8125</v>
      </c>
      <c r="H75" s="24">
        <f t="shared" si="25"/>
        <v>71235.9375</v>
      </c>
      <c r="I75" s="23">
        <f t="shared" si="18"/>
        <v>119250900</v>
      </c>
      <c r="J75" s="23">
        <f t="shared" si="19"/>
        <v>113288355</v>
      </c>
      <c r="K75" s="24">
        <f t="shared" si="20"/>
        <v>5962545</v>
      </c>
      <c r="L75" s="13">
        <f t="shared" si="21"/>
        <v>0</v>
      </c>
      <c r="M75" s="25">
        <f t="shared" si="22"/>
        <v>0</v>
      </c>
      <c r="N75" s="13">
        <f t="shared" si="26"/>
        <v>0</v>
      </c>
      <c r="O75" s="13">
        <f>N75/(1+disc1)^($D75-'A - Inputs'!$C$6)</f>
        <v>0</v>
      </c>
      <c r="P75" s="25">
        <f>N75/(1+disc2)^($D75-'A - Inputs'!$C$6)</f>
        <v>0</v>
      </c>
    </row>
    <row r="76" spans="4:16" x14ac:dyDescent="0.25">
      <c r="D76" s="12">
        <f t="shared" si="23"/>
        <v>2037</v>
      </c>
      <c r="E76" s="27">
        <f t="shared" si="24"/>
        <v>18</v>
      </c>
      <c r="F76" s="23">
        <f t="shared" si="16"/>
        <v>289443.75</v>
      </c>
      <c r="G76" s="23">
        <f t="shared" si="17"/>
        <v>218207.8125</v>
      </c>
      <c r="H76" s="24">
        <f t="shared" si="25"/>
        <v>71235.9375</v>
      </c>
      <c r="I76" s="23">
        <f t="shared" si="18"/>
        <v>119250900</v>
      </c>
      <c r="J76" s="23">
        <f t="shared" si="19"/>
        <v>113288355</v>
      </c>
      <c r="K76" s="24">
        <f t="shared" si="20"/>
        <v>5962545</v>
      </c>
      <c r="L76" s="13">
        <f t="shared" si="21"/>
        <v>0</v>
      </c>
      <c r="M76" s="25">
        <f t="shared" si="22"/>
        <v>0</v>
      </c>
      <c r="N76" s="13">
        <f t="shared" si="26"/>
        <v>0</v>
      </c>
      <c r="O76" s="13">
        <f>N76/(1+disc1)^($D76-'A - Inputs'!$C$6)</f>
        <v>0</v>
      </c>
      <c r="P76" s="25">
        <f>N76/(1+disc2)^($D76-'A - Inputs'!$C$6)</f>
        <v>0</v>
      </c>
    </row>
    <row r="77" spans="4:16" x14ac:dyDescent="0.25">
      <c r="D77" s="12">
        <f t="shared" si="23"/>
        <v>2038</v>
      </c>
      <c r="E77" s="27">
        <f t="shared" si="24"/>
        <v>19</v>
      </c>
      <c r="F77" s="23">
        <f t="shared" si="16"/>
        <v>289443.75</v>
      </c>
      <c r="G77" s="23">
        <f t="shared" si="17"/>
        <v>218207.8125</v>
      </c>
      <c r="H77" s="24">
        <f t="shared" si="25"/>
        <v>71235.9375</v>
      </c>
      <c r="I77" s="23">
        <f t="shared" si="18"/>
        <v>119250900</v>
      </c>
      <c r="J77" s="23">
        <f t="shared" si="19"/>
        <v>113288355</v>
      </c>
      <c r="K77" s="24">
        <f t="shared" si="20"/>
        <v>5962545</v>
      </c>
      <c r="L77" s="13">
        <f t="shared" si="21"/>
        <v>0</v>
      </c>
      <c r="M77" s="25">
        <f t="shared" si="22"/>
        <v>0</v>
      </c>
      <c r="N77" s="13">
        <f t="shared" si="26"/>
        <v>0</v>
      </c>
      <c r="O77" s="13">
        <f>N77/(1+disc1)^($D77-'A - Inputs'!$C$6)</f>
        <v>0</v>
      </c>
      <c r="P77" s="25">
        <f>N77/(1+disc2)^($D77-'A - Inputs'!$C$6)</f>
        <v>0</v>
      </c>
    </row>
    <row r="78" spans="4:16" x14ac:dyDescent="0.25">
      <c r="D78" s="12">
        <f t="shared" si="23"/>
        <v>2039</v>
      </c>
      <c r="E78" s="27">
        <f t="shared" si="24"/>
        <v>20</v>
      </c>
      <c r="F78" s="23">
        <f t="shared" si="16"/>
        <v>289443.75</v>
      </c>
      <c r="G78" s="23">
        <f t="shared" si="17"/>
        <v>218207.8125</v>
      </c>
      <c r="H78" s="24">
        <f t="shared" si="25"/>
        <v>71235.9375</v>
      </c>
      <c r="I78" s="23">
        <f t="shared" si="18"/>
        <v>119250900</v>
      </c>
      <c r="J78" s="23">
        <f t="shared" si="19"/>
        <v>113288355</v>
      </c>
      <c r="K78" s="24">
        <f t="shared" si="20"/>
        <v>5962545</v>
      </c>
      <c r="L78" s="13">
        <f t="shared" si="21"/>
        <v>0</v>
      </c>
      <c r="M78" s="25">
        <f t="shared" si="22"/>
        <v>0</v>
      </c>
      <c r="N78" s="13">
        <f t="shared" si="26"/>
        <v>0</v>
      </c>
      <c r="O78" s="13">
        <f>N78/(1+disc1)^($D78-'A - Inputs'!$C$6)</f>
        <v>0</v>
      </c>
      <c r="P78" s="25">
        <f>N78/(1+disc2)^($D78-'A - Inputs'!$C$6)</f>
        <v>0</v>
      </c>
    </row>
    <row r="79" spans="4:16" x14ac:dyDescent="0.25">
      <c r="D79" s="12">
        <f t="shared" si="23"/>
        <v>2040</v>
      </c>
      <c r="E79" s="27">
        <f t="shared" si="24"/>
        <v>21</v>
      </c>
      <c r="F79" s="23">
        <f t="shared" si="16"/>
        <v>289443.75</v>
      </c>
      <c r="G79" s="23">
        <f t="shared" si="17"/>
        <v>218207.8125</v>
      </c>
      <c r="H79" s="24">
        <f t="shared" si="25"/>
        <v>71235.9375</v>
      </c>
      <c r="I79" s="23">
        <f t="shared" si="18"/>
        <v>119250900</v>
      </c>
      <c r="J79" s="23">
        <f t="shared" si="19"/>
        <v>113288355</v>
      </c>
      <c r="K79" s="24">
        <f t="shared" si="20"/>
        <v>5962545</v>
      </c>
      <c r="L79" s="13">
        <f t="shared" si="21"/>
        <v>0</v>
      </c>
      <c r="M79" s="25">
        <f t="shared" si="22"/>
        <v>0</v>
      </c>
      <c r="N79" s="13">
        <f t="shared" si="26"/>
        <v>0</v>
      </c>
      <c r="O79" s="13">
        <f>N79/(1+disc1)^($D79-'A - Inputs'!$C$6)</f>
        <v>0</v>
      </c>
      <c r="P79" s="25">
        <f>N79/(1+disc2)^($D79-'A - Inputs'!$C$6)</f>
        <v>0</v>
      </c>
    </row>
    <row r="80" spans="4:16" x14ac:dyDescent="0.25">
      <c r="D80" s="12">
        <f t="shared" si="23"/>
        <v>2041</v>
      </c>
      <c r="E80" s="27">
        <f t="shared" si="24"/>
        <v>22</v>
      </c>
      <c r="F80" s="23">
        <f t="shared" si="16"/>
        <v>289443.75</v>
      </c>
      <c r="G80" s="23">
        <f t="shared" si="17"/>
        <v>218207.8125</v>
      </c>
      <c r="H80" s="24">
        <f t="shared" si="25"/>
        <v>71235.9375</v>
      </c>
      <c r="I80" s="23">
        <f t="shared" si="18"/>
        <v>119250900</v>
      </c>
      <c r="J80" s="23">
        <f t="shared" si="19"/>
        <v>113288355</v>
      </c>
      <c r="K80" s="24">
        <f t="shared" si="20"/>
        <v>5962545</v>
      </c>
      <c r="L80" s="13">
        <f t="shared" si="21"/>
        <v>0</v>
      </c>
      <c r="M80" s="25">
        <f t="shared" si="22"/>
        <v>0</v>
      </c>
      <c r="N80" s="13">
        <f t="shared" si="26"/>
        <v>0</v>
      </c>
      <c r="O80" s="13">
        <f>N80/(1+disc1)^($D80-'A - Inputs'!$C$6)</f>
        <v>0</v>
      </c>
      <c r="P80" s="25">
        <f>N80/(1+disc2)^($D80-'A - Inputs'!$C$6)</f>
        <v>0</v>
      </c>
    </row>
    <row r="81" spans="4:16" x14ac:dyDescent="0.25">
      <c r="D81" s="12">
        <f t="shared" si="23"/>
        <v>2042</v>
      </c>
      <c r="E81" s="27">
        <f t="shared" si="24"/>
        <v>23</v>
      </c>
      <c r="F81" s="23">
        <f t="shared" si="16"/>
        <v>289443.75</v>
      </c>
      <c r="G81" s="23">
        <f t="shared" si="17"/>
        <v>218207.8125</v>
      </c>
      <c r="H81" s="24">
        <f t="shared" si="25"/>
        <v>71235.9375</v>
      </c>
      <c r="I81" s="23">
        <f t="shared" si="18"/>
        <v>119250900</v>
      </c>
      <c r="J81" s="23">
        <f t="shared" si="19"/>
        <v>113288355</v>
      </c>
      <c r="K81" s="24">
        <f t="shared" si="20"/>
        <v>5962545</v>
      </c>
      <c r="L81" s="13">
        <f t="shared" si="21"/>
        <v>0</v>
      </c>
      <c r="M81" s="25">
        <f t="shared" si="22"/>
        <v>0</v>
      </c>
      <c r="N81" s="13">
        <f t="shared" si="26"/>
        <v>0</v>
      </c>
      <c r="O81" s="13">
        <f>N81/(1+disc1)^($D81-'A - Inputs'!$C$6)</f>
        <v>0</v>
      </c>
      <c r="P81" s="25">
        <f>N81/(1+disc2)^($D81-'A - Inputs'!$C$6)</f>
        <v>0</v>
      </c>
    </row>
    <row r="82" spans="4:16" x14ac:dyDescent="0.25">
      <c r="D82" s="12">
        <f t="shared" si="23"/>
        <v>2043</v>
      </c>
      <c r="E82" s="27">
        <f t="shared" si="24"/>
        <v>24</v>
      </c>
      <c r="F82" s="23">
        <f t="shared" si="16"/>
        <v>289443.75</v>
      </c>
      <c r="G82" s="23">
        <f t="shared" si="17"/>
        <v>218207.8125</v>
      </c>
      <c r="H82" s="24">
        <f t="shared" si="25"/>
        <v>71235.9375</v>
      </c>
      <c r="I82" s="23">
        <f t="shared" si="18"/>
        <v>119250900</v>
      </c>
      <c r="J82" s="23">
        <f t="shared" si="19"/>
        <v>113288355</v>
      </c>
      <c r="K82" s="24">
        <f t="shared" si="20"/>
        <v>5962545</v>
      </c>
      <c r="L82" s="13">
        <f t="shared" si="21"/>
        <v>0</v>
      </c>
      <c r="M82" s="25">
        <f t="shared" si="22"/>
        <v>0</v>
      </c>
      <c r="N82" s="13">
        <f t="shared" si="26"/>
        <v>0</v>
      </c>
      <c r="O82" s="13">
        <f>N82/(1+disc1)^($D82-'A - Inputs'!$C$6)</f>
        <v>0</v>
      </c>
      <c r="P82" s="25">
        <f>N82/(1+disc2)^($D82-'A - Inputs'!$C$6)</f>
        <v>0</v>
      </c>
    </row>
    <row r="83" spans="4:16" x14ac:dyDescent="0.25">
      <c r="D83" s="12">
        <f t="shared" si="23"/>
        <v>2044</v>
      </c>
      <c r="E83" s="27">
        <f t="shared" si="24"/>
        <v>25</v>
      </c>
      <c r="F83" s="23">
        <f t="shared" si="16"/>
        <v>289443.75</v>
      </c>
      <c r="G83" s="23">
        <f t="shared" si="17"/>
        <v>218207.8125</v>
      </c>
      <c r="H83" s="24">
        <f t="shared" si="25"/>
        <v>71235.9375</v>
      </c>
      <c r="I83" s="23">
        <f t="shared" si="18"/>
        <v>119250900</v>
      </c>
      <c r="J83" s="23">
        <f t="shared" si="19"/>
        <v>113288355</v>
      </c>
      <c r="K83" s="24">
        <f t="shared" si="20"/>
        <v>5962545</v>
      </c>
      <c r="L83" s="13">
        <f t="shared" si="21"/>
        <v>0</v>
      </c>
      <c r="M83" s="25">
        <f t="shared" si="22"/>
        <v>0</v>
      </c>
      <c r="N83" s="13">
        <f t="shared" si="26"/>
        <v>0</v>
      </c>
      <c r="O83" s="13">
        <f>N83/(1+disc1)^($D83-'A - Inputs'!$C$6)</f>
        <v>0</v>
      </c>
      <c r="P83" s="25">
        <f>N83/(1+disc2)^($D83-'A - Inputs'!$C$6)</f>
        <v>0</v>
      </c>
    </row>
    <row r="84" spans="4:16" x14ac:dyDescent="0.25">
      <c r="D84" s="12">
        <f t="shared" si="23"/>
        <v>2045</v>
      </c>
      <c r="E84" s="27">
        <f t="shared" si="24"/>
        <v>26</v>
      </c>
      <c r="F84" s="23">
        <f t="shared" si="16"/>
        <v>289443.75</v>
      </c>
      <c r="G84" s="23">
        <f t="shared" si="17"/>
        <v>218207.8125</v>
      </c>
      <c r="H84" s="24">
        <f t="shared" si="25"/>
        <v>71235.9375</v>
      </c>
      <c r="I84" s="23">
        <f t="shared" si="18"/>
        <v>119250900</v>
      </c>
      <c r="J84" s="23">
        <f t="shared" si="19"/>
        <v>113288355</v>
      </c>
      <c r="K84" s="24">
        <f t="shared" si="20"/>
        <v>5962545</v>
      </c>
      <c r="L84" s="13">
        <f t="shared" si="21"/>
        <v>0</v>
      </c>
      <c r="M84" s="25">
        <f t="shared" si="22"/>
        <v>0</v>
      </c>
      <c r="N84" s="13">
        <f t="shared" si="26"/>
        <v>0</v>
      </c>
      <c r="O84" s="13">
        <f>N84/(1+disc1)^($D84-'A - Inputs'!$C$6)</f>
        <v>0</v>
      </c>
      <c r="P84" s="25">
        <f>N84/(1+disc2)^($D84-'A - Inputs'!$C$6)</f>
        <v>0</v>
      </c>
    </row>
    <row r="85" spans="4:16" x14ac:dyDescent="0.25">
      <c r="D85" s="12">
        <f t="shared" si="23"/>
        <v>2046</v>
      </c>
      <c r="E85" s="27">
        <f t="shared" si="24"/>
        <v>27</v>
      </c>
      <c r="F85" s="23">
        <f t="shared" si="16"/>
        <v>289443.75</v>
      </c>
      <c r="G85" s="23">
        <f t="shared" si="17"/>
        <v>218207.8125</v>
      </c>
      <c r="H85" s="24">
        <f t="shared" si="25"/>
        <v>71235.9375</v>
      </c>
      <c r="I85" s="23">
        <f t="shared" si="18"/>
        <v>119250900</v>
      </c>
      <c r="J85" s="23">
        <f t="shared" si="19"/>
        <v>113288355</v>
      </c>
      <c r="K85" s="24">
        <f t="shared" si="20"/>
        <v>5962545</v>
      </c>
      <c r="L85" s="13">
        <f t="shared" si="21"/>
        <v>0</v>
      </c>
      <c r="M85" s="25">
        <f t="shared" si="22"/>
        <v>0</v>
      </c>
      <c r="N85" s="13">
        <f t="shared" si="26"/>
        <v>0</v>
      </c>
      <c r="O85" s="13">
        <f>N85/(1+disc1)^($D85-'A - Inputs'!$C$6)</f>
        <v>0</v>
      </c>
      <c r="P85" s="25">
        <f>N85/(1+disc2)^($D85-'A - Inputs'!$C$6)</f>
        <v>0</v>
      </c>
    </row>
    <row r="86" spans="4:16" x14ac:dyDescent="0.25">
      <c r="D86" s="12">
        <f t="shared" si="23"/>
        <v>2047</v>
      </c>
      <c r="E86" s="27">
        <f t="shared" si="24"/>
        <v>28</v>
      </c>
      <c r="F86" s="23">
        <f t="shared" si="16"/>
        <v>289443.75</v>
      </c>
      <c r="G86" s="23">
        <f t="shared" si="17"/>
        <v>218207.8125</v>
      </c>
      <c r="H86" s="24">
        <f t="shared" si="25"/>
        <v>71235.9375</v>
      </c>
      <c r="I86" s="23">
        <f t="shared" si="18"/>
        <v>119250900</v>
      </c>
      <c r="J86" s="23">
        <f t="shared" si="19"/>
        <v>113288355</v>
      </c>
      <c r="K86" s="24">
        <f t="shared" si="20"/>
        <v>5962545</v>
      </c>
      <c r="L86" s="13">
        <f t="shared" si="21"/>
        <v>0</v>
      </c>
      <c r="M86" s="25">
        <f t="shared" si="22"/>
        <v>0</v>
      </c>
      <c r="N86" s="13">
        <f t="shared" si="26"/>
        <v>0</v>
      </c>
      <c r="O86" s="13">
        <f>N86/(1+disc1)^($D86-'A - Inputs'!$C$6)</f>
        <v>0</v>
      </c>
      <c r="P86" s="25">
        <f>N86/(1+disc2)^($D86-'A - Inputs'!$C$6)</f>
        <v>0</v>
      </c>
    </row>
    <row r="87" spans="4:16" x14ac:dyDescent="0.25">
      <c r="D87" s="12">
        <f t="shared" si="23"/>
        <v>2048</v>
      </c>
      <c r="E87" s="27">
        <f t="shared" si="24"/>
        <v>29</v>
      </c>
      <c r="F87" s="23">
        <f t="shared" si="16"/>
        <v>289443.75</v>
      </c>
      <c r="G87" s="23">
        <f t="shared" si="17"/>
        <v>218207.8125</v>
      </c>
      <c r="H87" s="24">
        <f t="shared" si="25"/>
        <v>71235.9375</v>
      </c>
      <c r="I87" s="23">
        <f t="shared" si="18"/>
        <v>119250900</v>
      </c>
      <c r="J87" s="23">
        <f t="shared" si="19"/>
        <v>113288355</v>
      </c>
      <c r="K87" s="24">
        <f t="shared" si="20"/>
        <v>5962545</v>
      </c>
      <c r="L87" s="13">
        <f t="shared" si="21"/>
        <v>0</v>
      </c>
      <c r="M87" s="25">
        <f t="shared" si="22"/>
        <v>0</v>
      </c>
      <c r="N87" s="13">
        <f t="shared" si="26"/>
        <v>0</v>
      </c>
      <c r="O87" s="13">
        <f>N87/(1+disc1)^($D87-'A - Inputs'!$C$6)</f>
        <v>0</v>
      </c>
      <c r="P87" s="25">
        <f>N87/(1+disc2)^($D87-'A - Inputs'!$C$6)</f>
        <v>0</v>
      </c>
    </row>
    <row r="88" spans="4:16" x14ac:dyDescent="0.25">
      <c r="D88" s="12">
        <f t="shared" si="23"/>
        <v>2049</v>
      </c>
      <c r="E88" s="27">
        <f t="shared" si="24"/>
        <v>30</v>
      </c>
      <c r="F88" s="23">
        <f t="shared" si="16"/>
        <v>289443.75</v>
      </c>
      <c r="G88" s="23">
        <f t="shared" si="17"/>
        <v>218207.8125</v>
      </c>
      <c r="H88" s="24">
        <f t="shared" si="25"/>
        <v>71235.9375</v>
      </c>
      <c r="I88" s="23">
        <f t="shared" si="18"/>
        <v>119250900</v>
      </c>
      <c r="J88" s="23">
        <f t="shared" si="19"/>
        <v>113288355</v>
      </c>
      <c r="K88" s="24">
        <f t="shared" si="20"/>
        <v>5962545</v>
      </c>
      <c r="L88" s="13">
        <f t="shared" si="21"/>
        <v>0</v>
      </c>
      <c r="M88" s="25">
        <f t="shared" si="22"/>
        <v>0</v>
      </c>
      <c r="N88" s="13">
        <f t="shared" si="26"/>
        <v>0</v>
      </c>
      <c r="O88" s="13">
        <f>N88/(1+disc1)^($D88-'A - Inputs'!$C$6)</f>
        <v>0</v>
      </c>
      <c r="P88" s="25">
        <f>N88/(1+disc2)^($D88-'A - Inputs'!$C$6)</f>
        <v>0</v>
      </c>
    </row>
    <row r="89" spans="4:16" x14ac:dyDescent="0.25">
      <c r="D89" s="12">
        <f t="shared" si="23"/>
        <v>2050</v>
      </c>
      <c r="E89" s="27">
        <f t="shared" si="24"/>
        <v>31</v>
      </c>
      <c r="F89" s="23">
        <f t="shared" si="16"/>
        <v>289443.75</v>
      </c>
      <c r="G89" s="23">
        <f t="shared" si="17"/>
        <v>218207.8125</v>
      </c>
      <c r="H89" s="24">
        <f t="shared" si="25"/>
        <v>71235.9375</v>
      </c>
      <c r="I89" s="23">
        <f t="shared" si="18"/>
        <v>119250900</v>
      </c>
      <c r="J89" s="23">
        <f t="shared" si="19"/>
        <v>113288355</v>
      </c>
      <c r="K89" s="24">
        <f t="shared" si="20"/>
        <v>5962545</v>
      </c>
      <c r="L89" s="13">
        <f t="shared" si="21"/>
        <v>0</v>
      </c>
      <c r="M89" s="25">
        <f t="shared" si="22"/>
        <v>0</v>
      </c>
      <c r="N89" s="13">
        <f t="shared" si="26"/>
        <v>0</v>
      </c>
      <c r="O89" s="13">
        <f>N89/(1+disc1)^($D89-'A - Inputs'!$C$6)</f>
        <v>0</v>
      </c>
      <c r="P89" s="25">
        <f>N89/(1+disc2)^($D89-'A - Inputs'!$C$6)</f>
        <v>0</v>
      </c>
    </row>
    <row r="90" spans="4:16" x14ac:dyDescent="0.25">
      <c r="D90" s="12">
        <f t="shared" si="23"/>
        <v>2051</v>
      </c>
      <c r="E90" s="27">
        <f t="shared" si="24"/>
        <v>32</v>
      </c>
      <c r="F90" s="23">
        <f t="shared" si="16"/>
        <v>289443.75</v>
      </c>
      <c r="G90" s="23">
        <f t="shared" si="17"/>
        <v>218207.8125</v>
      </c>
      <c r="H90" s="24">
        <f t="shared" si="25"/>
        <v>71235.9375</v>
      </c>
      <c r="I90" s="23">
        <f t="shared" si="18"/>
        <v>119250900</v>
      </c>
      <c r="J90" s="23">
        <f t="shared" si="19"/>
        <v>113288355</v>
      </c>
      <c r="K90" s="24">
        <f t="shared" si="20"/>
        <v>5962545</v>
      </c>
      <c r="L90" s="13">
        <f t="shared" si="21"/>
        <v>0</v>
      </c>
      <c r="M90" s="25">
        <f t="shared" si="22"/>
        <v>0</v>
      </c>
      <c r="N90" s="13">
        <f t="shared" si="26"/>
        <v>0</v>
      </c>
      <c r="O90" s="13">
        <f>N90/(1+disc1)^($D90-'A - Inputs'!$C$6)</f>
        <v>0</v>
      </c>
      <c r="P90" s="25">
        <f>N90/(1+disc2)^($D90-'A - Inputs'!$C$6)</f>
        <v>0</v>
      </c>
    </row>
    <row r="91" spans="4:16" x14ac:dyDescent="0.25">
      <c r="D91" s="12">
        <f t="shared" si="23"/>
        <v>2052</v>
      </c>
      <c r="E91" s="27">
        <f t="shared" si="24"/>
        <v>33</v>
      </c>
      <c r="F91" s="23">
        <f t="shared" si="16"/>
        <v>289443.75</v>
      </c>
      <c r="G91" s="23">
        <f t="shared" si="17"/>
        <v>218207.8125</v>
      </c>
      <c r="H91" s="24">
        <f t="shared" si="25"/>
        <v>71235.9375</v>
      </c>
      <c r="I91" s="23">
        <f t="shared" si="18"/>
        <v>119250900</v>
      </c>
      <c r="J91" s="23">
        <f t="shared" si="19"/>
        <v>113288355</v>
      </c>
      <c r="K91" s="24">
        <f t="shared" si="20"/>
        <v>5962545</v>
      </c>
      <c r="L91" s="13">
        <f t="shared" si="21"/>
        <v>0</v>
      </c>
      <c r="M91" s="25">
        <f t="shared" si="22"/>
        <v>0</v>
      </c>
      <c r="N91" s="13">
        <f t="shared" si="26"/>
        <v>0</v>
      </c>
      <c r="O91" s="13">
        <f>N91/(1+disc1)^($D91-'A - Inputs'!$C$6)</f>
        <v>0</v>
      </c>
      <c r="P91" s="25">
        <f>N91/(1+disc2)^($D91-'A - Inputs'!$C$6)</f>
        <v>0</v>
      </c>
    </row>
    <row r="92" spans="4:16" x14ac:dyDescent="0.25">
      <c r="D92" s="12">
        <f t="shared" si="23"/>
        <v>2053</v>
      </c>
      <c r="E92" s="27">
        <f t="shared" si="24"/>
        <v>34</v>
      </c>
      <c r="F92" s="23">
        <f t="shared" si="16"/>
        <v>289443.75</v>
      </c>
      <c r="G92" s="23">
        <f t="shared" si="17"/>
        <v>218207.8125</v>
      </c>
      <c r="H92" s="24">
        <f t="shared" si="25"/>
        <v>71235.9375</v>
      </c>
      <c r="I92" s="23">
        <f t="shared" si="18"/>
        <v>119250900</v>
      </c>
      <c r="J92" s="23">
        <f t="shared" si="19"/>
        <v>113288355</v>
      </c>
      <c r="K92" s="24">
        <f t="shared" si="20"/>
        <v>5962545</v>
      </c>
      <c r="L92" s="13">
        <f t="shared" si="21"/>
        <v>0</v>
      </c>
      <c r="M92" s="25">
        <f t="shared" si="22"/>
        <v>0</v>
      </c>
      <c r="N92" s="13">
        <f t="shared" si="26"/>
        <v>0</v>
      </c>
      <c r="O92" s="13">
        <f>N92/(1+disc1)^($D92-'A - Inputs'!$C$6)</f>
        <v>0</v>
      </c>
      <c r="P92" s="25">
        <f>N92/(1+disc2)^($D92-'A - Inputs'!$C$6)</f>
        <v>0</v>
      </c>
    </row>
    <row r="93" spans="4:16" x14ac:dyDescent="0.25">
      <c r="D93" s="12">
        <f t="shared" si="23"/>
        <v>2054</v>
      </c>
      <c r="E93" s="27">
        <f t="shared" si="24"/>
        <v>35</v>
      </c>
      <c r="F93" s="23">
        <f t="shared" si="16"/>
        <v>289443.75</v>
      </c>
      <c r="G93" s="23">
        <f t="shared" si="17"/>
        <v>218207.8125</v>
      </c>
      <c r="H93" s="24">
        <f t="shared" si="25"/>
        <v>71235.9375</v>
      </c>
      <c r="I93" s="23">
        <f t="shared" si="18"/>
        <v>119250900</v>
      </c>
      <c r="J93" s="23">
        <f t="shared" si="19"/>
        <v>113288355</v>
      </c>
      <c r="K93" s="24">
        <f t="shared" si="20"/>
        <v>5962545</v>
      </c>
      <c r="L93" s="13">
        <f t="shared" si="21"/>
        <v>0</v>
      </c>
      <c r="M93" s="25">
        <f t="shared" si="22"/>
        <v>0</v>
      </c>
      <c r="N93" s="13">
        <f t="shared" si="26"/>
        <v>0</v>
      </c>
      <c r="O93" s="13">
        <f>N93/(1+disc1)^($D93-'A - Inputs'!$C$6)</f>
        <v>0</v>
      </c>
      <c r="P93" s="25">
        <f>N93/(1+disc2)^($D93-'A - Inputs'!$C$6)</f>
        <v>0</v>
      </c>
    </row>
    <row r="94" spans="4:16" x14ac:dyDescent="0.25">
      <c r="D94" s="28" t="s">
        <v>48</v>
      </c>
      <c r="E94" s="29"/>
      <c r="F94" s="30">
        <f t="shared" ref="F94:G94" si="27">SUM(F59:F93)</f>
        <v>10130531.25</v>
      </c>
      <c r="G94" s="278">
        <f t="shared" si="27"/>
        <v>8064689.0625</v>
      </c>
      <c r="H94" s="31">
        <f>SUM(H59:H93)</f>
        <v>2065842.1875</v>
      </c>
      <c r="I94" s="30">
        <f t="shared" ref="I94:J94" si="28">SUM(I59:I93)</f>
        <v>4173781500</v>
      </c>
      <c r="J94" s="278">
        <f t="shared" si="28"/>
        <v>4000867695</v>
      </c>
      <c r="K94" s="31">
        <f>SUM(K59:K93)</f>
        <v>172913805</v>
      </c>
      <c r="L94" s="32">
        <f t="shared" ref="L94" si="29">SUM(L59:L93)</f>
        <v>498651.5625</v>
      </c>
      <c r="M94" s="33">
        <f>SUM(M59:M93)</f>
        <v>41737815</v>
      </c>
      <c r="N94" s="32">
        <f>SUM(N59:N93)</f>
        <v>42236466.5625</v>
      </c>
      <c r="O94" s="32">
        <f>SUM(O59:O93)</f>
        <v>32427329.622760724</v>
      </c>
      <c r="P94" s="33">
        <f>SUM(P59:P93)</f>
        <v>23184736.039724804</v>
      </c>
    </row>
  </sheetData>
  <pageMargins left="0.7" right="0.7" top="0.75" bottom="0.75" header="0.3" footer="0.3"/>
  <pageSetup scale="65" orientation="landscape" horizontalDpi="90" verticalDpi="90" r:id="rId1"/>
  <headerFooter>
    <oddHeader>&amp;L&amp;"Arial,Bold"Florida Department of Transportation - SMART St. Augustine&amp;R&amp;"Arial,Bold"&amp;A</oddHeader>
    <oddFooter>&amp;CPage E-&amp;P</oddFooter>
  </headerFooter>
  <colBreaks count="1" manualBreakCount="1">
    <brk id="9" min="1" max="52"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CD970-28B8-46EC-A5C2-13773FB08721}">
  <dimension ref="A1:P94"/>
  <sheetViews>
    <sheetView topLeftCell="A13" zoomScale="85" zoomScaleNormal="85" workbookViewId="0">
      <selection activeCell="C25" sqref="C25"/>
    </sheetView>
  </sheetViews>
  <sheetFormatPr defaultColWidth="8.7109375" defaultRowHeight="15" x14ac:dyDescent="0.25"/>
  <cols>
    <col min="1" max="1" width="4.140625" style="57" customWidth="1"/>
    <col min="2" max="2" width="56.85546875" style="57" bestFit="1" customWidth="1"/>
    <col min="3" max="4" width="13.28515625" style="57" customWidth="1"/>
    <col min="5" max="5" width="8.7109375" style="57"/>
    <col min="6" max="7" width="10.7109375" style="89" customWidth="1"/>
    <col min="8" max="9" width="18.140625" style="89" bestFit="1" customWidth="1"/>
    <col min="10" max="13" width="13.42578125" style="89" customWidth="1"/>
    <col min="14" max="14" width="14.140625" style="89" bestFit="1" customWidth="1"/>
    <col min="15" max="16" width="16.140625" style="89" customWidth="1"/>
    <col min="17" max="16384" width="8.7109375" style="57"/>
  </cols>
  <sheetData>
    <row r="1" spans="1:16" s="56" customFormat="1" x14ac:dyDescent="0.25">
      <c r="A1" s="257"/>
      <c r="B1" s="257"/>
      <c r="C1" s="257"/>
      <c r="D1" s="257"/>
      <c r="E1" s="257"/>
      <c r="F1" s="89"/>
      <c r="G1" s="89"/>
      <c r="H1" s="89"/>
      <c r="I1" s="89"/>
      <c r="J1" s="89"/>
      <c r="K1" s="89"/>
      <c r="L1" s="89"/>
      <c r="M1" s="89"/>
      <c r="N1" s="89"/>
      <c r="O1" s="89"/>
      <c r="P1" s="89"/>
    </row>
    <row r="2" spans="1:16" ht="15.6" customHeight="1" x14ac:dyDescent="0.25">
      <c r="A2" s="254"/>
      <c r="B2" s="236" t="s">
        <v>179</v>
      </c>
      <c r="C2" s="254"/>
      <c r="D2"/>
      <c r="E2" s="254"/>
    </row>
    <row r="3" spans="1:16" ht="15.6" customHeight="1" x14ac:dyDescent="0.25">
      <c r="A3" s="254"/>
      <c r="B3" s="255" t="s">
        <v>180</v>
      </c>
      <c r="C3" s="227">
        <v>6125.72</v>
      </c>
      <c r="D3" s="153" t="s">
        <v>181</v>
      </c>
      <c r="E3" s="254"/>
    </row>
    <row r="4" spans="1:16" ht="15.6" customHeight="1" x14ac:dyDescent="0.25">
      <c r="A4" s="258"/>
      <c r="B4" s="255" t="s">
        <v>182</v>
      </c>
      <c r="C4" s="230">
        <v>0.36</v>
      </c>
      <c r="D4" s="89"/>
      <c r="E4" s="254"/>
      <c r="J4"/>
      <c r="K4"/>
      <c r="L4"/>
      <c r="M4"/>
    </row>
    <row r="5" spans="1:16" ht="15.6" customHeight="1" x14ac:dyDescent="0.25">
      <c r="A5" s="254"/>
      <c r="B5" s="255" t="s">
        <v>183</v>
      </c>
      <c r="C5" s="228">
        <f>C3*C4</f>
        <v>2205.2592</v>
      </c>
      <c r="D5" s="89"/>
      <c r="E5" s="254"/>
      <c r="J5"/>
      <c r="K5"/>
      <c r="L5"/>
      <c r="M5"/>
    </row>
    <row r="6" spans="1:16" ht="15.6" customHeight="1" x14ac:dyDescent="0.25">
      <c r="A6" s="254"/>
      <c r="B6" s="255" t="s">
        <v>184</v>
      </c>
      <c r="C6" s="160">
        <f>YearDays</f>
        <v>365</v>
      </c>
      <c r="D6" s="89"/>
      <c r="E6" s="254"/>
      <c r="J6"/>
      <c r="K6"/>
      <c r="L6"/>
      <c r="M6"/>
    </row>
    <row r="7" spans="1:16" ht="15.6" customHeight="1" x14ac:dyDescent="0.25">
      <c r="A7" s="254"/>
      <c r="B7" s="255" t="s">
        <v>185</v>
      </c>
      <c r="C7" s="228">
        <f>C5*C6</f>
        <v>804919.60800000001</v>
      </c>
      <c r="D7" s="89"/>
      <c r="E7" s="254"/>
      <c r="J7"/>
      <c r="K7"/>
      <c r="L7"/>
      <c r="M7"/>
    </row>
    <row r="8" spans="1:16" ht="15.6" customHeight="1" x14ac:dyDescent="0.25">
      <c r="A8" s="254"/>
      <c r="B8" s="255" t="s">
        <v>186</v>
      </c>
      <c r="C8" s="229">
        <f>C34</f>
        <v>0.1</v>
      </c>
      <c r="D8" s="89"/>
      <c r="E8" s="254"/>
      <c r="J8"/>
      <c r="K8"/>
      <c r="L8"/>
      <c r="M8"/>
    </row>
    <row r="9" spans="1:16" ht="15.6" customHeight="1" x14ac:dyDescent="0.25">
      <c r="A9" s="254"/>
      <c r="B9" s="255" t="s">
        <v>187</v>
      </c>
      <c r="C9" s="228">
        <f>C7*C8</f>
        <v>80491.960800000001</v>
      </c>
      <c r="D9" s="89"/>
      <c r="E9" s="254"/>
      <c r="J9"/>
      <c r="K9"/>
      <c r="L9"/>
      <c r="M9"/>
    </row>
    <row r="10" spans="1:16" ht="15.6" customHeight="1" x14ac:dyDescent="0.25">
      <c r="A10" s="254"/>
      <c r="B10" s="236" t="s">
        <v>188</v>
      </c>
      <c r="C10" s="150"/>
      <c r="D10" s="254"/>
      <c r="E10" s="254"/>
      <c r="F10" s="254"/>
      <c r="G10" s="254"/>
      <c r="J10"/>
      <c r="K10"/>
      <c r="L10"/>
      <c r="M10"/>
    </row>
    <row r="11" spans="1:16" ht="15.6" customHeight="1" x14ac:dyDescent="0.25">
      <c r="A11" s="254"/>
      <c r="B11" s="255" t="s">
        <v>189</v>
      </c>
      <c r="C11" s="156">
        <v>70.824333333333342</v>
      </c>
      <c r="D11" s="256" t="s">
        <v>190</v>
      </c>
      <c r="E11" s="254"/>
      <c r="F11" s="254"/>
      <c r="G11" s="254"/>
      <c r="J11"/>
      <c r="K11"/>
      <c r="L11"/>
      <c r="M11"/>
    </row>
    <row r="12" spans="1:16" ht="15.6" customHeight="1" x14ac:dyDescent="0.25">
      <c r="A12" s="254"/>
      <c r="B12" s="255" t="s">
        <v>191</v>
      </c>
      <c r="C12" s="157">
        <v>8</v>
      </c>
      <c r="D12" s="254"/>
      <c r="E12" s="254"/>
      <c r="F12" s="254"/>
      <c r="G12" s="254"/>
      <c r="J12"/>
      <c r="K12"/>
      <c r="L12"/>
      <c r="M12"/>
    </row>
    <row r="13" spans="1:16" ht="15.6" customHeight="1" x14ac:dyDescent="0.25">
      <c r="A13" s="254"/>
      <c r="B13" s="255" t="s">
        <v>192</v>
      </c>
      <c r="C13" s="155">
        <f>C12*C11</f>
        <v>566.59466666666674</v>
      </c>
      <c r="D13" s="254"/>
      <c r="E13" s="254"/>
      <c r="F13" s="254"/>
      <c r="G13" s="254"/>
      <c r="J13"/>
      <c r="K13"/>
      <c r="L13"/>
      <c r="M13"/>
    </row>
    <row r="14" spans="1:16" ht="15.6" customHeight="1" x14ac:dyDescent="0.25">
      <c r="A14" s="254"/>
      <c r="B14" s="255" t="s">
        <v>184</v>
      </c>
      <c r="C14" s="160">
        <f>YearDays</f>
        <v>365</v>
      </c>
      <c r="D14" s="254"/>
      <c r="E14" s="254"/>
    </row>
    <row r="15" spans="1:16" ht="15.6" customHeight="1" x14ac:dyDescent="0.25">
      <c r="A15" s="254"/>
      <c r="B15" s="255" t="s">
        <v>185</v>
      </c>
      <c r="C15" s="228">
        <f>C13*C14</f>
        <v>206807.05333333337</v>
      </c>
      <c r="D15" s="254"/>
      <c r="E15" s="254"/>
    </row>
    <row r="16" spans="1:16" ht="15.6" customHeight="1" x14ac:dyDescent="0.25">
      <c r="A16" s="254"/>
      <c r="B16" s="255" t="s">
        <v>186</v>
      </c>
      <c r="C16" s="229">
        <f>D34</f>
        <v>5.0000000000000001E-3</v>
      </c>
      <c r="D16" s="254"/>
      <c r="E16" s="254"/>
      <c r="K16" s="247"/>
      <c r="L16" s="247"/>
    </row>
    <row r="17" spans="2:13" ht="15.6" customHeight="1" x14ac:dyDescent="0.25">
      <c r="B17" s="255" t="s">
        <v>187</v>
      </c>
      <c r="C17" s="228">
        <f>C15*C16</f>
        <v>1034.035266666667</v>
      </c>
      <c r="D17" s="254"/>
      <c r="E17" s="254"/>
    </row>
    <row r="18" spans="2:13" ht="15.6" customHeight="1" x14ac:dyDescent="0.25">
      <c r="B18" s="255"/>
      <c r="C18" s="228"/>
      <c r="D18" s="254"/>
      <c r="E18" s="254"/>
    </row>
    <row r="19" spans="2:13" ht="15.6" customHeight="1" x14ac:dyDescent="0.25">
      <c r="B19" s="236" t="s">
        <v>193</v>
      </c>
      <c r="C19" s="237">
        <f>C9+C17</f>
        <v>81525.996066666674</v>
      </c>
      <c r="D19" s="254"/>
      <c r="E19" s="254"/>
    </row>
    <row r="20" spans="2:13" ht="15.6" customHeight="1" x14ac:dyDescent="0.25">
      <c r="B20" s="255" t="s">
        <v>194</v>
      </c>
      <c r="C20" s="230">
        <f>378934.36/(378934.36+5445488.92)</f>
        <v>6.5059550410972181E-2</v>
      </c>
      <c r="D20" s="153" t="s">
        <v>195</v>
      </c>
      <c r="E20" s="254"/>
      <c r="F20" s="254"/>
      <c r="G20" s="254"/>
      <c r="J20"/>
      <c r="K20"/>
      <c r="L20"/>
      <c r="M20"/>
    </row>
    <row r="21" spans="2:13" ht="15.6" customHeight="1" x14ac:dyDescent="0.25">
      <c r="B21" s="255" t="s">
        <v>196</v>
      </c>
      <c r="C21" s="228">
        <f>C19*(1-C20)</f>
        <v>76221.951415762655</v>
      </c>
      <c r="D21" s="89"/>
      <c r="E21"/>
      <c r="F21" s="254"/>
      <c r="G21" s="254"/>
      <c r="J21"/>
      <c r="K21"/>
      <c r="L21"/>
      <c r="M21"/>
    </row>
    <row r="22" spans="2:13" ht="15.6" customHeight="1" x14ac:dyDescent="0.25">
      <c r="B22" s="255" t="s">
        <v>197</v>
      </c>
      <c r="C22" s="228">
        <f>C19*C20</f>
        <v>5304.0446509040203</v>
      </c>
      <c r="D22" s="89"/>
      <c r="E22" s="254"/>
      <c r="F22" s="254"/>
      <c r="G22"/>
      <c r="H22"/>
      <c r="J22"/>
      <c r="K22"/>
      <c r="L22"/>
      <c r="M22"/>
    </row>
    <row r="23" spans="2:13" ht="15.6" customHeight="1" x14ac:dyDescent="0.25">
      <c r="B23" s="259"/>
      <c r="C23" s="228"/>
      <c r="D23" s="89"/>
      <c r="E23" s="254"/>
      <c r="F23" s="254"/>
      <c r="G23"/>
      <c r="H23"/>
      <c r="J23"/>
      <c r="K23"/>
      <c r="L23"/>
      <c r="M23"/>
    </row>
    <row r="24" spans="2:13" ht="15.6" customHeight="1" x14ac:dyDescent="0.25">
      <c r="B24" s="255" t="s">
        <v>198</v>
      </c>
      <c r="C24" s="270">
        <v>17.8</v>
      </c>
      <c r="D24" s="260" t="s">
        <v>199</v>
      </c>
      <c r="E24" s="254"/>
      <c r="F24" s="254"/>
      <c r="G24"/>
      <c r="H24"/>
      <c r="J24"/>
      <c r="K24"/>
      <c r="L24"/>
      <c r="M24"/>
    </row>
    <row r="25" spans="2:13" ht="15.6" customHeight="1" x14ac:dyDescent="0.25">
      <c r="B25" s="255" t="s">
        <v>200</v>
      </c>
      <c r="C25" s="270">
        <v>30.8</v>
      </c>
      <c r="D25" s="260" t="s">
        <v>201</v>
      </c>
      <c r="E25" s="254"/>
      <c r="F25" s="228"/>
      <c r="G25"/>
      <c r="H25"/>
      <c r="J25"/>
      <c r="K25"/>
      <c r="L25"/>
      <c r="M25"/>
    </row>
    <row r="26" spans="2:13" ht="15.6" customHeight="1" x14ac:dyDescent="0.25">
      <c r="B26" s="255" t="s">
        <v>202</v>
      </c>
      <c r="C26" s="271">
        <v>1.67</v>
      </c>
      <c r="D26" s="260" t="s">
        <v>203</v>
      </c>
      <c r="E26" s="254"/>
      <c r="F26" s="228"/>
      <c r="G26"/>
      <c r="H26"/>
      <c r="J26"/>
      <c r="K26"/>
      <c r="L26"/>
      <c r="M26"/>
    </row>
    <row r="27" spans="2:13" ht="15.6" customHeight="1" x14ac:dyDescent="0.25">
      <c r="B27" s="255" t="s">
        <v>204</v>
      </c>
      <c r="C27" s="271">
        <v>1</v>
      </c>
      <c r="D27" s="260" t="s">
        <v>205</v>
      </c>
      <c r="E27" s="254"/>
      <c r="F27" s="228"/>
      <c r="G27"/>
      <c r="H27"/>
      <c r="J27"/>
      <c r="K27"/>
      <c r="L27"/>
      <c r="M27"/>
    </row>
    <row r="28" spans="2:13" ht="15.6" customHeight="1" x14ac:dyDescent="0.25">
      <c r="B28" s="255"/>
      <c r="C28" s="150"/>
      <c r="D28"/>
      <c r="E28"/>
      <c r="F28" s="228"/>
      <c r="J28"/>
      <c r="K28"/>
      <c r="L28"/>
      <c r="M28"/>
    </row>
    <row r="29" spans="2:13" ht="15.6" customHeight="1" x14ac:dyDescent="0.25">
      <c r="B29" s="135" t="s">
        <v>206</v>
      </c>
      <c r="C29" s="254"/>
      <c r="D29" s="254"/>
      <c r="E29" s="254"/>
    </row>
    <row r="30" spans="2:13" ht="15.6" customHeight="1" x14ac:dyDescent="0.25">
      <c r="B30" s="135"/>
      <c r="C30" s="154" t="s">
        <v>179</v>
      </c>
      <c r="D30" s="154" t="s">
        <v>188</v>
      </c>
      <c r="E30" s="254"/>
    </row>
    <row r="31" spans="2:13" ht="15.6" customHeight="1" x14ac:dyDescent="0.25">
      <c r="B31" s="255" t="s">
        <v>207</v>
      </c>
      <c r="C31" s="149">
        <f>16%/2</f>
        <v>0.08</v>
      </c>
      <c r="D31" s="149">
        <v>0</v>
      </c>
      <c r="E31" s="254" t="s">
        <v>208</v>
      </c>
    </row>
    <row r="32" spans="2:13" ht="15.6" customHeight="1" x14ac:dyDescent="0.25">
      <c r="B32" s="255" t="s">
        <v>209</v>
      </c>
      <c r="C32" s="149">
        <f>4%/2</f>
        <v>0.02</v>
      </c>
      <c r="D32" s="149">
        <v>0</v>
      </c>
      <c r="E32" s="254" t="s">
        <v>208</v>
      </c>
    </row>
    <row r="33" spans="2:5" ht="15.6" customHeight="1" x14ac:dyDescent="0.25">
      <c r="B33" s="255" t="s">
        <v>63</v>
      </c>
      <c r="C33" s="149">
        <v>0</v>
      </c>
      <c r="D33" s="149">
        <v>5.0000000000000001E-3</v>
      </c>
      <c r="E33" s="254" t="s">
        <v>210</v>
      </c>
    </row>
    <row r="34" spans="2:5" ht="15.6" customHeight="1" x14ac:dyDescent="0.25">
      <c r="B34" s="152" t="s">
        <v>48</v>
      </c>
      <c r="C34" s="151">
        <f>SUM(C31:C33)</f>
        <v>0.1</v>
      </c>
      <c r="D34" s="151">
        <f>SUM(D31:D33)</f>
        <v>5.0000000000000001E-3</v>
      </c>
      <c r="E34" s="254"/>
    </row>
    <row r="35" spans="2:5" ht="15.6" customHeight="1" x14ac:dyDescent="0.25">
      <c r="B35" s="255"/>
      <c r="C35" s="254"/>
      <c r="D35" s="254"/>
      <c r="E35" s="254"/>
    </row>
    <row r="36" spans="2:5" ht="15.6" customHeight="1" x14ac:dyDescent="0.25">
      <c r="B36" s="135" t="s">
        <v>211</v>
      </c>
      <c r="C36" s="254"/>
      <c r="D36" s="254"/>
      <c r="E36" s="254"/>
    </row>
    <row r="37" spans="2:5" ht="15.6" customHeight="1" x14ac:dyDescent="0.25">
      <c r="B37" s="254" t="s">
        <v>212</v>
      </c>
      <c r="C37" s="254"/>
      <c r="D37" s="254"/>
      <c r="E37" s="254"/>
    </row>
    <row r="38" spans="2:5" ht="15.6" customHeight="1" x14ac:dyDescent="0.25">
      <c r="B38" s="255" t="s">
        <v>213</v>
      </c>
      <c r="C38" s="254"/>
      <c r="D38" s="254"/>
      <c r="E38" s="254"/>
    </row>
    <row r="39" spans="2:5" ht="15.6" customHeight="1" x14ac:dyDescent="0.25">
      <c r="B39" s="254" t="s">
        <v>214</v>
      </c>
      <c r="C39" s="254"/>
      <c r="D39" s="254"/>
      <c r="E39" s="254"/>
    </row>
    <row r="40" spans="2:5" ht="15.6" customHeight="1" x14ac:dyDescent="0.25">
      <c r="B40" s="255" t="s">
        <v>215</v>
      </c>
      <c r="C40" s="254"/>
      <c r="D40" s="254"/>
      <c r="E40" s="254"/>
    </row>
    <row r="41" spans="2:5" ht="15.6" customHeight="1" x14ac:dyDescent="0.25">
      <c r="B41" s="254"/>
      <c r="C41" s="254"/>
      <c r="D41" s="254"/>
      <c r="E41" s="254"/>
    </row>
    <row r="42" spans="2:5" ht="15.6" customHeight="1" x14ac:dyDescent="0.25">
      <c r="B42" s="135" t="s">
        <v>216</v>
      </c>
      <c r="C42" s="254"/>
      <c r="D42" s="254"/>
      <c r="E42" s="254"/>
    </row>
    <row r="43" spans="2:5" ht="15.6" customHeight="1" x14ac:dyDescent="0.25">
      <c r="B43" s="254" t="s">
        <v>217</v>
      </c>
      <c r="C43" s="254"/>
      <c r="D43" s="254"/>
      <c r="E43" s="254"/>
    </row>
    <row r="44" spans="2:5" ht="15.6" customHeight="1" x14ac:dyDescent="0.25">
      <c r="B44" s="255" t="s">
        <v>218</v>
      </c>
      <c r="C44" s="254"/>
      <c r="D44"/>
      <c r="E44" s="254"/>
    </row>
    <row r="45" spans="2:5" ht="15.6" customHeight="1" x14ac:dyDescent="0.25">
      <c r="B45" s="254" t="s">
        <v>219</v>
      </c>
      <c r="C45" s="254"/>
      <c r="D45" s="254"/>
      <c r="E45" s="254"/>
    </row>
    <row r="46" spans="2:5" ht="15.6" customHeight="1" x14ac:dyDescent="0.25">
      <c r="B46" s="255" t="s">
        <v>220</v>
      </c>
      <c r="C46" s="254"/>
      <c r="D46" s="254"/>
      <c r="E46" s="254"/>
    </row>
    <row r="47" spans="2:5" ht="15.6" customHeight="1" x14ac:dyDescent="0.25">
      <c r="B47" s="254" t="s">
        <v>221</v>
      </c>
      <c r="C47" s="254"/>
      <c r="D47" s="254"/>
      <c r="E47" s="254"/>
    </row>
    <row r="48" spans="2:5" ht="15.6" customHeight="1" x14ac:dyDescent="0.25">
      <c r="B48" s="255" t="s">
        <v>222</v>
      </c>
      <c r="C48" s="254"/>
      <c r="D48" s="254"/>
      <c r="E48" s="254"/>
    </row>
    <row r="49" spans="2:16" ht="15.6" customHeight="1" x14ac:dyDescent="0.25">
      <c r="B49" s="254" t="s">
        <v>223</v>
      </c>
      <c r="C49" s="254"/>
      <c r="D49" s="254"/>
      <c r="E49" s="254"/>
    </row>
    <row r="50" spans="2:16" ht="15.6" customHeight="1" x14ac:dyDescent="0.25">
      <c r="B50" s="255" t="s">
        <v>224</v>
      </c>
      <c r="C50" s="254"/>
      <c r="D50" s="254"/>
      <c r="E50" s="254"/>
    </row>
    <row r="51" spans="2:16" ht="15.6" customHeight="1" x14ac:dyDescent="0.25">
      <c r="B51" s="254" t="s">
        <v>225</v>
      </c>
      <c r="C51" s="254"/>
      <c r="D51" s="254"/>
      <c r="E51" s="254"/>
    </row>
    <row r="52" spans="2:16" ht="15.6" customHeight="1" x14ac:dyDescent="0.25">
      <c r="B52" s="255" t="s">
        <v>226</v>
      </c>
      <c r="C52" s="254"/>
      <c r="D52" s="254"/>
      <c r="E52" s="254"/>
    </row>
    <row r="53" spans="2:16" ht="15.6" customHeight="1" x14ac:dyDescent="0.25">
      <c r="B53" s="254" t="s">
        <v>217</v>
      </c>
      <c r="C53" s="254"/>
      <c r="D53" s="254"/>
      <c r="E53" s="254"/>
    </row>
    <row r="54" spans="2:16" ht="15.6" customHeight="1" x14ac:dyDescent="0.25">
      <c r="B54" s="255" t="s">
        <v>218</v>
      </c>
      <c r="C54" s="254"/>
      <c r="D54"/>
      <c r="E54" s="254"/>
    </row>
    <row r="55" spans="2:16" ht="15.6" customHeight="1" x14ac:dyDescent="0.25">
      <c r="B55" s="254"/>
      <c r="C55" s="254"/>
      <c r="D55" s="254"/>
      <c r="E55" s="254"/>
    </row>
    <row r="56" spans="2:16" x14ac:dyDescent="0.25">
      <c r="B56" s="254"/>
      <c r="C56" s="254"/>
      <c r="D56" s="254"/>
      <c r="E56" s="254"/>
      <c r="F56" s="228"/>
      <c r="J56"/>
      <c r="K56"/>
      <c r="L56"/>
      <c r="M56"/>
    </row>
    <row r="57" spans="2:16" x14ac:dyDescent="0.25">
      <c r="B57" s="254"/>
      <c r="C57" s="254"/>
      <c r="D57" s="254"/>
      <c r="E57" s="254"/>
      <c r="F57" s="173"/>
      <c r="G57" s="174"/>
      <c r="H57" s="175" t="s">
        <v>227</v>
      </c>
      <c r="I57" s="176"/>
      <c r="J57" s="175" t="s">
        <v>228</v>
      </c>
      <c r="K57" s="176"/>
      <c r="L57" s="175" t="s">
        <v>229</v>
      </c>
      <c r="M57" s="176"/>
      <c r="N57" s="92" t="s">
        <v>230</v>
      </c>
      <c r="O57" s="92"/>
      <c r="P57" s="92"/>
    </row>
    <row r="58" spans="2:16" ht="39" x14ac:dyDescent="0.25">
      <c r="B58" s="254"/>
      <c r="C58" s="254"/>
      <c r="D58" s="254"/>
      <c r="E58" s="254"/>
      <c r="F58" s="177" t="s">
        <v>42</v>
      </c>
      <c r="G58" s="178" t="s">
        <v>43</v>
      </c>
      <c r="H58" s="179" t="s">
        <v>231</v>
      </c>
      <c r="I58" s="180" t="s">
        <v>232</v>
      </c>
      <c r="J58" s="179" t="str">
        <f>H58</f>
        <v>Non-Truck</v>
      </c>
      <c r="K58" s="180" t="str">
        <f>I58</f>
        <v>Truck</v>
      </c>
      <c r="L58" s="179" t="str">
        <f>J58</f>
        <v>Non-Truck</v>
      </c>
      <c r="M58" s="181" t="str">
        <f>K58</f>
        <v>Truck</v>
      </c>
      <c r="N58" s="179" t="s">
        <v>48</v>
      </c>
      <c r="O58" s="177" t="str">
        <f>"Present Value ("&amp;TEXT(disc1,"0%")&amp;" Discount Rate)"</f>
        <v>Present Value (3% Discount Rate)</v>
      </c>
      <c r="P58" s="177" t="str">
        <f>"Present Value ("&amp;TEXT(disc2,"0%")&amp;" Discount Rate)"</f>
        <v>Present Value (7% Discount Rate)</v>
      </c>
    </row>
    <row r="59" spans="2:16" x14ac:dyDescent="0.25">
      <c r="B59" s="254"/>
      <c r="C59" s="254"/>
      <c r="D59" s="254"/>
      <c r="E59" s="254"/>
      <c r="F59" s="26">
        <f>'A - Inputs'!$C$7</f>
        <v>2020</v>
      </c>
      <c r="G59" s="185">
        <v>1</v>
      </c>
      <c r="H59" s="231">
        <f t="shared" ref="H59:H93" si="0">IF($F59&gt;=BenefitStart,$C$21,0)</f>
        <v>0</v>
      </c>
      <c r="I59" s="232">
        <f t="shared" ref="I59:I93" si="1">IF($F59&gt;=BenefitStart,$C$22,0)</f>
        <v>0</v>
      </c>
      <c r="J59" s="231">
        <f t="shared" ref="J59:J93" si="2">$C$26*H59</f>
        <v>0</v>
      </c>
      <c r="K59" s="232">
        <f t="shared" ref="K59:K93" si="3">$C$27*I59</f>
        <v>0</v>
      </c>
      <c r="L59" s="233">
        <f t="shared" ref="L59:L93" si="4">$C$24*J59</f>
        <v>0</v>
      </c>
      <c r="M59" s="234">
        <f t="shared" ref="M59:M93" si="5">$C$25*K59</f>
        <v>0</v>
      </c>
      <c r="N59" s="190">
        <f t="shared" ref="N59:N93" si="6">IF($F59&lt;=AnalysisEnd,SUM(L59:M59),0)</f>
        <v>0</v>
      </c>
      <c r="O59" s="13">
        <f>$N59/(1+disc1)^($F59-'A - Inputs'!$C$6)</f>
        <v>0</v>
      </c>
      <c r="P59" s="13">
        <f>$N59/(1+disc2)^($F59-'A - Inputs'!$C$6)</f>
        <v>0</v>
      </c>
    </row>
    <row r="60" spans="2:16" x14ac:dyDescent="0.25">
      <c r="B60" s="254"/>
      <c r="C60" s="254"/>
      <c r="D60" s="254"/>
      <c r="E60" s="254"/>
      <c r="F60" s="193">
        <f t="shared" ref="F60:F93" si="7">F59+1</f>
        <v>2021</v>
      </c>
      <c r="G60" s="194">
        <f t="shared" ref="G60:G93" si="8">G59+1</f>
        <v>2</v>
      </c>
      <c r="H60" s="231">
        <f t="shared" si="0"/>
        <v>0</v>
      </c>
      <c r="I60" s="232">
        <f t="shared" si="1"/>
        <v>0</v>
      </c>
      <c r="J60" s="231">
        <f t="shared" si="2"/>
        <v>0</v>
      </c>
      <c r="K60" s="232">
        <f t="shared" si="3"/>
        <v>0</v>
      </c>
      <c r="L60" s="233">
        <f t="shared" si="4"/>
        <v>0</v>
      </c>
      <c r="M60" s="234">
        <f t="shared" si="5"/>
        <v>0</v>
      </c>
      <c r="N60" s="190">
        <f t="shared" si="6"/>
        <v>0</v>
      </c>
      <c r="O60" s="13">
        <f>N60/(1+disc1)^($F60-'A - Inputs'!$C$6)</f>
        <v>0</v>
      </c>
      <c r="P60" s="13">
        <f>$N60/(1+disc2)^($F60-'A - Inputs'!$C$6)</f>
        <v>0</v>
      </c>
    </row>
    <row r="61" spans="2:16" x14ac:dyDescent="0.25">
      <c r="B61" s="254"/>
      <c r="C61" s="254"/>
      <c r="D61" s="254"/>
      <c r="E61" s="254"/>
      <c r="F61" s="193">
        <f t="shared" si="7"/>
        <v>2022</v>
      </c>
      <c r="G61" s="194">
        <f t="shared" si="8"/>
        <v>3</v>
      </c>
      <c r="H61" s="231">
        <f t="shared" si="0"/>
        <v>0</v>
      </c>
      <c r="I61" s="232">
        <f t="shared" si="1"/>
        <v>0</v>
      </c>
      <c r="J61" s="231">
        <f t="shared" si="2"/>
        <v>0</v>
      </c>
      <c r="K61" s="232">
        <f t="shared" si="3"/>
        <v>0</v>
      </c>
      <c r="L61" s="233">
        <f t="shared" si="4"/>
        <v>0</v>
      </c>
      <c r="M61" s="234">
        <f t="shared" si="5"/>
        <v>0</v>
      </c>
      <c r="N61" s="190">
        <f t="shared" si="6"/>
        <v>0</v>
      </c>
      <c r="O61" s="13">
        <f>N61/(1+disc1)^($F61-'A - Inputs'!$C$6)</f>
        <v>0</v>
      </c>
      <c r="P61" s="13">
        <f>$N61/(1+disc2)^($F61-'A - Inputs'!$C$6)</f>
        <v>0</v>
      </c>
    </row>
    <row r="62" spans="2:16" x14ac:dyDescent="0.25">
      <c r="B62" s="254"/>
      <c r="C62" s="254"/>
      <c r="D62" s="254"/>
      <c r="E62" s="254"/>
      <c r="F62" s="193">
        <f t="shared" si="7"/>
        <v>2023</v>
      </c>
      <c r="G62" s="194">
        <f t="shared" si="8"/>
        <v>4</v>
      </c>
      <c r="H62" s="231">
        <f t="shared" si="0"/>
        <v>0</v>
      </c>
      <c r="I62" s="232">
        <f t="shared" si="1"/>
        <v>0</v>
      </c>
      <c r="J62" s="231">
        <f t="shared" si="2"/>
        <v>0</v>
      </c>
      <c r="K62" s="232">
        <f t="shared" si="3"/>
        <v>0</v>
      </c>
      <c r="L62" s="233">
        <f t="shared" si="4"/>
        <v>0</v>
      </c>
      <c r="M62" s="234">
        <f t="shared" si="5"/>
        <v>0</v>
      </c>
      <c r="N62" s="190">
        <f t="shared" si="6"/>
        <v>0</v>
      </c>
      <c r="O62" s="13">
        <f>N62/(1+disc1)^($F62-'A - Inputs'!$C$6)</f>
        <v>0</v>
      </c>
      <c r="P62" s="13">
        <f>$N62/(1+disc2)^($F62-'A - Inputs'!$C$6)</f>
        <v>0</v>
      </c>
    </row>
    <row r="63" spans="2:16" x14ac:dyDescent="0.25">
      <c r="B63" s="254"/>
      <c r="C63" s="254"/>
      <c r="D63" s="254"/>
      <c r="E63" s="254"/>
      <c r="F63" s="193">
        <f t="shared" si="7"/>
        <v>2024</v>
      </c>
      <c r="G63" s="194">
        <f t="shared" si="8"/>
        <v>5</v>
      </c>
      <c r="H63" s="231">
        <f t="shared" si="0"/>
        <v>0</v>
      </c>
      <c r="I63" s="232">
        <f t="shared" si="1"/>
        <v>0</v>
      </c>
      <c r="J63" s="231">
        <f t="shared" si="2"/>
        <v>0</v>
      </c>
      <c r="K63" s="232">
        <f t="shared" si="3"/>
        <v>0</v>
      </c>
      <c r="L63" s="233">
        <f t="shared" si="4"/>
        <v>0</v>
      </c>
      <c r="M63" s="234">
        <f t="shared" si="5"/>
        <v>0</v>
      </c>
      <c r="N63" s="190">
        <f t="shared" si="6"/>
        <v>0</v>
      </c>
      <c r="O63" s="13">
        <f>N63/(1+disc1)^($F63-'A - Inputs'!$C$6)</f>
        <v>0</v>
      </c>
      <c r="P63" s="13">
        <f>$N63/(1+disc2)^($F63-'A - Inputs'!$C$6)</f>
        <v>0</v>
      </c>
    </row>
    <row r="64" spans="2:16" x14ac:dyDescent="0.25">
      <c r="B64" s="254"/>
      <c r="C64" s="254"/>
      <c r="D64" s="254"/>
      <c r="E64" s="254"/>
      <c r="F64" s="193">
        <f t="shared" si="7"/>
        <v>2025</v>
      </c>
      <c r="G64" s="194">
        <f t="shared" si="8"/>
        <v>6</v>
      </c>
      <c r="H64" s="231">
        <f t="shared" si="0"/>
        <v>0</v>
      </c>
      <c r="I64" s="232">
        <f t="shared" si="1"/>
        <v>0</v>
      </c>
      <c r="J64" s="231">
        <f t="shared" si="2"/>
        <v>0</v>
      </c>
      <c r="K64" s="232">
        <f t="shared" si="3"/>
        <v>0</v>
      </c>
      <c r="L64" s="233">
        <f t="shared" si="4"/>
        <v>0</v>
      </c>
      <c r="M64" s="234">
        <f t="shared" si="5"/>
        <v>0</v>
      </c>
      <c r="N64" s="190">
        <f t="shared" si="6"/>
        <v>0</v>
      </c>
      <c r="O64" s="13">
        <f>N64/(1+disc1)^($F64-'A - Inputs'!$C$6)</f>
        <v>0</v>
      </c>
      <c r="P64" s="13">
        <f>$N64/(1+disc2)^($F64-'A - Inputs'!$C$6)</f>
        <v>0</v>
      </c>
    </row>
    <row r="65" spans="6:16" x14ac:dyDescent="0.25">
      <c r="F65" s="193">
        <f t="shared" si="7"/>
        <v>2026</v>
      </c>
      <c r="G65" s="194">
        <f t="shared" si="8"/>
        <v>7</v>
      </c>
      <c r="H65" s="231">
        <f t="shared" si="0"/>
        <v>76221.951415762655</v>
      </c>
      <c r="I65" s="232">
        <f t="shared" si="1"/>
        <v>5304.0446509040203</v>
      </c>
      <c r="J65" s="231">
        <f t="shared" si="2"/>
        <v>127290.65886432363</v>
      </c>
      <c r="K65" s="232">
        <f t="shared" si="3"/>
        <v>5304.0446509040203</v>
      </c>
      <c r="L65" s="233">
        <f t="shared" si="4"/>
        <v>2265773.7277849605</v>
      </c>
      <c r="M65" s="234">
        <f t="shared" si="5"/>
        <v>163364.57524784384</v>
      </c>
      <c r="N65" s="190">
        <f t="shared" si="6"/>
        <v>2429138.3030328043</v>
      </c>
      <c r="O65" s="13">
        <f>N65/(1+disc1)^($F65-'A - Inputs'!$C$6)</f>
        <v>2034365.0860972218</v>
      </c>
      <c r="P65" s="13">
        <f>$N65/(1+disc2)^($F65-'A - Inputs'!$C$6)</f>
        <v>1618637.4188007484</v>
      </c>
    </row>
    <row r="66" spans="6:16" x14ac:dyDescent="0.25">
      <c r="F66" s="193">
        <f t="shared" si="7"/>
        <v>2027</v>
      </c>
      <c r="G66" s="194">
        <f t="shared" si="8"/>
        <v>8</v>
      </c>
      <c r="H66" s="231">
        <f t="shared" si="0"/>
        <v>76221.951415762655</v>
      </c>
      <c r="I66" s="232">
        <f t="shared" si="1"/>
        <v>5304.0446509040203</v>
      </c>
      <c r="J66" s="231">
        <f t="shared" si="2"/>
        <v>127290.65886432363</v>
      </c>
      <c r="K66" s="232">
        <f t="shared" si="3"/>
        <v>5304.0446509040203</v>
      </c>
      <c r="L66" s="233">
        <f t="shared" si="4"/>
        <v>2265773.7277849605</v>
      </c>
      <c r="M66" s="234">
        <f t="shared" si="5"/>
        <v>163364.57524784384</v>
      </c>
      <c r="N66" s="190">
        <f t="shared" si="6"/>
        <v>2429138.3030328043</v>
      </c>
      <c r="O66" s="13">
        <f>N66/(1+disc1)^($F66-'A - Inputs'!$C$6)</f>
        <v>1975111.7340749726</v>
      </c>
      <c r="P66" s="13">
        <f>$N66/(1+disc2)^($F66-'A - Inputs'!$C$6)</f>
        <v>1512745.2512156526</v>
      </c>
    </row>
    <row r="67" spans="6:16" x14ac:dyDescent="0.25">
      <c r="F67" s="193">
        <f t="shared" si="7"/>
        <v>2028</v>
      </c>
      <c r="G67" s="194">
        <f t="shared" si="8"/>
        <v>9</v>
      </c>
      <c r="H67" s="231">
        <f t="shared" si="0"/>
        <v>76221.951415762655</v>
      </c>
      <c r="I67" s="232">
        <f t="shared" si="1"/>
        <v>5304.0446509040203</v>
      </c>
      <c r="J67" s="231">
        <f t="shared" si="2"/>
        <v>127290.65886432363</v>
      </c>
      <c r="K67" s="232">
        <f t="shared" si="3"/>
        <v>5304.0446509040203</v>
      </c>
      <c r="L67" s="233">
        <f t="shared" si="4"/>
        <v>2265773.7277849605</v>
      </c>
      <c r="M67" s="234">
        <f t="shared" si="5"/>
        <v>163364.57524784384</v>
      </c>
      <c r="N67" s="190">
        <f t="shared" si="6"/>
        <v>2429138.3030328043</v>
      </c>
      <c r="O67" s="13">
        <f>N67/(1+disc1)^($F67-'A - Inputs'!$C$6)</f>
        <v>1917584.2078397793</v>
      </c>
      <c r="P67" s="13">
        <f>$N67/(1+disc2)^($F67-'A - Inputs'!$C$6)</f>
        <v>1413780.6086127595</v>
      </c>
    </row>
    <row r="68" spans="6:16" x14ac:dyDescent="0.25">
      <c r="F68" s="193">
        <f t="shared" si="7"/>
        <v>2029</v>
      </c>
      <c r="G68" s="194">
        <f t="shared" si="8"/>
        <v>10</v>
      </c>
      <c r="H68" s="231">
        <f t="shared" si="0"/>
        <v>76221.951415762655</v>
      </c>
      <c r="I68" s="232">
        <f t="shared" si="1"/>
        <v>5304.0446509040203</v>
      </c>
      <c r="J68" s="231">
        <f t="shared" si="2"/>
        <v>127290.65886432363</v>
      </c>
      <c r="K68" s="232">
        <f t="shared" si="3"/>
        <v>5304.0446509040203</v>
      </c>
      <c r="L68" s="233">
        <f t="shared" si="4"/>
        <v>2265773.7277849605</v>
      </c>
      <c r="M68" s="234">
        <f t="shared" si="5"/>
        <v>163364.57524784384</v>
      </c>
      <c r="N68" s="190">
        <f t="shared" si="6"/>
        <v>2429138.3030328043</v>
      </c>
      <c r="O68" s="13">
        <f>N68/(1+disc1)^($F68-'A - Inputs'!$C$6)</f>
        <v>1861732.2406211449</v>
      </c>
      <c r="P68" s="13">
        <f>$N68/(1+disc2)^($F68-'A - Inputs'!$C$6)</f>
        <v>1321290.2884231394</v>
      </c>
    </row>
    <row r="69" spans="6:16" x14ac:dyDescent="0.25">
      <c r="F69" s="193">
        <f t="shared" si="7"/>
        <v>2030</v>
      </c>
      <c r="G69" s="194">
        <f t="shared" si="8"/>
        <v>11</v>
      </c>
      <c r="H69" s="231">
        <f t="shared" si="0"/>
        <v>76221.951415762655</v>
      </c>
      <c r="I69" s="232">
        <f t="shared" si="1"/>
        <v>5304.0446509040203</v>
      </c>
      <c r="J69" s="231">
        <f t="shared" si="2"/>
        <v>127290.65886432363</v>
      </c>
      <c r="K69" s="232">
        <f t="shared" si="3"/>
        <v>5304.0446509040203</v>
      </c>
      <c r="L69" s="233">
        <f t="shared" si="4"/>
        <v>2265773.7277849605</v>
      </c>
      <c r="M69" s="234">
        <f t="shared" si="5"/>
        <v>163364.57524784384</v>
      </c>
      <c r="N69" s="190">
        <f t="shared" si="6"/>
        <v>2429138.3030328043</v>
      </c>
      <c r="O69" s="13">
        <f>N69/(1+disc1)^($F69-'A - Inputs'!$C$6)</f>
        <v>1807507.0297292669</v>
      </c>
      <c r="P69" s="13">
        <f>$N69/(1+disc2)^($F69-'A - Inputs'!$C$6)</f>
        <v>1234850.7368440556</v>
      </c>
    </row>
    <row r="70" spans="6:16" x14ac:dyDescent="0.25">
      <c r="F70" s="193">
        <f t="shared" si="7"/>
        <v>2031</v>
      </c>
      <c r="G70" s="194">
        <f t="shared" si="8"/>
        <v>12</v>
      </c>
      <c r="H70" s="231">
        <f t="shared" si="0"/>
        <v>76221.951415762655</v>
      </c>
      <c r="I70" s="232">
        <f t="shared" si="1"/>
        <v>5304.0446509040203</v>
      </c>
      <c r="J70" s="231">
        <f t="shared" si="2"/>
        <v>127290.65886432363</v>
      </c>
      <c r="K70" s="232">
        <f t="shared" si="3"/>
        <v>5304.0446509040203</v>
      </c>
      <c r="L70" s="233">
        <f t="shared" si="4"/>
        <v>2265773.7277849605</v>
      </c>
      <c r="M70" s="234">
        <f t="shared" si="5"/>
        <v>163364.57524784384</v>
      </c>
      <c r="N70" s="190">
        <f t="shared" si="6"/>
        <v>2429138.3030328043</v>
      </c>
      <c r="O70" s="13">
        <f>N70/(1+disc1)^($F70-'A - Inputs'!$C$6)</f>
        <v>1754861.1939119096</v>
      </c>
      <c r="P70" s="13">
        <f>$N70/(1+disc2)^($F70-'A - Inputs'!$C$6)</f>
        <v>1154066.109200052</v>
      </c>
    </row>
    <row r="71" spans="6:16" x14ac:dyDescent="0.25">
      <c r="F71" s="193">
        <f t="shared" si="7"/>
        <v>2032</v>
      </c>
      <c r="G71" s="194">
        <f t="shared" si="8"/>
        <v>13</v>
      </c>
      <c r="H71" s="231">
        <f t="shared" si="0"/>
        <v>76221.951415762655</v>
      </c>
      <c r="I71" s="232">
        <f t="shared" si="1"/>
        <v>5304.0446509040203</v>
      </c>
      <c r="J71" s="231">
        <f t="shared" si="2"/>
        <v>127290.65886432363</v>
      </c>
      <c r="K71" s="232">
        <f t="shared" si="3"/>
        <v>5304.0446509040203</v>
      </c>
      <c r="L71" s="233">
        <f t="shared" si="4"/>
        <v>2265773.7277849605</v>
      </c>
      <c r="M71" s="234">
        <f t="shared" si="5"/>
        <v>163364.57524784384</v>
      </c>
      <c r="N71" s="190">
        <f t="shared" si="6"/>
        <v>2429138.3030328043</v>
      </c>
      <c r="O71" s="13">
        <f>N71/(1+disc1)^($F71-'A - Inputs'!$C$6)</f>
        <v>1703748.7319533105</v>
      </c>
      <c r="P71" s="13">
        <f>$N71/(1+disc2)^($F71-'A - Inputs'!$C$6)</f>
        <v>1078566.4571963104</v>
      </c>
    </row>
    <row r="72" spans="6:16" x14ac:dyDescent="0.25">
      <c r="F72" s="193">
        <f t="shared" si="7"/>
        <v>2033</v>
      </c>
      <c r="G72" s="194">
        <f t="shared" si="8"/>
        <v>14</v>
      </c>
      <c r="H72" s="231">
        <f t="shared" si="0"/>
        <v>76221.951415762655</v>
      </c>
      <c r="I72" s="232">
        <f t="shared" si="1"/>
        <v>5304.0446509040203</v>
      </c>
      <c r="J72" s="231">
        <f t="shared" si="2"/>
        <v>127290.65886432363</v>
      </c>
      <c r="K72" s="232">
        <f t="shared" si="3"/>
        <v>5304.0446509040203</v>
      </c>
      <c r="L72" s="233">
        <f t="shared" si="4"/>
        <v>2265773.7277849605</v>
      </c>
      <c r="M72" s="234">
        <f t="shared" si="5"/>
        <v>163364.57524784384</v>
      </c>
      <c r="N72" s="190">
        <f t="shared" si="6"/>
        <v>0</v>
      </c>
      <c r="O72" s="13">
        <f>N72/(1+disc1)^($F72-'A - Inputs'!$C$6)</f>
        <v>0</v>
      </c>
      <c r="P72" s="13">
        <f>$N72/(1+disc2)^($F72-'A - Inputs'!$C$6)</f>
        <v>0</v>
      </c>
    </row>
    <row r="73" spans="6:16" x14ac:dyDescent="0.25">
      <c r="F73" s="193">
        <f t="shared" si="7"/>
        <v>2034</v>
      </c>
      <c r="G73" s="194">
        <f t="shared" si="8"/>
        <v>15</v>
      </c>
      <c r="H73" s="231">
        <f t="shared" si="0"/>
        <v>76221.951415762655</v>
      </c>
      <c r="I73" s="232">
        <f t="shared" si="1"/>
        <v>5304.0446509040203</v>
      </c>
      <c r="J73" s="231">
        <f t="shared" si="2"/>
        <v>127290.65886432363</v>
      </c>
      <c r="K73" s="232">
        <f t="shared" si="3"/>
        <v>5304.0446509040203</v>
      </c>
      <c r="L73" s="233">
        <f t="shared" si="4"/>
        <v>2265773.7277849605</v>
      </c>
      <c r="M73" s="234">
        <f t="shared" si="5"/>
        <v>163364.57524784384</v>
      </c>
      <c r="N73" s="190">
        <f t="shared" si="6"/>
        <v>0</v>
      </c>
      <c r="O73" s="13">
        <f>N73/(1+disc1)^($F73-'A - Inputs'!$C$6)</f>
        <v>0</v>
      </c>
      <c r="P73" s="13">
        <f>$N73/(1+disc2)^($F73-'A - Inputs'!$C$6)</f>
        <v>0</v>
      </c>
    </row>
    <row r="74" spans="6:16" x14ac:dyDescent="0.25">
      <c r="F74" s="193">
        <f t="shared" si="7"/>
        <v>2035</v>
      </c>
      <c r="G74" s="194">
        <f t="shared" si="8"/>
        <v>16</v>
      </c>
      <c r="H74" s="231">
        <f t="shared" si="0"/>
        <v>76221.951415762655</v>
      </c>
      <c r="I74" s="232">
        <f t="shared" si="1"/>
        <v>5304.0446509040203</v>
      </c>
      <c r="J74" s="231">
        <f t="shared" si="2"/>
        <v>127290.65886432363</v>
      </c>
      <c r="K74" s="232">
        <f t="shared" si="3"/>
        <v>5304.0446509040203</v>
      </c>
      <c r="L74" s="233">
        <f t="shared" si="4"/>
        <v>2265773.7277849605</v>
      </c>
      <c r="M74" s="234">
        <f t="shared" si="5"/>
        <v>163364.57524784384</v>
      </c>
      <c r="N74" s="190">
        <f t="shared" si="6"/>
        <v>0</v>
      </c>
      <c r="O74" s="13">
        <f>N74/(1+disc1)^($F74-'A - Inputs'!$C$6)</f>
        <v>0</v>
      </c>
      <c r="P74" s="13">
        <f>$N74/(1+disc2)^($F74-'A - Inputs'!$C$6)</f>
        <v>0</v>
      </c>
    </row>
    <row r="75" spans="6:16" x14ac:dyDescent="0.25">
      <c r="F75" s="193">
        <f t="shared" si="7"/>
        <v>2036</v>
      </c>
      <c r="G75" s="194">
        <f t="shared" si="8"/>
        <v>17</v>
      </c>
      <c r="H75" s="231">
        <f t="shared" si="0"/>
        <v>76221.951415762655</v>
      </c>
      <c r="I75" s="232">
        <f t="shared" si="1"/>
        <v>5304.0446509040203</v>
      </c>
      <c r="J75" s="231">
        <f t="shared" si="2"/>
        <v>127290.65886432363</v>
      </c>
      <c r="K75" s="232">
        <f t="shared" si="3"/>
        <v>5304.0446509040203</v>
      </c>
      <c r="L75" s="233">
        <f t="shared" si="4"/>
        <v>2265773.7277849605</v>
      </c>
      <c r="M75" s="234">
        <f t="shared" si="5"/>
        <v>163364.57524784384</v>
      </c>
      <c r="N75" s="190">
        <f t="shared" si="6"/>
        <v>0</v>
      </c>
      <c r="O75" s="13">
        <f>N75/(1+disc1)^($F75-'A - Inputs'!$C$6)</f>
        <v>0</v>
      </c>
      <c r="P75" s="13">
        <f>$N75/(1+disc2)^($F75-'A - Inputs'!$C$6)</f>
        <v>0</v>
      </c>
    </row>
    <row r="76" spans="6:16" x14ac:dyDescent="0.25">
      <c r="F76" s="193">
        <f t="shared" si="7"/>
        <v>2037</v>
      </c>
      <c r="G76" s="194">
        <f t="shared" si="8"/>
        <v>18</v>
      </c>
      <c r="H76" s="231">
        <f t="shared" si="0"/>
        <v>76221.951415762655</v>
      </c>
      <c r="I76" s="232">
        <f t="shared" si="1"/>
        <v>5304.0446509040203</v>
      </c>
      <c r="J76" s="231">
        <f t="shared" si="2"/>
        <v>127290.65886432363</v>
      </c>
      <c r="K76" s="232">
        <f t="shared" si="3"/>
        <v>5304.0446509040203</v>
      </c>
      <c r="L76" s="233">
        <f t="shared" si="4"/>
        <v>2265773.7277849605</v>
      </c>
      <c r="M76" s="234">
        <f t="shared" si="5"/>
        <v>163364.57524784384</v>
      </c>
      <c r="N76" s="190">
        <f t="shared" si="6"/>
        <v>0</v>
      </c>
      <c r="O76" s="13">
        <f>N76/(1+disc1)^($F76-'A - Inputs'!$C$6)</f>
        <v>0</v>
      </c>
      <c r="P76" s="13">
        <f>$N76/(1+disc2)^($F76-'A - Inputs'!$C$6)</f>
        <v>0</v>
      </c>
    </row>
    <row r="77" spans="6:16" x14ac:dyDescent="0.25">
      <c r="F77" s="193">
        <f t="shared" si="7"/>
        <v>2038</v>
      </c>
      <c r="G77" s="194">
        <f t="shared" si="8"/>
        <v>19</v>
      </c>
      <c r="H77" s="231">
        <f t="shared" si="0"/>
        <v>76221.951415762655</v>
      </c>
      <c r="I77" s="232">
        <f t="shared" si="1"/>
        <v>5304.0446509040203</v>
      </c>
      <c r="J77" s="231">
        <f t="shared" si="2"/>
        <v>127290.65886432363</v>
      </c>
      <c r="K77" s="232">
        <f t="shared" si="3"/>
        <v>5304.0446509040203</v>
      </c>
      <c r="L77" s="233">
        <f t="shared" si="4"/>
        <v>2265773.7277849605</v>
      </c>
      <c r="M77" s="234">
        <f t="shared" si="5"/>
        <v>163364.57524784384</v>
      </c>
      <c r="N77" s="190">
        <f t="shared" si="6"/>
        <v>0</v>
      </c>
      <c r="O77" s="13">
        <f>N77/(1+disc1)^($F77-'A - Inputs'!$C$6)</f>
        <v>0</v>
      </c>
      <c r="P77" s="13">
        <f>$N77/(1+disc2)^($F77-'A - Inputs'!$C$6)</f>
        <v>0</v>
      </c>
    </row>
    <row r="78" spans="6:16" x14ac:dyDescent="0.25">
      <c r="F78" s="193">
        <f t="shared" si="7"/>
        <v>2039</v>
      </c>
      <c r="G78" s="194">
        <f t="shared" si="8"/>
        <v>20</v>
      </c>
      <c r="H78" s="231">
        <f t="shared" si="0"/>
        <v>76221.951415762655</v>
      </c>
      <c r="I78" s="232">
        <f t="shared" si="1"/>
        <v>5304.0446509040203</v>
      </c>
      <c r="J78" s="231">
        <f t="shared" si="2"/>
        <v>127290.65886432363</v>
      </c>
      <c r="K78" s="232">
        <f t="shared" si="3"/>
        <v>5304.0446509040203</v>
      </c>
      <c r="L78" s="233">
        <f t="shared" si="4"/>
        <v>2265773.7277849605</v>
      </c>
      <c r="M78" s="234">
        <f t="shared" si="5"/>
        <v>163364.57524784384</v>
      </c>
      <c r="N78" s="190">
        <f t="shared" si="6"/>
        <v>0</v>
      </c>
      <c r="O78" s="13">
        <f>N78/(1+disc1)^($F78-'A - Inputs'!$C$6)</f>
        <v>0</v>
      </c>
      <c r="P78" s="13">
        <f>$N78/(1+disc2)^($F78-'A - Inputs'!$C$6)</f>
        <v>0</v>
      </c>
    </row>
    <row r="79" spans="6:16" x14ac:dyDescent="0.25">
      <c r="F79" s="193">
        <f t="shared" si="7"/>
        <v>2040</v>
      </c>
      <c r="G79" s="194">
        <f t="shared" si="8"/>
        <v>21</v>
      </c>
      <c r="H79" s="231">
        <f t="shared" si="0"/>
        <v>76221.951415762655</v>
      </c>
      <c r="I79" s="232">
        <f t="shared" si="1"/>
        <v>5304.0446509040203</v>
      </c>
      <c r="J79" s="231">
        <f t="shared" si="2"/>
        <v>127290.65886432363</v>
      </c>
      <c r="K79" s="232">
        <f t="shared" si="3"/>
        <v>5304.0446509040203</v>
      </c>
      <c r="L79" s="233">
        <f t="shared" si="4"/>
        <v>2265773.7277849605</v>
      </c>
      <c r="M79" s="234">
        <f t="shared" si="5"/>
        <v>163364.57524784384</v>
      </c>
      <c r="N79" s="190">
        <f t="shared" si="6"/>
        <v>0</v>
      </c>
      <c r="O79" s="13">
        <f>N79/(1+disc1)^($F79-'A - Inputs'!$C$6)</f>
        <v>0</v>
      </c>
      <c r="P79" s="13">
        <f>$N79/(1+disc2)^($F79-'A - Inputs'!$C$6)</f>
        <v>0</v>
      </c>
    </row>
    <row r="80" spans="6:16" x14ac:dyDescent="0.25">
      <c r="F80" s="193">
        <f t="shared" si="7"/>
        <v>2041</v>
      </c>
      <c r="G80" s="194">
        <f t="shared" si="8"/>
        <v>22</v>
      </c>
      <c r="H80" s="231">
        <f t="shared" si="0"/>
        <v>76221.951415762655</v>
      </c>
      <c r="I80" s="232">
        <f t="shared" si="1"/>
        <v>5304.0446509040203</v>
      </c>
      <c r="J80" s="231">
        <f t="shared" si="2"/>
        <v>127290.65886432363</v>
      </c>
      <c r="K80" s="232">
        <f t="shared" si="3"/>
        <v>5304.0446509040203</v>
      </c>
      <c r="L80" s="233">
        <f t="shared" si="4"/>
        <v>2265773.7277849605</v>
      </c>
      <c r="M80" s="234">
        <f t="shared" si="5"/>
        <v>163364.57524784384</v>
      </c>
      <c r="N80" s="190">
        <f t="shared" si="6"/>
        <v>0</v>
      </c>
      <c r="O80" s="13">
        <f>N80/(1+disc1)^($F80-'A - Inputs'!$C$6)</f>
        <v>0</v>
      </c>
      <c r="P80" s="13">
        <f>$N80/(1+disc2)^($F80-'A - Inputs'!$C$6)</f>
        <v>0</v>
      </c>
    </row>
    <row r="81" spans="6:16" x14ac:dyDescent="0.25">
      <c r="F81" s="193">
        <f t="shared" si="7"/>
        <v>2042</v>
      </c>
      <c r="G81" s="194">
        <f t="shared" si="8"/>
        <v>23</v>
      </c>
      <c r="H81" s="231">
        <f t="shared" si="0"/>
        <v>76221.951415762655</v>
      </c>
      <c r="I81" s="232">
        <f t="shared" si="1"/>
        <v>5304.0446509040203</v>
      </c>
      <c r="J81" s="231">
        <f t="shared" si="2"/>
        <v>127290.65886432363</v>
      </c>
      <c r="K81" s="232">
        <f t="shared" si="3"/>
        <v>5304.0446509040203</v>
      </c>
      <c r="L81" s="233">
        <f t="shared" si="4"/>
        <v>2265773.7277849605</v>
      </c>
      <c r="M81" s="234">
        <f t="shared" si="5"/>
        <v>163364.57524784384</v>
      </c>
      <c r="N81" s="190">
        <f t="shared" si="6"/>
        <v>0</v>
      </c>
      <c r="O81" s="13">
        <f>N81/(1+disc1)^($F81-'A - Inputs'!$C$6)</f>
        <v>0</v>
      </c>
      <c r="P81" s="13">
        <f>$N81/(1+disc2)^($F81-'A - Inputs'!$C$6)</f>
        <v>0</v>
      </c>
    </row>
    <row r="82" spans="6:16" x14ac:dyDescent="0.25">
      <c r="F82" s="193">
        <f t="shared" si="7"/>
        <v>2043</v>
      </c>
      <c r="G82" s="194">
        <f t="shared" si="8"/>
        <v>24</v>
      </c>
      <c r="H82" s="231">
        <f t="shared" si="0"/>
        <v>76221.951415762655</v>
      </c>
      <c r="I82" s="232">
        <f t="shared" si="1"/>
        <v>5304.0446509040203</v>
      </c>
      <c r="J82" s="231">
        <f t="shared" si="2"/>
        <v>127290.65886432363</v>
      </c>
      <c r="K82" s="232">
        <f t="shared" si="3"/>
        <v>5304.0446509040203</v>
      </c>
      <c r="L82" s="233">
        <f t="shared" si="4"/>
        <v>2265773.7277849605</v>
      </c>
      <c r="M82" s="234">
        <f t="shared" si="5"/>
        <v>163364.57524784384</v>
      </c>
      <c r="N82" s="190">
        <f t="shared" si="6"/>
        <v>0</v>
      </c>
      <c r="O82" s="13">
        <f>N82/(1+disc1)^($F82-'A - Inputs'!$C$6)</f>
        <v>0</v>
      </c>
      <c r="P82" s="13">
        <f>$N82/(1+disc2)^($F82-'A - Inputs'!$C$6)</f>
        <v>0</v>
      </c>
    </row>
    <row r="83" spans="6:16" x14ac:dyDescent="0.25">
      <c r="F83" s="193">
        <f t="shared" si="7"/>
        <v>2044</v>
      </c>
      <c r="G83" s="194">
        <f t="shared" si="8"/>
        <v>25</v>
      </c>
      <c r="H83" s="231">
        <f t="shared" si="0"/>
        <v>76221.951415762655</v>
      </c>
      <c r="I83" s="232">
        <f t="shared" si="1"/>
        <v>5304.0446509040203</v>
      </c>
      <c r="J83" s="231">
        <f t="shared" si="2"/>
        <v>127290.65886432363</v>
      </c>
      <c r="K83" s="232">
        <f t="shared" si="3"/>
        <v>5304.0446509040203</v>
      </c>
      <c r="L83" s="233">
        <f t="shared" si="4"/>
        <v>2265773.7277849605</v>
      </c>
      <c r="M83" s="234">
        <f t="shared" si="5"/>
        <v>163364.57524784384</v>
      </c>
      <c r="N83" s="190">
        <f t="shared" si="6"/>
        <v>0</v>
      </c>
      <c r="O83" s="13">
        <f>N83/(1+disc1)^($F83-'A - Inputs'!$C$6)</f>
        <v>0</v>
      </c>
      <c r="P83" s="13">
        <f>$N83/(1+disc2)^($F83-'A - Inputs'!$C$6)</f>
        <v>0</v>
      </c>
    </row>
    <row r="84" spans="6:16" x14ac:dyDescent="0.25">
      <c r="F84" s="193">
        <f t="shared" si="7"/>
        <v>2045</v>
      </c>
      <c r="G84" s="194">
        <f t="shared" si="8"/>
        <v>26</v>
      </c>
      <c r="H84" s="231">
        <f t="shared" si="0"/>
        <v>76221.951415762655</v>
      </c>
      <c r="I84" s="232">
        <f t="shared" si="1"/>
        <v>5304.0446509040203</v>
      </c>
      <c r="J84" s="231">
        <f t="shared" si="2"/>
        <v>127290.65886432363</v>
      </c>
      <c r="K84" s="232">
        <f t="shared" si="3"/>
        <v>5304.0446509040203</v>
      </c>
      <c r="L84" s="233">
        <f t="shared" si="4"/>
        <v>2265773.7277849605</v>
      </c>
      <c r="M84" s="234">
        <f t="shared" si="5"/>
        <v>163364.57524784384</v>
      </c>
      <c r="N84" s="190">
        <f t="shared" si="6"/>
        <v>0</v>
      </c>
      <c r="O84" s="13">
        <f>N84/(1+disc1)^($F84-'A - Inputs'!$C$6)</f>
        <v>0</v>
      </c>
      <c r="P84" s="13">
        <f>$N84/(1+disc2)^($F84-'A - Inputs'!$C$6)</f>
        <v>0</v>
      </c>
    </row>
    <row r="85" spans="6:16" x14ac:dyDescent="0.25">
      <c r="F85" s="193">
        <f t="shared" si="7"/>
        <v>2046</v>
      </c>
      <c r="G85" s="194">
        <f t="shared" si="8"/>
        <v>27</v>
      </c>
      <c r="H85" s="231">
        <f t="shared" si="0"/>
        <v>76221.951415762655</v>
      </c>
      <c r="I85" s="232">
        <f t="shared" si="1"/>
        <v>5304.0446509040203</v>
      </c>
      <c r="J85" s="231">
        <f t="shared" si="2"/>
        <v>127290.65886432363</v>
      </c>
      <c r="K85" s="232">
        <f t="shared" si="3"/>
        <v>5304.0446509040203</v>
      </c>
      <c r="L85" s="233">
        <f t="shared" si="4"/>
        <v>2265773.7277849605</v>
      </c>
      <c r="M85" s="234">
        <f t="shared" si="5"/>
        <v>163364.57524784384</v>
      </c>
      <c r="N85" s="190">
        <f t="shared" si="6"/>
        <v>0</v>
      </c>
      <c r="O85" s="13">
        <f>N85/(1+disc1)^($F85-'A - Inputs'!$C$6)</f>
        <v>0</v>
      </c>
      <c r="P85" s="13">
        <f>$N85/(1+disc2)^($F85-'A - Inputs'!$C$6)</f>
        <v>0</v>
      </c>
    </row>
    <row r="86" spans="6:16" x14ac:dyDescent="0.25">
      <c r="F86" s="193">
        <f t="shared" si="7"/>
        <v>2047</v>
      </c>
      <c r="G86" s="194">
        <f t="shared" si="8"/>
        <v>28</v>
      </c>
      <c r="H86" s="231">
        <f t="shared" si="0"/>
        <v>76221.951415762655</v>
      </c>
      <c r="I86" s="232">
        <f t="shared" si="1"/>
        <v>5304.0446509040203</v>
      </c>
      <c r="J86" s="231">
        <f t="shared" si="2"/>
        <v>127290.65886432363</v>
      </c>
      <c r="K86" s="232">
        <f t="shared" si="3"/>
        <v>5304.0446509040203</v>
      </c>
      <c r="L86" s="233">
        <f t="shared" si="4"/>
        <v>2265773.7277849605</v>
      </c>
      <c r="M86" s="234">
        <f t="shared" si="5"/>
        <v>163364.57524784384</v>
      </c>
      <c r="N86" s="190">
        <f t="shared" si="6"/>
        <v>0</v>
      </c>
      <c r="O86" s="13">
        <f>N86/(1+disc1)^($F86-'A - Inputs'!$C$6)</f>
        <v>0</v>
      </c>
      <c r="P86" s="13">
        <f>$N86/(1+disc2)^($F86-'A - Inputs'!$C$6)</f>
        <v>0</v>
      </c>
    </row>
    <row r="87" spans="6:16" x14ac:dyDescent="0.25">
      <c r="F87" s="193">
        <f t="shared" si="7"/>
        <v>2048</v>
      </c>
      <c r="G87" s="194">
        <f t="shared" si="8"/>
        <v>29</v>
      </c>
      <c r="H87" s="231">
        <f t="shared" si="0"/>
        <v>76221.951415762655</v>
      </c>
      <c r="I87" s="232">
        <f t="shared" si="1"/>
        <v>5304.0446509040203</v>
      </c>
      <c r="J87" s="231">
        <f t="shared" si="2"/>
        <v>127290.65886432363</v>
      </c>
      <c r="K87" s="232">
        <f t="shared" si="3"/>
        <v>5304.0446509040203</v>
      </c>
      <c r="L87" s="233">
        <f t="shared" si="4"/>
        <v>2265773.7277849605</v>
      </c>
      <c r="M87" s="234">
        <f t="shared" si="5"/>
        <v>163364.57524784384</v>
      </c>
      <c r="N87" s="190">
        <f t="shared" si="6"/>
        <v>0</v>
      </c>
      <c r="O87" s="13">
        <f>N87/(1+disc1)^($F87-'A - Inputs'!$C$6)</f>
        <v>0</v>
      </c>
      <c r="P87" s="13">
        <f>$N87/(1+disc2)^($F87-'A - Inputs'!$C$6)</f>
        <v>0</v>
      </c>
    </row>
    <row r="88" spans="6:16" x14ac:dyDescent="0.25">
      <c r="F88" s="193">
        <f t="shared" si="7"/>
        <v>2049</v>
      </c>
      <c r="G88" s="194">
        <f t="shared" si="8"/>
        <v>30</v>
      </c>
      <c r="H88" s="231">
        <f t="shared" si="0"/>
        <v>76221.951415762655</v>
      </c>
      <c r="I88" s="232">
        <f t="shared" si="1"/>
        <v>5304.0446509040203</v>
      </c>
      <c r="J88" s="231">
        <f t="shared" si="2"/>
        <v>127290.65886432363</v>
      </c>
      <c r="K88" s="232">
        <f t="shared" si="3"/>
        <v>5304.0446509040203</v>
      </c>
      <c r="L88" s="233">
        <f t="shared" si="4"/>
        <v>2265773.7277849605</v>
      </c>
      <c r="M88" s="234">
        <f t="shared" si="5"/>
        <v>163364.57524784384</v>
      </c>
      <c r="N88" s="190">
        <f t="shared" si="6"/>
        <v>0</v>
      </c>
      <c r="O88" s="13">
        <f>N88/(1+disc1)^($F88-'A - Inputs'!$C$6)</f>
        <v>0</v>
      </c>
      <c r="P88" s="13">
        <f>$N88/(1+disc2)^($F88-'A - Inputs'!$C$6)</f>
        <v>0</v>
      </c>
    </row>
    <row r="89" spans="6:16" x14ac:dyDescent="0.25">
      <c r="F89" s="193">
        <f t="shared" si="7"/>
        <v>2050</v>
      </c>
      <c r="G89" s="194">
        <f t="shared" si="8"/>
        <v>31</v>
      </c>
      <c r="H89" s="231">
        <f t="shared" si="0"/>
        <v>76221.951415762655</v>
      </c>
      <c r="I89" s="232">
        <f t="shared" si="1"/>
        <v>5304.0446509040203</v>
      </c>
      <c r="J89" s="231">
        <f t="shared" si="2"/>
        <v>127290.65886432363</v>
      </c>
      <c r="K89" s="232">
        <f t="shared" si="3"/>
        <v>5304.0446509040203</v>
      </c>
      <c r="L89" s="233">
        <f t="shared" si="4"/>
        <v>2265773.7277849605</v>
      </c>
      <c r="M89" s="234">
        <f t="shared" si="5"/>
        <v>163364.57524784384</v>
      </c>
      <c r="N89" s="190">
        <f t="shared" si="6"/>
        <v>0</v>
      </c>
      <c r="O89" s="13">
        <f>N89/(1+disc1)^($F89-'A - Inputs'!$C$6)</f>
        <v>0</v>
      </c>
      <c r="P89" s="13">
        <f>$N89/(1+disc2)^($F89-'A - Inputs'!$C$6)</f>
        <v>0</v>
      </c>
    </row>
    <row r="90" spans="6:16" x14ac:dyDescent="0.25">
      <c r="F90" s="193">
        <f t="shared" si="7"/>
        <v>2051</v>
      </c>
      <c r="G90" s="194">
        <f t="shared" si="8"/>
        <v>32</v>
      </c>
      <c r="H90" s="231">
        <f t="shared" si="0"/>
        <v>76221.951415762655</v>
      </c>
      <c r="I90" s="232">
        <f t="shared" si="1"/>
        <v>5304.0446509040203</v>
      </c>
      <c r="J90" s="231">
        <f t="shared" si="2"/>
        <v>127290.65886432363</v>
      </c>
      <c r="K90" s="232">
        <f t="shared" si="3"/>
        <v>5304.0446509040203</v>
      </c>
      <c r="L90" s="233">
        <f t="shared" si="4"/>
        <v>2265773.7277849605</v>
      </c>
      <c r="M90" s="234">
        <f t="shared" si="5"/>
        <v>163364.57524784384</v>
      </c>
      <c r="N90" s="190">
        <f t="shared" si="6"/>
        <v>0</v>
      </c>
      <c r="O90" s="13">
        <f>N90/(1+disc1)^($F90-'A - Inputs'!$C$6)</f>
        <v>0</v>
      </c>
      <c r="P90" s="13">
        <f>$N90/(1+disc2)^($F90-'A - Inputs'!$C$6)</f>
        <v>0</v>
      </c>
    </row>
    <row r="91" spans="6:16" x14ac:dyDescent="0.25">
      <c r="F91" s="193">
        <f t="shared" si="7"/>
        <v>2052</v>
      </c>
      <c r="G91" s="194">
        <f t="shared" si="8"/>
        <v>33</v>
      </c>
      <c r="H91" s="231">
        <f t="shared" si="0"/>
        <v>76221.951415762655</v>
      </c>
      <c r="I91" s="232">
        <f t="shared" si="1"/>
        <v>5304.0446509040203</v>
      </c>
      <c r="J91" s="231">
        <f t="shared" si="2"/>
        <v>127290.65886432363</v>
      </c>
      <c r="K91" s="232">
        <f t="shared" si="3"/>
        <v>5304.0446509040203</v>
      </c>
      <c r="L91" s="233">
        <f t="shared" si="4"/>
        <v>2265773.7277849605</v>
      </c>
      <c r="M91" s="234">
        <f t="shared" si="5"/>
        <v>163364.57524784384</v>
      </c>
      <c r="N91" s="190">
        <f t="shared" si="6"/>
        <v>0</v>
      </c>
      <c r="O91" s="13">
        <f>N91/(1+disc1)^($F91-'A - Inputs'!$C$6)</f>
        <v>0</v>
      </c>
      <c r="P91" s="13">
        <f>$N91/(1+disc2)^($F91-'A - Inputs'!$C$6)</f>
        <v>0</v>
      </c>
    </row>
    <row r="92" spans="6:16" x14ac:dyDescent="0.25">
      <c r="F92" s="193">
        <f t="shared" si="7"/>
        <v>2053</v>
      </c>
      <c r="G92" s="194">
        <f t="shared" si="8"/>
        <v>34</v>
      </c>
      <c r="H92" s="231">
        <f t="shared" si="0"/>
        <v>76221.951415762655</v>
      </c>
      <c r="I92" s="232">
        <f t="shared" si="1"/>
        <v>5304.0446509040203</v>
      </c>
      <c r="J92" s="231">
        <f t="shared" si="2"/>
        <v>127290.65886432363</v>
      </c>
      <c r="K92" s="232">
        <f t="shared" si="3"/>
        <v>5304.0446509040203</v>
      </c>
      <c r="L92" s="233">
        <f t="shared" si="4"/>
        <v>2265773.7277849605</v>
      </c>
      <c r="M92" s="234">
        <f t="shared" si="5"/>
        <v>163364.57524784384</v>
      </c>
      <c r="N92" s="190">
        <f t="shared" si="6"/>
        <v>0</v>
      </c>
      <c r="O92" s="13">
        <f>N92/(1+disc1)^($F92-'A - Inputs'!$C$6)</f>
        <v>0</v>
      </c>
      <c r="P92" s="13">
        <f>$N92/(1+disc2)^($F92-'A - Inputs'!$C$6)</f>
        <v>0</v>
      </c>
    </row>
    <row r="93" spans="6:16" x14ac:dyDescent="0.25">
      <c r="F93" s="193">
        <f t="shared" si="7"/>
        <v>2054</v>
      </c>
      <c r="G93" s="194">
        <f t="shared" si="8"/>
        <v>35</v>
      </c>
      <c r="H93" s="231">
        <f t="shared" si="0"/>
        <v>76221.951415762655</v>
      </c>
      <c r="I93" s="232">
        <f t="shared" si="1"/>
        <v>5304.0446509040203</v>
      </c>
      <c r="J93" s="231">
        <f t="shared" si="2"/>
        <v>127290.65886432363</v>
      </c>
      <c r="K93" s="232">
        <f t="shared" si="3"/>
        <v>5304.0446509040203</v>
      </c>
      <c r="L93" s="233">
        <f t="shared" si="4"/>
        <v>2265773.7277849605</v>
      </c>
      <c r="M93" s="234">
        <f t="shared" si="5"/>
        <v>163364.57524784384</v>
      </c>
      <c r="N93" s="190">
        <f t="shared" si="6"/>
        <v>0</v>
      </c>
      <c r="O93" s="13">
        <f>N93/(1+disc1)^($F93-'A - Inputs'!$C$6)</f>
        <v>0</v>
      </c>
      <c r="P93" s="13">
        <f>$N93/(1+disc2)^($F93-'A - Inputs'!$C$6)</f>
        <v>0</v>
      </c>
    </row>
    <row r="94" spans="6:16" x14ac:dyDescent="0.25">
      <c r="F94" s="220" t="s">
        <v>48</v>
      </c>
      <c r="G94" s="221"/>
      <c r="H94" s="222">
        <f t="shared" ref="H94:P94" si="9">SUM(H59:H93)</f>
        <v>2210436.5910571185</v>
      </c>
      <c r="I94" s="223">
        <f t="shared" si="9"/>
        <v>153817.29487621659</v>
      </c>
      <c r="J94" s="222">
        <f t="shared" si="9"/>
        <v>3691429.1070653829</v>
      </c>
      <c r="K94" s="223">
        <f t="shared" si="9"/>
        <v>153817.29487621659</v>
      </c>
      <c r="L94" s="52">
        <f t="shared" si="9"/>
        <v>65707438.105763875</v>
      </c>
      <c r="M94" s="51">
        <f t="shared" si="9"/>
        <v>4737572.6821874697</v>
      </c>
      <c r="N94" s="224">
        <f t="shared" si="9"/>
        <v>17003968.12122963</v>
      </c>
      <c r="O94" s="224">
        <f t="shared" si="9"/>
        <v>13054910.224227605</v>
      </c>
      <c r="P94" s="224">
        <f t="shared" si="9"/>
        <v>9333936.8702927176</v>
      </c>
    </row>
  </sheetData>
  <pageMargins left="0.7" right="0.7" top="0.75" bottom="0.75" header="0.3" footer="0.3"/>
  <pageSetup scale="79" orientation="landscape" horizontalDpi="90" verticalDpi="90" r:id="rId1"/>
  <headerFooter>
    <oddHeader>&amp;L&amp;"Arial,Bold"Florida Department of Transportation - SMART St. Augustine&amp;R&amp;"Arial,Bold"&amp;A</oddHeader>
    <oddFooter>&amp;CPage F-&amp;P</oddFooter>
  </headerFooter>
  <rowBreaks count="1" manualBreakCount="1">
    <brk id="35" min="1" max="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A21A4-B6D6-40C4-B57A-0502B15C83FB}">
  <dimension ref="B1:AM43"/>
  <sheetViews>
    <sheetView zoomScale="70" zoomScaleNormal="70" workbookViewId="0">
      <pane xSplit="1995" activePane="topRight"/>
      <selection activeCell="A37" sqref="A37"/>
      <selection pane="topRight" activeCell="U12" sqref="U12"/>
    </sheetView>
  </sheetViews>
  <sheetFormatPr defaultColWidth="9.140625" defaultRowHeight="15" x14ac:dyDescent="0.25"/>
  <cols>
    <col min="1" max="1" width="11.28515625" style="89" customWidth="1"/>
    <col min="2" max="3" width="10.7109375" style="89" customWidth="1"/>
    <col min="4" max="5" width="18.140625" style="89" bestFit="1" customWidth="1"/>
    <col min="6" max="22" width="13.42578125" style="89" customWidth="1"/>
    <col min="23" max="23" width="14.140625" style="89" bestFit="1" customWidth="1"/>
    <col min="24" max="25" width="19.85546875" style="89" customWidth="1"/>
    <col min="26" max="26" width="12" style="89" customWidth="1"/>
    <col min="27" max="27" width="5.42578125" style="89" bestFit="1" customWidth="1"/>
    <col min="28" max="28" width="26.42578125" style="89" bestFit="1" customWidth="1"/>
    <col min="29" max="29" width="10.140625" style="89" bestFit="1" customWidth="1"/>
    <col min="30" max="31" width="22.140625" style="89" customWidth="1"/>
    <col min="32" max="32" width="24.42578125" style="89" customWidth="1"/>
    <col min="33" max="33" width="9.140625" style="89"/>
    <col min="34" max="34" width="19.42578125" style="89" bestFit="1" customWidth="1"/>
    <col min="35" max="16384" width="9.140625" style="89"/>
  </cols>
  <sheetData>
    <row r="1" spans="2:39" x14ac:dyDescent="0.25">
      <c r="D1" s="169" t="s">
        <v>233</v>
      </c>
      <c r="E1" s="170" t="s">
        <v>234</v>
      </c>
      <c r="F1" s="89" t="s">
        <v>235</v>
      </c>
    </row>
    <row r="2" spans="2:39" x14ac:dyDescent="0.25">
      <c r="E2" s="171" t="str">
        <f>IF($E$1="VHT",AB9,IF($E$1="VMT",AB24,"NA"))&amp;":"</f>
        <v>Idle Emissions (grams/hr):</v>
      </c>
      <c r="F2" s="172">
        <f>IF($E$1="VHT",INDEX($AD$11:$AD$15,MATCH(F$5,$AC$11:$AC$15,0)),IF($E$1="VMT",INDEX($AD$26:$AD$30,MATCH(F$5,$AC$26:$AC$30,0)),"NA"))</f>
        <v>3.5150000000000001</v>
      </c>
      <c r="G2" s="172" t="str">
        <f>IF($E$1="VHT",INDEX($AD$11:$AD$15,MATCH(G$5,$AC$11:$AC$15,0)),IF($E$1="VMT",INDEX($AD$26:$AD$30,MATCH(G$5,$AC$26:$AC$30,0)),"NA"))</f>
        <v>-</v>
      </c>
      <c r="H2" s="172" t="str">
        <f>IF($E$1="VHT",INDEX($AD$11:$AD$15,MATCH(H$5,$AC$11:$AC$15,0)),IF($E$1="VMT",INDEX($AD$26:$AD$30,MATCH(H$5,$AC$26:$AC$30,0)),"NA"))</f>
        <v>-</v>
      </c>
      <c r="I2" s="172">
        <f>IF($E$1="VHT",INDEX($AD$11:$AD$15,MATCH(I$5,$AC$11:$AC$15,0)),IF($E$1="VMT",INDEX($AD$26:$AD$30,MATCH(I$5,$AC$26:$AC$30,0)),"NA"))</f>
        <v>2116.8000000000002</v>
      </c>
      <c r="J2" s="172">
        <f>IF($E$1="VHT",INDEX($AD$11:$AD$15,MATCH(J$5,$AC$11:$AC$15,0)),IF($E$1="VMT",INDEX($AD$26:$AD$30,MATCH(J$5,$AC$26:$AC$30,0)),"NA"))</f>
        <v>2.6829999999999998</v>
      </c>
      <c r="K2" s="172">
        <f>IF($E$1="VHT",INDEX($AE$11:$AE$15,MATCH(K$5,$AC$11:$AC$15,0)),IF($E$1="VMT",INDEX($AE$26:$AE$30,MATCH(K$5,$AC$26:$AC$30,0)),"NA"))</f>
        <v>33.762999999999998</v>
      </c>
      <c r="L2" s="172" t="str">
        <f>IF($E$1="VHT",INDEX($AE$11:$AE$15,MATCH(L$5,$AC$11:$AC$15,0)),IF($E$1="VMT",INDEX($AE$26:$AE$30,MATCH(L$5,$AC$26:$AC$30,0)),"NA"))</f>
        <v>-</v>
      </c>
      <c r="M2" s="172">
        <f>IF($E$1="VHT",INDEX($AE$11:$AE$15,MATCH(M$5,$AC$11:$AC$15,0)),IF($E$1="VMT",INDEX($AE$26:$AE$30,MATCH(M$5,$AC$26:$AC$30,0)),"NA"))</f>
        <v>1.1000000000000001</v>
      </c>
      <c r="N2" s="172">
        <f>IF($E$1="VHT",INDEX($AE$11:$AE$15,MATCH(N$5,$AC$11:$AC$15,0)),IF($E$1="VMT",INDEX($AE$26:$AE$30,MATCH(N$5,$AC$26:$AC$30,0)),"NA"))</f>
        <v>4560</v>
      </c>
      <c r="O2" s="172">
        <f>IF($E$1="VHT",INDEX($AE$11:$AE$15,MATCH(O$5,$AC$11:$AC$15,0)),IF($E$1="VMT",INDEX($AE$26:$AE$30,MATCH(O$5,$AC$26:$AC$30,0)),"NA"))</f>
        <v>3.4550000000000001</v>
      </c>
    </row>
    <row r="3" spans="2:39" ht="15" customHeight="1" x14ac:dyDescent="0.25">
      <c r="W3" s="173"/>
    </row>
    <row r="4" spans="2:39" ht="15" customHeight="1" x14ac:dyDescent="0.25">
      <c r="B4" s="173"/>
      <c r="C4" s="174"/>
      <c r="D4" s="175" t="s">
        <v>236</v>
      </c>
      <c r="E4" s="176"/>
      <c r="F4" s="175" t="s">
        <v>237</v>
      </c>
      <c r="G4" s="175"/>
      <c r="H4" s="175"/>
      <c r="I4" s="175"/>
      <c r="J4" s="176"/>
      <c r="K4" s="175" t="s">
        <v>238</v>
      </c>
      <c r="L4" s="175"/>
      <c r="M4" s="175"/>
      <c r="N4" s="175"/>
      <c r="O4" s="175"/>
      <c r="P4" s="175" t="s">
        <v>239</v>
      </c>
      <c r="Q4" s="175"/>
      <c r="R4" s="175"/>
      <c r="S4" s="175"/>
      <c r="T4" s="176"/>
      <c r="U4" s="175" t="s">
        <v>240</v>
      </c>
      <c r="V4" s="176"/>
      <c r="W4" s="92" t="s">
        <v>241</v>
      </c>
      <c r="X4" s="92"/>
      <c r="Y4" s="92"/>
      <c r="Z4" s="172"/>
      <c r="AB4" s="175" t="s">
        <v>242</v>
      </c>
      <c r="AC4" s="175"/>
      <c r="AD4" s="175"/>
      <c r="AE4" s="175"/>
      <c r="AF4" s="175"/>
      <c r="AH4" s="175" t="s">
        <v>243</v>
      </c>
      <c r="AI4" s="175"/>
      <c r="AJ4" s="175"/>
      <c r="AK4" s="175"/>
      <c r="AL4" s="175"/>
      <c r="AM4" s="175"/>
    </row>
    <row r="5" spans="2:39" ht="30" customHeight="1" x14ac:dyDescent="0.25">
      <c r="B5" s="177" t="s">
        <v>42</v>
      </c>
      <c r="C5" s="178" t="s">
        <v>43</v>
      </c>
      <c r="D5" s="179" t="s">
        <v>231</v>
      </c>
      <c r="E5" s="180" t="s">
        <v>232</v>
      </c>
      <c r="F5" s="179" t="str">
        <f>K5</f>
        <v>NOX</v>
      </c>
      <c r="G5" s="179" t="str">
        <f>L5</f>
        <v>SO2</v>
      </c>
      <c r="H5" s="179" t="str">
        <f>M5</f>
        <v>PM2.5</v>
      </c>
      <c r="I5" s="179" t="str">
        <f>N5</f>
        <v>CO2</v>
      </c>
      <c r="J5" s="180" t="str">
        <f>O5</f>
        <v>VOCs</v>
      </c>
      <c r="K5" s="179" t="str">
        <f>AI5</f>
        <v>NOX</v>
      </c>
      <c r="L5" s="179" t="str">
        <f>AJ5</f>
        <v>SO2</v>
      </c>
      <c r="M5" s="179" t="str">
        <f>AK5</f>
        <v>PM2.5</v>
      </c>
      <c r="N5" s="179" t="str">
        <f>AL5</f>
        <v>CO2</v>
      </c>
      <c r="O5" s="181" t="str">
        <f>AM5</f>
        <v>VOCs</v>
      </c>
      <c r="P5" s="275" t="str">
        <f>F5</f>
        <v>NOX</v>
      </c>
      <c r="Q5" s="275" t="str">
        <f>G5</f>
        <v>SO2</v>
      </c>
      <c r="R5" s="275" t="str">
        <f>H5</f>
        <v>PM2.5</v>
      </c>
      <c r="S5" s="276" t="str">
        <f>I5</f>
        <v>CO2</v>
      </c>
      <c r="T5" s="277" t="str">
        <f>J5</f>
        <v>VOCs</v>
      </c>
      <c r="U5" s="179" t="s">
        <v>231</v>
      </c>
      <c r="V5" s="181" t="s">
        <v>232</v>
      </c>
      <c r="W5" s="179" t="s">
        <v>48</v>
      </c>
      <c r="X5" s="177" t="str">
        <f>"Present Value ("&amp;TEXT(disc1,"0%")&amp;" Discount Rate)"</f>
        <v>Present Value (3% Discount Rate)</v>
      </c>
      <c r="Y5" s="177" t="str">
        <f>"Present Value ("&amp;TEXT(disc2,"0%")&amp;" Discount Rate)"</f>
        <v>Present Value (7% Discount Rate)</v>
      </c>
      <c r="Z5" s="182"/>
      <c r="AB5"/>
      <c r="AC5"/>
      <c r="AD5"/>
      <c r="AE5"/>
      <c r="AH5" s="183" t="s">
        <v>244</v>
      </c>
      <c r="AI5" s="184" t="s">
        <v>245</v>
      </c>
      <c r="AJ5" s="184" t="s">
        <v>246</v>
      </c>
      <c r="AK5" s="184" t="s">
        <v>247</v>
      </c>
      <c r="AL5" s="184" t="s">
        <v>248</v>
      </c>
      <c r="AM5" s="184" t="s">
        <v>249</v>
      </c>
    </row>
    <row r="6" spans="2:39" ht="15" hidden="1" customHeight="1" x14ac:dyDescent="0.25">
      <c r="B6" s="26">
        <f>'A - Inputs'!$C$7</f>
        <v>2020</v>
      </c>
      <c r="C6" s="185">
        <v>1</v>
      </c>
      <c r="D6" s="238">
        <f>'F - Travel Time'!H59</f>
        <v>0</v>
      </c>
      <c r="E6" s="239">
        <f>'F - Travel Time'!I59</f>
        <v>0</v>
      </c>
      <c r="F6" s="186">
        <f t="shared" ref="F6:J15" si="0">IFERROR(IF($B6&lt;BenefitStart,0,$D6*F$2/$AC$6),0)</f>
        <v>0</v>
      </c>
      <c r="G6" s="186">
        <f t="shared" si="0"/>
        <v>0</v>
      </c>
      <c r="H6" s="186">
        <f t="shared" si="0"/>
        <v>0</v>
      </c>
      <c r="I6" s="186">
        <f t="shared" si="0"/>
        <v>0</v>
      </c>
      <c r="J6" s="187">
        <f t="shared" si="0"/>
        <v>0</v>
      </c>
      <c r="K6" s="186">
        <f t="shared" ref="K6:O15" si="1">IFERROR(IF($B6&lt;BenefitStart,0,$E6*K$2/$AC$6),0)</f>
        <v>0</v>
      </c>
      <c r="L6" s="186">
        <f t="shared" si="1"/>
        <v>0</v>
      </c>
      <c r="M6" s="186">
        <f t="shared" si="1"/>
        <v>0</v>
      </c>
      <c r="N6" s="186">
        <f t="shared" si="1"/>
        <v>0</v>
      </c>
      <c r="O6" s="187">
        <f t="shared" si="1"/>
        <v>0</v>
      </c>
      <c r="P6" s="269">
        <v>15600</v>
      </c>
      <c r="Q6" s="269">
        <v>41500</v>
      </c>
      <c r="R6" s="273">
        <v>748600</v>
      </c>
      <c r="S6" s="273">
        <f t="shared" ref="S6:T21" si="2">IF($B6&gt;$AH$36,S5,INDEX($AI$6:$AM$36,MATCH($B6,$AH$6:$AH$36,0),MATCH(S$5,$AI$5:$AM$5,0)))</f>
        <v>50</v>
      </c>
      <c r="T6" s="274">
        <f t="shared" si="2"/>
        <v>1958</v>
      </c>
      <c r="U6" s="188">
        <f>SUMPRODUCT(F6:J6,P6:T6)</f>
        <v>0</v>
      </c>
      <c r="V6" s="189">
        <f>SUMPRODUCT(K6:O6,P6:T6)</f>
        <v>0</v>
      </c>
      <c r="W6" s="190">
        <f t="shared" ref="W6:W40" si="3">IF($B6&lt;=AnalysisEnd,SUM(U6:V6),0)</f>
        <v>0</v>
      </c>
      <c r="X6" s="13">
        <f>$W6/(1+disc1)^($B6-'A - Inputs'!$C$6)</f>
        <v>0</v>
      </c>
      <c r="Y6" s="13">
        <f>$W6/(1+disc2)^($B6-'A - Inputs'!$C$6)</f>
        <v>0</v>
      </c>
      <c r="Z6" s="190"/>
      <c r="AA6" s="173"/>
      <c r="AB6" s="89" t="s">
        <v>250</v>
      </c>
      <c r="AC6" s="191">
        <v>1000000</v>
      </c>
      <c r="AD6" s="5" t="s">
        <v>251</v>
      </c>
      <c r="AH6" s="192">
        <v>2020</v>
      </c>
      <c r="AI6" s="93">
        <v>15700</v>
      </c>
      <c r="AJ6" s="93">
        <v>40400</v>
      </c>
      <c r="AK6" s="93">
        <v>729300</v>
      </c>
      <c r="AL6" s="93">
        <v>50</v>
      </c>
      <c r="AM6" s="93">
        <v>1958</v>
      </c>
    </row>
    <row r="7" spans="2:39" ht="15" customHeight="1" x14ac:dyDescent="0.25">
      <c r="B7" s="193">
        <f>B6+1</f>
        <v>2021</v>
      </c>
      <c r="C7" s="194">
        <f>C6+1</f>
        <v>2</v>
      </c>
      <c r="D7" s="238">
        <f>'F - Travel Time'!H60</f>
        <v>0</v>
      </c>
      <c r="E7" s="239">
        <f>'F - Travel Time'!I60</f>
        <v>0</v>
      </c>
      <c r="F7" s="186">
        <f t="shared" si="0"/>
        <v>0</v>
      </c>
      <c r="G7" s="186">
        <f t="shared" si="0"/>
        <v>0</v>
      </c>
      <c r="H7" s="186">
        <f t="shared" si="0"/>
        <v>0</v>
      </c>
      <c r="I7" s="186">
        <f t="shared" si="0"/>
        <v>0</v>
      </c>
      <c r="J7" s="187">
        <f t="shared" si="0"/>
        <v>0</v>
      </c>
      <c r="K7" s="186">
        <f t="shared" si="1"/>
        <v>0</v>
      </c>
      <c r="L7" s="186">
        <f t="shared" si="1"/>
        <v>0</v>
      </c>
      <c r="M7" s="186">
        <f t="shared" si="1"/>
        <v>0</v>
      </c>
      <c r="N7" s="186">
        <f t="shared" si="1"/>
        <v>0</v>
      </c>
      <c r="O7" s="187">
        <f t="shared" si="1"/>
        <v>0</v>
      </c>
      <c r="P7" s="269">
        <v>15600</v>
      </c>
      <c r="Q7" s="269">
        <v>41500</v>
      </c>
      <c r="R7" s="269">
        <v>748600</v>
      </c>
      <c r="S7" s="273">
        <f t="shared" si="2"/>
        <v>52</v>
      </c>
      <c r="T7" s="274">
        <f t="shared" si="2"/>
        <v>1958</v>
      </c>
      <c r="U7" s="188">
        <f t="shared" ref="U7:U40" si="4">SUMPRODUCT(F7:J7,P7:T7)</f>
        <v>0</v>
      </c>
      <c r="V7" s="189">
        <f t="shared" ref="V7:V40" si="5">SUMPRODUCT(K7:O7,P7:T7)</f>
        <v>0</v>
      </c>
      <c r="W7" s="190">
        <f t="shared" si="3"/>
        <v>0</v>
      </c>
      <c r="X7" s="13">
        <f>W7/(1+disc1)^($B7-'A - Inputs'!$C$6)</f>
        <v>0</v>
      </c>
      <c r="Y7" s="13">
        <f>$W7/(1+disc2)^($B7-'A - Inputs'!$C$6)</f>
        <v>0</v>
      </c>
      <c r="Z7" s="190"/>
      <c r="AA7" s="173"/>
      <c r="AH7" s="192">
        <v>2021</v>
      </c>
      <c r="AI7" s="93">
        <v>15900</v>
      </c>
      <c r="AJ7" s="93">
        <v>41300</v>
      </c>
      <c r="AK7" s="93">
        <v>742300</v>
      </c>
      <c r="AL7" s="93">
        <v>52</v>
      </c>
      <c r="AM7" s="162">
        <f>AM6</f>
        <v>1958</v>
      </c>
    </row>
    <row r="8" spans="2:39" ht="15" customHeight="1" x14ac:dyDescent="0.25">
      <c r="B8" s="193">
        <f t="shared" ref="B8:C23" si="6">B7+1</f>
        <v>2022</v>
      </c>
      <c r="C8" s="194">
        <f t="shared" si="6"/>
        <v>3</v>
      </c>
      <c r="D8" s="238">
        <f>'F - Travel Time'!H61</f>
        <v>0</v>
      </c>
      <c r="E8" s="239">
        <f>'F - Travel Time'!I61</f>
        <v>0</v>
      </c>
      <c r="F8" s="186">
        <f t="shared" si="0"/>
        <v>0</v>
      </c>
      <c r="G8" s="186">
        <f t="shared" si="0"/>
        <v>0</v>
      </c>
      <c r="H8" s="186">
        <f t="shared" si="0"/>
        <v>0</v>
      </c>
      <c r="I8" s="186">
        <f t="shared" si="0"/>
        <v>0</v>
      </c>
      <c r="J8" s="187">
        <f t="shared" si="0"/>
        <v>0</v>
      </c>
      <c r="K8" s="186">
        <f t="shared" si="1"/>
        <v>0</v>
      </c>
      <c r="L8" s="186">
        <f t="shared" si="1"/>
        <v>0</v>
      </c>
      <c r="M8" s="186">
        <f t="shared" si="1"/>
        <v>0</v>
      </c>
      <c r="N8" s="186">
        <f t="shared" si="1"/>
        <v>0</v>
      </c>
      <c r="O8" s="187">
        <f t="shared" si="1"/>
        <v>0</v>
      </c>
      <c r="P8" s="269">
        <v>15800</v>
      </c>
      <c r="Q8" s="269">
        <v>42300</v>
      </c>
      <c r="R8" s="269">
        <v>761600</v>
      </c>
      <c r="S8" s="273">
        <f t="shared" si="2"/>
        <v>53</v>
      </c>
      <c r="T8" s="274">
        <f t="shared" si="2"/>
        <v>1958</v>
      </c>
      <c r="U8" s="188">
        <f t="shared" si="4"/>
        <v>0</v>
      </c>
      <c r="V8" s="189">
        <f t="shared" si="5"/>
        <v>0</v>
      </c>
      <c r="W8" s="190">
        <f t="shared" si="3"/>
        <v>0</v>
      </c>
      <c r="X8" s="13">
        <f>W8/(1+disc1)^($B8-'A - Inputs'!$C$6)</f>
        <v>0</v>
      </c>
      <c r="Y8" s="13">
        <f>$W8/(1+disc2)^($B8-'A - Inputs'!$C$6)</f>
        <v>0</v>
      </c>
      <c r="Z8" s="190"/>
      <c r="AA8" s="173"/>
      <c r="AB8" s="195" t="s">
        <v>234</v>
      </c>
      <c r="AH8" s="192">
        <v>2022</v>
      </c>
      <c r="AI8" s="93">
        <v>16100</v>
      </c>
      <c r="AJ8" s="93">
        <v>42100</v>
      </c>
      <c r="AK8" s="93">
        <v>755500</v>
      </c>
      <c r="AL8" s="93">
        <v>53</v>
      </c>
      <c r="AM8" s="162">
        <f t="shared" ref="AM8:AM36" si="7">AM7</f>
        <v>1958</v>
      </c>
    </row>
    <row r="9" spans="2:39" ht="15" customHeight="1" x14ac:dyDescent="0.25">
      <c r="B9" s="193">
        <f t="shared" si="6"/>
        <v>2023</v>
      </c>
      <c r="C9" s="194">
        <f t="shared" si="6"/>
        <v>4</v>
      </c>
      <c r="D9" s="238">
        <f>'F - Travel Time'!H62</f>
        <v>0</v>
      </c>
      <c r="E9" s="239">
        <f>'F - Travel Time'!I62</f>
        <v>0</v>
      </c>
      <c r="F9" s="186">
        <f t="shared" si="0"/>
        <v>0</v>
      </c>
      <c r="G9" s="186">
        <f t="shared" si="0"/>
        <v>0</v>
      </c>
      <c r="H9" s="186">
        <f t="shared" si="0"/>
        <v>0</v>
      </c>
      <c r="I9" s="186">
        <f t="shared" si="0"/>
        <v>0</v>
      </c>
      <c r="J9" s="187">
        <f t="shared" si="0"/>
        <v>0</v>
      </c>
      <c r="K9" s="186">
        <f t="shared" si="1"/>
        <v>0</v>
      </c>
      <c r="L9" s="186">
        <f t="shared" si="1"/>
        <v>0</v>
      </c>
      <c r="M9" s="186">
        <f t="shared" si="1"/>
        <v>0</v>
      </c>
      <c r="N9" s="186">
        <f t="shared" si="1"/>
        <v>0</v>
      </c>
      <c r="O9" s="187">
        <f t="shared" si="1"/>
        <v>0</v>
      </c>
      <c r="P9" s="269">
        <v>16000</v>
      </c>
      <c r="Q9" s="269">
        <v>43100</v>
      </c>
      <c r="R9" s="269">
        <v>774700</v>
      </c>
      <c r="S9" s="273">
        <f t="shared" si="2"/>
        <v>54</v>
      </c>
      <c r="T9" s="274">
        <f t="shared" si="2"/>
        <v>1958</v>
      </c>
      <c r="U9" s="188">
        <f t="shared" si="4"/>
        <v>0</v>
      </c>
      <c r="V9" s="189">
        <f t="shared" si="5"/>
        <v>0</v>
      </c>
      <c r="W9" s="190">
        <f t="shared" si="3"/>
        <v>0</v>
      </c>
      <c r="X9" s="13">
        <f>W9/(1+disc1)^($B9-'A - Inputs'!$C$6)</f>
        <v>0</v>
      </c>
      <c r="Y9" s="13">
        <f>$W9/(1+disc2)^($B9-'A - Inputs'!$C$6)</f>
        <v>0</v>
      </c>
      <c r="Z9" s="190"/>
      <c r="AA9" s="173"/>
      <c r="AB9" s="196" t="s">
        <v>252</v>
      </c>
      <c r="AC9" s="197"/>
      <c r="AD9" s="197"/>
      <c r="AH9" s="192">
        <v>2023</v>
      </c>
      <c r="AI9" s="93">
        <v>16400</v>
      </c>
      <c r="AJ9" s="93">
        <v>43000</v>
      </c>
      <c r="AK9" s="93">
        <v>769000</v>
      </c>
      <c r="AL9" s="93">
        <v>54</v>
      </c>
      <c r="AM9" s="162">
        <f t="shared" si="7"/>
        <v>1958</v>
      </c>
    </row>
    <row r="10" spans="2:39" ht="15" customHeight="1" x14ac:dyDescent="0.25">
      <c r="B10" s="193">
        <f t="shared" si="6"/>
        <v>2024</v>
      </c>
      <c r="C10" s="194">
        <f t="shared" si="6"/>
        <v>5</v>
      </c>
      <c r="D10" s="238">
        <f>'F - Travel Time'!H63</f>
        <v>0</v>
      </c>
      <c r="E10" s="239">
        <f>'F - Travel Time'!I63</f>
        <v>0</v>
      </c>
      <c r="F10" s="186">
        <f t="shared" si="0"/>
        <v>0</v>
      </c>
      <c r="G10" s="186">
        <f t="shared" si="0"/>
        <v>0</v>
      </c>
      <c r="H10" s="186">
        <f t="shared" si="0"/>
        <v>0</v>
      </c>
      <c r="I10" s="186">
        <f t="shared" si="0"/>
        <v>0</v>
      </c>
      <c r="J10" s="187">
        <f t="shared" si="0"/>
        <v>0</v>
      </c>
      <c r="K10" s="186">
        <f t="shared" si="1"/>
        <v>0</v>
      </c>
      <c r="L10" s="186">
        <f t="shared" si="1"/>
        <v>0</v>
      </c>
      <c r="M10" s="186">
        <f t="shared" si="1"/>
        <v>0</v>
      </c>
      <c r="N10" s="186">
        <f t="shared" si="1"/>
        <v>0</v>
      </c>
      <c r="O10" s="187">
        <f t="shared" si="1"/>
        <v>0</v>
      </c>
      <c r="P10" s="269">
        <v>16200</v>
      </c>
      <c r="Q10" s="269">
        <v>44000</v>
      </c>
      <c r="R10" s="269">
        <v>788100</v>
      </c>
      <c r="S10" s="273">
        <f t="shared" si="2"/>
        <v>55</v>
      </c>
      <c r="T10" s="274">
        <f t="shared" si="2"/>
        <v>1958</v>
      </c>
      <c r="U10" s="188">
        <f t="shared" si="4"/>
        <v>0</v>
      </c>
      <c r="V10" s="189">
        <f t="shared" si="5"/>
        <v>0</v>
      </c>
      <c r="W10" s="190">
        <f t="shared" si="3"/>
        <v>0</v>
      </c>
      <c r="X10" s="13">
        <f>W10/(1+disc1)^($B10-'A - Inputs'!$C$6)</f>
        <v>0</v>
      </c>
      <c r="Y10" s="13">
        <f>$W10/(1+disc2)^($B10-'A - Inputs'!$C$6)</f>
        <v>0</v>
      </c>
      <c r="Z10" s="190"/>
      <c r="AA10" s="173"/>
      <c r="AB10" s="198" t="s">
        <v>253</v>
      </c>
      <c r="AD10" s="199" t="s">
        <v>254</v>
      </c>
      <c r="AE10" s="199" t="s">
        <v>255</v>
      </c>
      <c r="AF10" s="199" t="s">
        <v>256</v>
      </c>
      <c r="AH10" s="192">
        <v>2024</v>
      </c>
      <c r="AI10" s="93">
        <v>16600</v>
      </c>
      <c r="AJ10" s="93">
        <v>43900</v>
      </c>
      <c r="AK10" s="93">
        <v>782700</v>
      </c>
      <c r="AL10" s="93">
        <v>55</v>
      </c>
      <c r="AM10" s="162">
        <f t="shared" si="7"/>
        <v>1958</v>
      </c>
    </row>
    <row r="11" spans="2:39" ht="15" customHeight="1" x14ac:dyDescent="0.25">
      <c r="B11" s="193">
        <f t="shared" si="6"/>
        <v>2025</v>
      </c>
      <c r="C11" s="194">
        <f t="shared" si="6"/>
        <v>6</v>
      </c>
      <c r="D11" s="238">
        <f>'F - Travel Time'!H64</f>
        <v>0</v>
      </c>
      <c r="E11" s="239">
        <f>'F - Travel Time'!I64</f>
        <v>0</v>
      </c>
      <c r="F11" s="186">
        <f t="shared" si="0"/>
        <v>0</v>
      </c>
      <c r="G11" s="186">
        <f t="shared" si="0"/>
        <v>0</v>
      </c>
      <c r="H11" s="186">
        <f t="shared" si="0"/>
        <v>0</v>
      </c>
      <c r="I11" s="186">
        <f t="shared" si="0"/>
        <v>0</v>
      </c>
      <c r="J11" s="187">
        <f t="shared" si="0"/>
        <v>0</v>
      </c>
      <c r="K11" s="186">
        <f t="shared" si="1"/>
        <v>0</v>
      </c>
      <c r="L11" s="186">
        <f t="shared" si="1"/>
        <v>0</v>
      </c>
      <c r="M11" s="186">
        <f t="shared" si="1"/>
        <v>0</v>
      </c>
      <c r="N11" s="186">
        <f t="shared" si="1"/>
        <v>0</v>
      </c>
      <c r="O11" s="187">
        <f t="shared" si="1"/>
        <v>0</v>
      </c>
      <c r="P11" s="269">
        <v>16500</v>
      </c>
      <c r="Q11" s="269">
        <v>44900</v>
      </c>
      <c r="R11" s="269">
        <v>801700</v>
      </c>
      <c r="S11" s="273">
        <f t="shared" si="2"/>
        <v>56</v>
      </c>
      <c r="T11" s="274">
        <f t="shared" si="2"/>
        <v>1958</v>
      </c>
      <c r="U11" s="188">
        <f t="shared" si="4"/>
        <v>0</v>
      </c>
      <c r="V11" s="189">
        <f t="shared" si="5"/>
        <v>0</v>
      </c>
      <c r="W11" s="190">
        <f t="shared" si="3"/>
        <v>0</v>
      </c>
      <c r="X11" s="13">
        <f>W11/(1+disc1)^($B11-'A - Inputs'!$C$6)</f>
        <v>0</v>
      </c>
      <c r="Y11" s="13">
        <f>$W11/(1+disc2)^($B11-'A - Inputs'!$C$6)</f>
        <v>0</v>
      </c>
      <c r="Z11" s="190"/>
      <c r="AA11" s="173"/>
      <c r="AB11" s="89" t="s">
        <v>257</v>
      </c>
      <c r="AC11" s="89" t="s">
        <v>248</v>
      </c>
      <c r="AD11" s="200">
        <f>0.588*60*60</f>
        <v>2116.8000000000002</v>
      </c>
      <c r="AE11" s="200">
        <f>AVERAGE(4636,4484)</f>
        <v>4560</v>
      </c>
      <c r="AF11" s="172" t="s">
        <v>258</v>
      </c>
      <c r="AH11" s="192">
        <v>2025</v>
      </c>
      <c r="AI11" s="93">
        <v>16800</v>
      </c>
      <c r="AJ11" s="93">
        <v>44900</v>
      </c>
      <c r="AK11" s="93">
        <v>796600</v>
      </c>
      <c r="AL11" s="93">
        <v>56</v>
      </c>
      <c r="AM11" s="162">
        <f t="shared" si="7"/>
        <v>1958</v>
      </c>
    </row>
    <row r="12" spans="2:39" ht="15" customHeight="1" x14ac:dyDescent="0.25">
      <c r="B12" s="193">
        <f t="shared" si="6"/>
        <v>2026</v>
      </c>
      <c r="C12" s="194">
        <f t="shared" si="6"/>
        <v>7</v>
      </c>
      <c r="D12" s="238">
        <f>'F - Travel Time'!H65</f>
        <v>76221.951415762655</v>
      </c>
      <c r="E12" s="239">
        <f>'F - Travel Time'!I65</f>
        <v>5304.0446509040203</v>
      </c>
      <c r="F12" s="186">
        <f t="shared" si="0"/>
        <v>0.26792015922640572</v>
      </c>
      <c r="G12" s="186">
        <f t="shared" si="0"/>
        <v>0</v>
      </c>
      <c r="H12" s="186">
        <f t="shared" si="0"/>
        <v>0</v>
      </c>
      <c r="I12" s="186">
        <f t="shared" si="0"/>
        <v>161.34662675688639</v>
      </c>
      <c r="J12" s="187">
        <f t="shared" si="0"/>
        <v>0.20450349564849118</v>
      </c>
      <c r="K12" s="186">
        <f t="shared" si="1"/>
        <v>0.17908045954847243</v>
      </c>
      <c r="L12" s="186">
        <f t="shared" si="1"/>
        <v>0</v>
      </c>
      <c r="M12" s="186">
        <f t="shared" si="1"/>
        <v>5.8344491159944226E-3</v>
      </c>
      <c r="N12" s="186">
        <f t="shared" si="1"/>
        <v>24.186443608122335</v>
      </c>
      <c r="O12" s="187">
        <f t="shared" si="1"/>
        <v>1.832547426887339E-2</v>
      </c>
      <c r="P12" s="269">
        <f t="shared" ref="P12" si="8">IF($B12&gt;$AH$36,P11,INDEX($AI$6:$AM$36,MATCH($B12,$AH$6:$AH$36,0),MATCH(P$5,$AI$5:$AM$5,0)))</f>
        <v>17000</v>
      </c>
      <c r="Q12" s="269">
        <v>45700</v>
      </c>
      <c r="R12" s="269">
        <v>814500</v>
      </c>
      <c r="S12" s="273">
        <f t="shared" si="2"/>
        <v>57</v>
      </c>
      <c r="T12" s="274">
        <f t="shared" si="2"/>
        <v>1958</v>
      </c>
      <c r="U12" s="188">
        <f t="shared" si="4"/>
        <v>14151.818276471167</v>
      </c>
      <c r="V12" s="189">
        <f t="shared" si="5"/>
        <v>9211.0351815829163</v>
      </c>
      <c r="W12" s="190">
        <f t="shared" si="3"/>
        <v>23362.853458054084</v>
      </c>
      <c r="X12" s="13">
        <f>W12/(1+disc1)^($B12-'A - Inputs'!$C$6)</f>
        <v>19566.02196232757</v>
      </c>
      <c r="Y12" s="13">
        <f>$W12/(1+disc2)^($B12-'A - Inputs'!$C$6)</f>
        <v>15567.655727939058</v>
      </c>
      <c r="Z12" s="190"/>
      <c r="AA12" s="173"/>
      <c r="AB12" s="89" t="s">
        <v>259</v>
      </c>
      <c r="AC12" s="89" t="s">
        <v>249</v>
      </c>
      <c r="AD12" s="192">
        <v>2.6829999999999998</v>
      </c>
      <c r="AE12" s="192">
        <v>3.4550000000000001</v>
      </c>
      <c r="AF12" s="172">
        <v>1</v>
      </c>
      <c r="AH12" s="192">
        <v>2026</v>
      </c>
      <c r="AI12" s="93">
        <v>17000</v>
      </c>
      <c r="AJ12" s="93">
        <v>45500</v>
      </c>
      <c r="AK12" s="93">
        <v>807500</v>
      </c>
      <c r="AL12" s="93">
        <v>57</v>
      </c>
      <c r="AM12" s="162">
        <f t="shared" si="7"/>
        <v>1958</v>
      </c>
    </row>
    <row r="13" spans="2:39" ht="15" customHeight="1" x14ac:dyDescent="0.25">
      <c r="B13" s="193">
        <f t="shared" si="6"/>
        <v>2027</v>
      </c>
      <c r="C13" s="194">
        <f t="shared" si="6"/>
        <v>8</v>
      </c>
      <c r="D13" s="238">
        <f>'F - Travel Time'!H66</f>
        <v>76221.951415762655</v>
      </c>
      <c r="E13" s="239">
        <f>'F - Travel Time'!I66</f>
        <v>5304.0446509040203</v>
      </c>
      <c r="F13" s="186">
        <f t="shared" si="0"/>
        <v>0.26792015922640572</v>
      </c>
      <c r="G13" s="186">
        <f t="shared" si="0"/>
        <v>0</v>
      </c>
      <c r="H13" s="186">
        <f t="shared" si="0"/>
        <v>0</v>
      </c>
      <c r="I13" s="186">
        <f t="shared" si="0"/>
        <v>161.34662675688639</v>
      </c>
      <c r="J13" s="187">
        <f t="shared" si="0"/>
        <v>0.20450349564849118</v>
      </c>
      <c r="K13" s="186">
        <f t="shared" si="1"/>
        <v>0.17908045954847243</v>
      </c>
      <c r="L13" s="186">
        <f t="shared" si="1"/>
        <v>0</v>
      </c>
      <c r="M13" s="186">
        <f t="shared" si="1"/>
        <v>5.8344491159944226E-3</v>
      </c>
      <c r="N13" s="186">
        <f t="shared" si="1"/>
        <v>24.186443608122335</v>
      </c>
      <c r="O13" s="187">
        <f t="shared" si="1"/>
        <v>1.832547426887339E-2</v>
      </c>
      <c r="P13" s="269">
        <v>17100</v>
      </c>
      <c r="Q13" s="269">
        <v>46500</v>
      </c>
      <c r="R13" s="269">
        <v>827400</v>
      </c>
      <c r="S13" s="273">
        <f t="shared" si="2"/>
        <v>58</v>
      </c>
      <c r="T13" s="274">
        <f t="shared" si="2"/>
        <v>1958</v>
      </c>
      <c r="U13" s="188">
        <f t="shared" si="4"/>
        <v>14339.956919150694</v>
      </c>
      <c r="V13" s="189">
        <f t="shared" si="5"/>
        <v>9328.3940647422132</v>
      </c>
      <c r="W13" s="190">
        <f t="shared" si="3"/>
        <v>23668.350983892909</v>
      </c>
      <c r="X13" s="13">
        <f>W13/(1+disc1)^($B13-'A - Inputs'!$C$6)</f>
        <v>19244.53527249844</v>
      </c>
      <c r="Y13" s="13">
        <f>$W13/(1+disc2)^($B13-'A - Inputs'!$C$6)</f>
        <v>14739.459466053217</v>
      </c>
      <c r="Z13" s="190"/>
      <c r="AA13" s="173"/>
      <c r="AB13" s="89" t="s">
        <v>260</v>
      </c>
      <c r="AC13" s="89" t="s">
        <v>261</v>
      </c>
      <c r="AD13" s="192">
        <v>3.5150000000000001</v>
      </c>
      <c r="AE13" s="192">
        <v>33.762999999999998</v>
      </c>
      <c r="AF13" s="172">
        <v>1</v>
      </c>
      <c r="AH13" s="192">
        <v>2027</v>
      </c>
      <c r="AI13" s="93">
        <v>17300</v>
      </c>
      <c r="AJ13" s="93">
        <v>46200</v>
      </c>
      <c r="AK13" s="93">
        <v>818600</v>
      </c>
      <c r="AL13" s="93">
        <v>58</v>
      </c>
      <c r="AM13" s="162">
        <f t="shared" si="7"/>
        <v>1958</v>
      </c>
    </row>
    <row r="14" spans="2:39" ht="15" customHeight="1" x14ac:dyDescent="0.25">
      <c r="B14" s="193">
        <f t="shared" si="6"/>
        <v>2028</v>
      </c>
      <c r="C14" s="194">
        <f t="shared" si="6"/>
        <v>9</v>
      </c>
      <c r="D14" s="238">
        <f>'F - Travel Time'!H67</f>
        <v>76221.951415762655</v>
      </c>
      <c r="E14" s="239">
        <f>'F - Travel Time'!I67</f>
        <v>5304.0446509040203</v>
      </c>
      <c r="F14" s="186">
        <f t="shared" si="0"/>
        <v>0.26792015922640572</v>
      </c>
      <c r="G14" s="186">
        <f t="shared" si="0"/>
        <v>0</v>
      </c>
      <c r="H14" s="186">
        <f t="shared" si="0"/>
        <v>0</v>
      </c>
      <c r="I14" s="186">
        <f t="shared" si="0"/>
        <v>161.34662675688639</v>
      </c>
      <c r="J14" s="187">
        <f t="shared" si="0"/>
        <v>0.20450349564849118</v>
      </c>
      <c r="K14" s="186">
        <f t="shared" si="1"/>
        <v>0.17908045954847243</v>
      </c>
      <c r="L14" s="186">
        <f t="shared" si="1"/>
        <v>0</v>
      </c>
      <c r="M14" s="186">
        <f t="shared" si="1"/>
        <v>5.8344491159944226E-3</v>
      </c>
      <c r="N14" s="186">
        <f t="shared" si="1"/>
        <v>24.186443608122335</v>
      </c>
      <c r="O14" s="187">
        <f t="shared" si="1"/>
        <v>1.832547426887339E-2</v>
      </c>
      <c r="P14" s="269">
        <v>17400</v>
      </c>
      <c r="Q14" s="269">
        <v>47300</v>
      </c>
      <c r="R14" s="269">
        <v>840600</v>
      </c>
      <c r="S14" s="273">
        <f t="shared" si="2"/>
        <v>59</v>
      </c>
      <c r="T14" s="274">
        <f t="shared" si="2"/>
        <v>1958</v>
      </c>
      <c r="U14" s="188">
        <f t="shared" si="4"/>
        <v>14581.679593675502</v>
      </c>
      <c r="V14" s="189">
        <f t="shared" si="5"/>
        <v>9483.319374546003</v>
      </c>
      <c r="W14" s="190">
        <f t="shared" si="3"/>
        <v>24064.998968221505</v>
      </c>
      <c r="X14" s="13">
        <f>W14/(1+disc1)^($B14-'A - Inputs'!$C$6)</f>
        <v>18997.132409269394</v>
      </c>
      <c r="Y14" s="13">
        <f>$W14/(1+disc2)^($B14-'A - Inputs'!$C$6)</f>
        <v>14006.048500853172</v>
      </c>
      <c r="Z14" s="190"/>
      <c r="AA14" s="173"/>
      <c r="AB14" s="89" t="s">
        <v>262</v>
      </c>
      <c r="AC14" s="89" t="s">
        <v>247</v>
      </c>
      <c r="AD14" s="192" t="s">
        <v>263</v>
      </c>
      <c r="AE14" s="201">
        <v>1.1000000000000001</v>
      </c>
      <c r="AF14" s="172">
        <v>1</v>
      </c>
      <c r="AH14" s="192">
        <v>2028</v>
      </c>
      <c r="AI14" s="93">
        <v>17500</v>
      </c>
      <c r="AJ14" s="93">
        <v>46900</v>
      </c>
      <c r="AK14" s="93">
        <v>829800</v>
      </c>
      <c r="AL14" s="93">
        <v>59</v>
      </c>
      <c r="AM14" s="162">
        <f t="shared" si="7"/>
        <v>1958</v>
      </c>
    </row>
    <row r="15" spans="2:39" ht="15" customHeight="1" x14ac:dyDescent="0.25">
      <c r="B15" s="193">
        <f t="shared" si="6"/>
        <v>2029</v>
      </c>
      <c r="C15" s="194">
        <f t="shared" si="6"/>
        <v>10</v>
      </c>
      <c r="D15" s="238">
        <f>'F - Travel Time'!H68</f>
        <v>76221.951415762655</v>
      </c>
      <c r="E15" s="239">
        <f>'F - Travel Time'!I68</f>
        <v>5304.0446509040203</v>
      </c>
      <c r="F15" s="186">
        <f t="shared" si="0"/>
        <v>0.26792015922640572</v>
      </c>
      <c r="G15" s="186">
        <f t="shared" si="0"/>
        <v>0</v>
      </c>
      <c r="H15" s="186">
        <f t="shared" si="0"/>
        <v>0</v>
      </c>
      <c r="I15" s="186">
        <f t="shared" si="0"/>
        <v>161.34662675688639</v>
      </c>
      <c r="J15" s="187">
        <f t="shared" si="0"/>
        <v>0.20450349564849118</v>
      </c>
      <c r="K15" s="186">
        <f t="shared" si="1"/>
        <v>0.17908045954847243</v>
      </c>
      <c r="L15" s="186">
        <f t="shared" si="1"/>
        <v>0</v>
      </c>
      <c r="M15" s="186">
        <f t="shared" si="1"/>
        <v>5.8344491159944226E-3</v>
      </c>
      <c r="N15" s="186">
        <f t="shared" si="1"/>
        <v>24.186443608122335</v>
      </c>
      <c r="O15" s="187">
        <f t="shared" si="1"/>
        <v>1.832547426887339E-2</v>
      </c>
      <c r="P15" s="269">
        <v>17700</v>
      </c>
      <c r="Q15" s="269">
        <v>48200</v>
      </c>
      <c r="R15" s="269">
        <v>854000</v>
      </c>
      <c r="S15" s="273">
        <f t="shared" si="2"/>
        <v>60</v>
      </c>
      <c r="T15" s="274">
        <f t="shared" si="2"/>
        <v>1958</v>
      </c>
      <c r="U15" s="188">
        <f t="shared" si="4"/>
        <v>14823.402268200311</v>
      </c>
      <c r="V15" s="189">
        <f t="shared" si="5"/>
        <v>9639.4115741729929</v>
      </c>
      <c r="W15" s="190">
        <f t="shared" si="3"/>
        <v>24462.813842373303</v>
      </c>
      <c r="X15" s="13">
        <f>W15/(1+disc1)^($B15-'A - Inputs'!$C$6)</f>
        <v>18748.709849002193</v>
      </c>
      <c r="Y15" s="13">
        <f>$W15/(1+disc2)^($B15-'A - Inputs'!$C$6)</f>
        <v>13306.149887421414</v>
      </c>
      <c r="Z15" s="190"/>
      <c r="AA15" s="173"/>
      <c r="AB15" s="89" t="s">
        <v>264</v>
      </c>
      <c r="AC15" s="89" t="s">
        <v>246</v>
      </c>
      <c r="AD15" s="202" t="s">
        <v>263</v>
      </c>
      <c r="AE15" s="202" t="s">
        <v>263</v>
      </c>
      <c r="AF15" s="172"/>
      <c r="AH15" s="192">
        <v>2029</v>
      </c>
      <c r="AI15" s="93">
        <v>17700</v>
      </c>
      <c r="AJ15" s="93">
        <v>47600</v>
      </c>
      <c r="AK15" s="93">
        <v>841200</v>
      </c>
      <c r="AL15" s="93">
        <v>60</v>
      </c>
      <c r="AM15" s="162">
        <f t="shared" si="7"/>
        <v>1958</v>
      </c>
    </row>
    <row r="16" spans="2:39" ht="15" customHeight="1" x14ac:dyDescent="0.25">
      <c r="B16" s="193">
        <f t="shared" si="6"/>
        <v>2030</v>
      </c>
      <c r="C16" s="194">
        <f t="shared" si="6"/>
        <v>11</v>
      </c>
      <c r="D16" s="238">
        <f>'F - Travel Time'!H69</f>
        <v>76221.951415762655</v>
      </c>
      <c r="E16" s="239">
        <f>'F - Travel Time'!I69</f>
        <v>5304.0446509040203</v>
      </c>
      <c r="F16" s="186">
        <f t="shared" ref="F16:J25" si="9">IFERROR(IF($B16&lt;BenefitStart,0,$D16*F$2/$AC$6),0)</f>
        <v>0.26792015922640572</v>
      </c>
      <c r="G16" s="186">
        <f t="shared" si="9"/>
        <v>0</v>
      </c>
      <c r="H16" s="186">
        <f t="shared" si="9"/>
        <v>0</v>
      </c>
      <c r="I16" s="186">
        <f t="shared" si="9"/>
        <v>161.34662675688639</v>
      </c>
      <c r="J16" s="187">
        <f t="shared" si="9"/>
        <v>0.20450349564849118</v>
      </c>
      <c r="K16" s="186">
        <f t="shared" ref="K16:O25" si="10">IFERROR(IF($B16&lt;BenefitStart,0,$E16*K$2/$AC$6),0)</f>
        <v>0.17908045954847243</v>
      </c>
      <c r="L16" s="186">
        <f t="shared" si="10"/>
        <v>0</v>
      </c>
      <c r="M16" s="186">
        <f t="shared" si="10"/>
        <v>5.8344491159944226E-3</v>
      </c>
      <c r="N16" s="186">
        <f t="shared" si="10"/>
        <v>24.186443608122335</v>
      </c>
      <c r="O16" s="187">
        <f t="shared" si="10"/>
        <v>1.832547426887339E-2</v>
      </c>
      <c r="P16" s="269">
        <v>18100</v>
      </c>
      <c r="Q16" s="269">
        <v>49100</v>
      </c>
      <c r="R16" s="269">
        <v>867600</v>
      </c>
      <c r="S16" s="273">
        <f t="shared" si="2"/>
        <v>61</v>
      </c>
      <c r="T16" s="274">
        <f t="shared" si="2"/>
        <v>1958</v>
      </c>
      <c r="U16" s="188">
        <f t="shared" si="4"/>
        <v>15091.91695864776</v>
      </c>
      <c r="V16" s="189">
        <f t="shared" si="5"/>
        <v>9814.5787095780288</v>
      </c>
      <c r="W16" s="190">
        <f t="shared" si="3"/>
        <v>24906.495668225791</v>
      </c>
      <c r="X16" s="13">
        <f>W16/(1+disc1)^($B16-'A - Inputs'!$C$6)</f>
        <v>18532.771868128457</v>
      </c>
      <c r="Y16" s="13">
        <f>$W16/(1+disc2)^($B16-'A - Inputs'!$C$6)</f>
        <v>12661.199442498995</v>
      </c>
      <c r="Z16" s="190"/>
      <c r="AA16" s="173"/>
      <c r="AB16" s="94" t="s">
        <v>265</v>
      </c>
      <c r="AD16" s="172"/>
      <c r="AE16" s="172"/>
      <c r="AH16" s="192">
        <v>2030</v>
      </c>
      <c r="AI16" s="93">
        <v>18000</v>
      </c>
      <c r="AJ16" s="93">
        <v>48200</v>
      </c>
      <c r="AK16" s="93">
        <v>852700</v>
      </c>
      <c r="AL16" s="93">
        <v>61</v>
      </c>
      <c r="AM16" s="162">
        <f t="shared" si="7"/>
        <v>1958</v>
      </c>
    </row>
    <row r="17" spans="2:39" ht="15" customHeight="1" x14ac:dyDescent="0.25">
      <c r="B17" s="193">
        <f t="shared" si="6"/>
        <v>2031</v>
      </c>
      <c r="C17" s="194">
        <f t="shared" si="6"/>
        <v>12</v>
      </c>
      <c r="D17" s="238">
        <f>'F - Travel Time'!H70</f>
        <v>76221.951415762655</v>
      </c>
      <c r="E17" s="239">
        <f>'F - Travel Time'!I70</f>
        <v>5304.0446509040203</v>
      </c>
      <c r="F17" s="186">
        <f t="shared" si="9"/>
        <v>0.26792015922640572</v>
      </c>
      <c r="G17" s="186">
        <f t="shared" si="9"/>
        <v>0</v>
      </c>
      <c r="H17" s="186">
        <f t="shared" si="9"/>
        <v>0</v>
      </c>
      <c r="I17" s="186">
        <f t="shared" si="9"/>
        <v>161.34662675688639</v>
      </c>
      <c r="J17" s="187">
        <f t="shared" si="9"/>
        <v>0.20450349564849118</v>
      </c>
      <c r="K17" s="186">
        <f t="shared" si="10"/>
        <v>0.17908045954847243</v>
      </c>
      <c r="L17" s="186">
        <f t="shared" si="10"/>
        <v>0</v>
      </c>
      <c r="M17" s="186">
        <f t="shared" si="10"/>
        <v>5.8344491159944226E-3</v>
      </c>
      <c r="N17" s="186">
        <f t="shared" si="10"/>
        <v>24.186443608122335</v>
      </c>
      <c r="O17" s="187">
        <f t="shared" si="10"/>
        <v>1.832547426887339E-2</v>
      </c>
      <c r="P17" s="269">
        <v>18100</v>
      </c>
      <c r="Q17" s="269">
        <v>49100</v>
      </c>
      <c r="R17" s="269">
        <v>867600</v>
      </c>
      <c r="S17" s="273">
        <f t="shared" si="2"/>
        <v>62</v>
      </c>
      <c r="T17" s="274">
        <f t="shared" si="2"/>
        <v>1958</v>
      </c>
      <c r="U17" s="188">
        <f t="shared" si="4"/>
        <v>15253.263585404644</v>
      </c>
      <c r="V17" s="189">
        <f t="shared" si="5"/>
        <v>9838.765153186152</v>
      </c>
      <c r="W17" s="190">
        <f t="shared" si="3"/>
        <v>25092.028738590794</v>
      </c>
      <c r="X17" s="13">
        <f>W17/(1+disc1)^($B17-'A - Inputs'!$C$6)</f>
        <v>18127.015433785593</v>
      </c>
      <c r="Y17" s="13">
        <f>$W17/(1+disc2)^($B17-'A - Inputs'!$C$6)</f>
        <v>11921.04210045479</v>
      </c>
      <c r="Z17" s="190"/>
      <c r="AA17" s="173"/>
      <c r="AB17" s="159" t="s">
        <v>266</v>
      </c>
      <c r="AD17" s="172"/>
      <c r="AE17" s="172"/>
      <c r="AH17" s="192">
        <v>2031</v>
      </c>
      <c r="AI17" s="93">
        <v>18000</v>
      </c>
      <c r="AJ17" s="93">
        <v>48200</v>
      </c>
      <c r="AK17" s="93">
        <v>852700</v>
      </c>
      <c r="AL17" s="93">
        <v>62</v>
      </c>
      <c r="AM17" s="162">
        <f t="shared" si="7"/>
        <v>1958</v>
      </c>
    </row>
    <row r="18" spans="2:39" ht="15" customHeight="1" x14ac:dyDescent="0.25">
      <c r="B18" s="193">
        <f t="shared" si="6"/>
        <v>2032</v>
      </c>
      <c r="C18" s="194">
        <f t="shared" si="6"/>
        <v>13</v>
      </c>
      <c r="D18" s="238">
        <f>'F - Travel Time'!H71</f>
        <v>76221.951415762655</v>
      </c>
      <c r="E18" s="239">
        <f>'F - Travel Time'!I71</f>
        <v>5304.0446509040203</v>
      </c>
      <c r="F18" s="186">
        <f t="shared" si="9"/>
        <v>0.26792015922640572</v>
      </c>
      <c r="G18" s="186">
        <f t="shared" si="9"/>
        <v>0</v>
      </c>
      <c r="H18" s="186">
        <f t="shared" si="9"/>
        <v>0</v>
      </c>
      <c r="I18" s="186">
        <f t="shared" si="9"/>
        <v>161.34662675688639</v>
      </c>
      <c r="J18" s="187">
        <f t="shared" si="9"/>
        <v>0.20450349564849118</v>
      </c>
      <c r="K18" s="186">
        <f t="shared" si="10"/>
        <v>0.17908045954847243</v>
      </c>
      <c r="L18" s="186">
        <f t="shared" si="10"/>
        <v>0</v>
      </c>
      <c r="M18" s="186">
        <f t="shared" si="10"/>
        <v>5.8344491159944226E-3</v>
      </c>
      <c r="N18" s="186">
        <f t="shared" si="10"/>
        <v>24.186443608122335</v>
      </c>
      <c r="O18" s="187">
        <f t="shared" si="10"/>
        <v>1.832547426887339E-2</v>
      </c>
      <c r="P18" s="269">
        <v>18100</v>
      </c>
      <c r="Q18" s="269">
        <v>49100</v>
      </c>
      <c r="R18" s="269">
        <v>867600</v>
      </c>
      <c r="S18" s="273">
        <f t="shared" si="2"/>
        <v>63</v>
      </c>
      <c r="T18" s="274">
        <f t="shared" si="2"/>
        <v>1958</v>
      </c>
      <c r="U18" s="188">
        <f t="shared" si="4"/>
        <v>15414.610212161531</v>
      </c>
      <c r="V18" s="189">
        <f t="shared" si="5"/>
        <v>9862.9515967942734</v>
      </c>
      <c r="W18" s="190">
        <f t="shared" si="3"/>
        <v>25277.561808955805</v>
      </c>
      <c r="X18" s="13">
        <f>W18/(1+disc1)^($B18-'A - Inputs'!$C$6)</f>
        <v>17729.173273135897</v>
      </c>
      <c r="Y18" s="13">
        <f>$W18/(1+disc2)^($B18-'A - Inputs'!$C$6)</f>
        <v>11223.539743623252</v>
      </c>
      <c r="Z18" s="190"/>
      <c r="AA18" s="173"/>
      <c r="AB18" s="159" t="s">
        <v>267</v>
      </c>
      <c r="AD18" s="172"/>
      <c r="AE18" s="172"/>
      <c r="AH18" s="192">
        <v>2032</v>
      </c>
      <c r="AI18" s="93">
        <v>18000</v>
      </c>
      <c r="AJ18" s="93">
        <v>48200</v>
      </c>
      <c r="AK18" s="93">
        <v>852700</v>
      </c>
      <c r="AL18" s="93">
        <v>63</v>
      </c>
      <c r="AM18" s="162">
        <f t="shared" si="7"/>
        <v>1958</v>
      </c>
    </row>
    <row r="19" spans="2:39" ht="15" customHeight="1" x14ac:dyDescent="0.25">
      <c r="B19" s="193">
        <f t="shared" si="6"/>
        <v>2033</v>
      </c>
      <c r="C19" s="194">
        <f t="shared" si="6"/>
        <v>14</v>
      </c>
      <c r="D19" s="238">
        <f>'F - Travel Time'!H72</f>
        <v>76221.951415762655</v>
      </c>
      <c r="E19" s="239">
        <f>'F - Travel Time'!I72</f>
        <v>5304.0446509040203</v>
      </c>
      <c r="F19" s="186">
        <f t="shared" si="9"/>
        <v>0.26792015922640572</v>
      </c>
      <c r="G19" s="186">
        <f t="shared" si="9"/>
        <v>0</v>
      </c>
      <c r="H19" s="186">
        <f t="shared" si="9"/>
        <v>0</v>
      </c>
      <c r="I19" s="186">
        <f t="shared" si="9"/>
        <v>161.34662675688639</v>
      </c>
      <c r="J19" s="187">
        <f t="shared" si="9"/>
        <v>0.20450349564849118</v>
      </c>
      <c r="K19" s="186">
        <f t="shared" si="10"/>
        <v>0.17908045954847243</v>
      </c>
      <c r="L19" s="186">
        <f t="shared" si="10"/>
        <v>0</v>
      </c>
      <c r="M19" s="186">
        <f t="shared" si="10"/>
        <v>5.8344491159944226E-3</v>
      </c>
      <c r="N19" s="186">
        <f t="shared" si="10"/>
        <v>24.186443608122335</v>
      </c>
      <c r="O19" s="187">
        <f t="shared" si="10"/>
        <v>1.832547426887339E-2</v>
      </c>
      <c r="P19" s="269">
        <v>18100</v>
      </c>
      <c r="Q19" s="269">
        <v>49100</v>
      </c>
      <c r="R19" s="269">
        <v>867600</v>
      </c>
      <c r="S19" s="273">
        <f t="shared" si="2"/>
        <v>64</v>
      </c>
      <c r="T19" s="274">
        <f t="shared" si="2"/>
        <v>1958</v>
      </c>
      <c r="U19" s="188">
        <f t="shared" si="4"/>
        <v>15575.956838918419</v>
      </c>
      <c r="V19" s="189">
        <f t="shared" si="5"/>
        <v>9887.1380404023967</v>
      </c>
      <c r="W19" s="190">
        <f t="shared" si="3"/>
        <v>0</v>
      </c>
      <c r="X19" s="13">
        <f>W19/(1+disc1)^($B19-'A - Inputs'!$C$6)</f>
        <v>0</v>
      </c>
      <c r="Y19" s="13">
        <f>$W19/(1+disc2)^($B19-'A - Inputs'!$C$6)</f>
        <v>0</v>
      </c>
      <c r="Z19" s="190"/>
      <c r="AA19" s="173"/>
      <c r="AB19" s="159" t="s">
        <v>268</v>
      </c>
      <c r="AD19" s="172"/>
      <c r="AE19" s="172"/>
      <c r="AH19" s="192">
        <v>2033</v>
      </c>
      <c r="AI19" s="93">
        <v>18000</v>
      </c>
      <c r="AJ19" s="93">
        <v>48200</v>
      </c>
      <c r="AK19" s="93">
        <v>852700</v>
      </c>
      <c r="AL19" s="93">
        <v>64</v>
      </c>
      <c r="AM19" s="162">
        <f t="shared" si="7"/>
        <v>1958</v>
      </c>
    </row>
    <row r="20" spans="2:39" ht="15" customHeight="1" x14ac:dyDescent="0.25">
      <c r="B20" s="193">
        <f t="shared" si="6"/>
        <v>2034</v>
      </c>
      <c r="C20" s="194">
        <f t="shared" si="6"/>
        <v>15</v>
      </c>
      <c r="D20" s="238">
        <f>'F - Travel Time'!H73</f>
        <v>76221.951415762655</v>
      </c>
      <c r="E20" s="239">
        <f>'F - Travel Time'!I73</f>
        <v>5304.0446509040203</v>
      </c>
      <c r="F20" s="186">
        <f t="shared" si="9"/>
        <v>0.26792015922640572</v>
      </c>
      <c r="G20" s="186">
        <f t="shared" si="9"/>
        <v>0</v>
      </c>
      <c r="H20" s="186">
        <f t="shared" si="9"/>
        <v>0</v>
      </c>
      <c r="I20" s="186">
        <f t="shared" si="9"/>
        <v>161.34662675688639</v>
      </c>
      <c r="J20" s="187">
        <f t="shared" si="9"/>
        <v>0.20450349564849118</v>
      </c>
      <c r="K20" s="186">
        <f t="shared" si="10"/>
        <v>0.17908045954847243</v>
      </c>
      <c r="L20" s="186">
        <f t="shared" si="10"/>
        <v>0</v>
      </c>
      <c r="M20" s="186">
        <f t="shared" si="10"/>
        <v>5.8344491159944226E-3</v>
      </c>
      <c r="N20" s="186">
        <f t="shared" si="10"/>
        <v>24.186443608122335</v>
      </c>
      <c r="O20" s="187">
        <f t="shared" si="10"/>
        <v>1.832547426887339E-2</v>
      </c>
      <c r="P20" s="269">
        <v>18100</v>
      </c>
      <c r="Q20" s="269">
        <v>49100</v>
      </c>
      <c r="R20" s="269">
        <v>867600</v>
      </c>
      <c r="S20" s="273">
        <f t="shared" si="2"/>
        <v>66</v>
      </c>
      <c r="T20" s="274">
        <f t="shared" si="2"/>
        <v>1958</v>
      </c>
      <c r="U20" s="188">
        <f t="shared" si="4"/>
        <v>15898.65009243219</v>
      </c>
      <c r="V20" s="189">
        <f t="shared" si="5"/>
        <v>9935.5109276186413</v>
      </c>
      <c r="W20" s="190">
        <f t="shared" si="3"/>
        <v>0</v>
      </c>
      <c r="X20" s="13">
        <f>W20/(1+disc1)^($B20-'A - Inputs'!$C$6)</f>
        <v>0</v>
      </c>
      <c r="Y20" s="13">
        <f>$W20/(1+disc2)^($B20-'A - Inputs'!$C$6)</f>
        <v>0</v>
      </c>
      <c r="Z20" s="190"/>
      <c r="AA20" s="173"/>
      <c r="AB20" s="89" t="s">
        <v>269</v>
      </c>
      <c r="AD20" s="172"/>
      <c r="AE20" s="172"/>
      <c r="AH20" s="192">
        <v>2034</v>
      </c>
      <c r="AI20" s="93">
        <v>18000</v>
      </c>
      <c r="AJ20" s="93">
        <v>48200</v>
      </c>
      <c r="AK20" s="93">
        <v>852700</v>
      </c>
      <c r="AL20" s="93">
        <v>66</v>
      </c>
      <c r="AM20" s="162">
        <f t="shared" si="7"/>
        <v>1958</v>
      </c>
    </row>
    <row r="21" spans="2:39" ht="15" customHeight="1" x14ac:dyDescent="0.25">
      <c r="B21" s="193">
        <f t="shared" si="6"/>
        <v>2035</v>
      </c>
      <c r="C21" s="194">
        <f t="shared" si="6"/>
        <v>16</v>
      </c>
      <c r="D21" s="238">
        <f>'F - Travel Time'!H74</f>
        <v>76221.951415762655</v>
      </c>
      <c r="E21" s="239">
        <f>'F - Travel Time'!I74</f>
        <v>5304.0446509040203</v>
      </c>
      <c r="F21" s="186">
        <f t="shared" si="9"/>
        <v>0.26792015922640572</v>
      </c>
      <c r="G21" s="186">
        <f t="shared" si="9"/>
        <v>0</v>
      </c>
      <c r="H21" s="186">
        <f t="shared" si="9"/>
        <v>0</v>
      </c>
      <c r="I21" s="186">
        <f t="shared" si="9"/>
        <v>161.34662675688639</v>
      </c>
      <c r="J21" s="187">
        <f t="shared" si="9"/>
        <v>0.20450349564849118</v>
      </c>
      <c r="K21" s="186">
        <f t="shared" si="10"/>
        <v>0.17908045954847243</v>
      </c>
      <c r="L21" s="186">
        <f t="shared" si="10"/>
        <v>0</v>
      </c>
      <c r="M21" s="186">
        <f t="shared" si="10"/>
        <v>5.8344491159944226E-3</v>
      </c>
      <c r="N21" s="186">
        <f t="shared" si="10"/>
        <v>24.186443608122335</v>
      </c>
      <c r="O21" s="187">
        <f t="shared" si="10"/>
        <v>1.832547426887339E-2</v>
      </c>
      <c r="P21" s="269">
        <v>18100</v>
      </c>
      <c r="Q21" s="269">
        <v>49100</v>
      </c>
      <c r="R21" s="269">
        <v>867600</v>
      </c>
      <c r="S21" s="273">
        <f t="shared" si="2"/>
        <v>67</v>
      </c>
      <c r="T21" s="274">
        <f t="shared" si="2"/>
        <v>1958</v>
      </c>
      <c r="U21" s="188">
        <f t="shared" si="4"/>
        <v>16059.996719189077</v>
      </c>
      <c r="V21" s="189">
        <f t="shared" si="5"/>
        <v>9959.6973712267627</v>
      </c>
      <c r="W21" s="190">
        <f t="shared" si="3"/>
        <v>0</v>
      </c>
      <c r="X21" s="13">
        <f>W21/(1+disc1)^($B21-'A - Inputs'!$C$6)</f>
        <v>0</v>
      </c>
      <c r="Y21" s="13">
        <f>$W21/(1+disc2)^($B21-'A - Inputs'!$C$6)</f>
        <v>0</v>
      </c>
      <c r="Z21" s="190"/>
      <c r="AA21" s="173"/>
      <c r="AB21" s="89" t="s">
        <v>270</v>
      </c>
      <c r="AD21" s="172"/>
      <c r="AE21" s="172"/>
      <c r="AH21" s="192">
        <v>2035</v>
      </c>
      <c r="AI21" s="93">
        <v>18000</v>
      </c>
      <c r="AJ21" s="93">
        <v>48200</v>
      </c>
      <c r="AK21" s="93">
        <v>852700</v>
      </c>
      <c r="AL21" s="93">
        <v>67</v>
      </c>
      <c r="AM21" s="162">
        <f t="shared" si="7"/>
        <v>1958</v>
      </c>
    </row>
    <row r="22" spans="2:39" ht="15" customHeight="1" x14ac:dyDescent="0.25">
      <c r="B22" s="193">
        <f t="shared" si="6"/>
        <v>2036</v>
      </c>
      <c r="C22" s="194">
        <f t="shared" si="6"/>
        <v>17</v>
      </c>
      <c r="D22" s="238">
        <f>'F - Travel Time'!H75</f>
        <v>76221.951415762655</v>
      </c>
      <c r="E22" s="239">
        <f>'F - Travel Time'!I75</f>
        <v>5304.0446509040203</v>
      </c>
      <c r="F22" s="186">
        <f t="shared" si="9"/>
        <v>0.26792015922640572</v>
      </c>
      <c r="G22" s="186">
        <f t="shared" si="9"/>
        <v>0</v>
      </c>
      <c r="H22" s="186">
        <f t="shared" si="9"/>
        <v>0</v>
      </c>
      <c r="I22" s="186">
        <f t="shared" si="9"/>
        <v>161.34662675688639</v>
      </c>
      <c r="J22" s="187">
        <f t="shared" si="9"/>
        <v>0.20450349564849118</v>
      </c>
      <c r="K22" s="186">
        <f t="shared" si="10"/>
        <v>0.17908045954847243</v>
      </c>
      <c r="L22" s="186">
        <f t="shared" si="10"/>
        <v>0</v>
      </c>
      <c r="M22" s="186">
        <f t="shared" si="10"/>
        <v>5.8344491159944226E-3</v>
      </c>
      <c r="N22" s="186">
        <f t="shared" si="10"/>
        <v>24.186443608122335</v>
      </c>
      <c r="O22" s="187">
        <f t="shared" si="10"/>
        <v>1.832547426887339E-2</v>
      </c>
      <c r="P22" s="269">
        <v>18100</v>
      </c>
      <c r="Q22" s="269">
        <v>49100</v>
      </c>
      <c r="R22" s="269">
        <v>867600</v>
      </c>
      <c r="S22" s="273">
        <f t="shared" ref="S22:T37" si="11">IF($B22&gt;$AH$36,S21,INDEX($AI$6:$AM$36,MATCH($B22,$AH$6:$AH$36,0),MATCH(S$5,$AI$5:$AM$5,0)))</f>
        <v>68</v>
      </c>
      <c r="T22" s="274">
        <f t="shared" si="11"/>
        <v>1958</v>
      </c>
      <c r="U22" s="188">
        <f t="shared" si="4"/>
        <v>16221.343345945965</v>
      </c>
      <c r="V22" s="189">
        <f t="shared" si="5"/>
        <v>9983.8838148348859</v>
      </c>
      <c r="W22" s="190">
        <f t="shared" si="3"/>
        <v>0</v>
      </c>
      <c r="X22" s="13">
        <f>W22/(1+disc1)^($B22-'A - Inputs'!$C$6)</f>
        <v>0</v>
      </c>
      <c r="Y22" s="13">
        <f>$W22/(1+disc2)^($B22-'A - Inputs'!$C$6)</f>
        <v>0</v>
      </c>
      <c r="Z22" s="190"/>
      <c r="AA22" s="173"/>
      <c r="AD22" s="172"/>
      <c r="AE22" s="172"/>
      <c r="AH22" s="192">
        <v>2036</v>
      </c>
      <c r="AI22" s="93">
        <v>18000</v>
      </c>
      <c r="AJ22" s="93">
        <v>48200</v>
      </c>
      <c r="AK22" s="93">
        <v>852700</v>
      </c>
      <c r="AL22" s="93">
        <v>68</v>
      </c>
      <c r="AM22" s="162">
        <f t="shared" si="7"/>
        <v>1958</v>
      </c>
    </row>
    <row r="23" spans="2:39" ht="15" customHeight="1" x14ac:dyDescent="0.25">
      <c r="B23" s="193">
        <f t="shared" si="6"/>
        <v>2037</v>
      </c>
      <c r="C23" s="194">
        <f t="shared" si="6"/>
        <v>18</v>
      </c>
      <c r="D23" s="238">
        <f>'F - Travel Time'!H76</f>
        <v>76221.951415762655</v>
      </c>
      <c r="E23" s="239">
        <f>'F - Travel Time'!I76</f>
        <v>5304.0446509040203</v>
      </c>
      <c r="F23" s="186">
        <f t="shared" si="9"/>
        <v>0.26792015922640572</v>
      </c>
      <c r="G23" s="186">
        <f t="shared" si="9"/>
        <v>0</v>
      </c>
      <c r="H23" s="186">
        <f t="shared" si="9"/>
        <v>0</v>
      </c>
      <c r="I23" s="186">
        <f t="shared" si="9"/>
        <v>161.34662675688639</v>
      </c>
      <c r="J23" s="187">
        <f t="shared" si="9"/>
        <v>0.20450349564849118</v>
      </c>
      <c r="K23" s="186">
        <f t="shared" si="10"/>
        <v>0.17908045954847243</v>
      </c>
      <c r="L23" s="186">
        <f t="shared" si="10"/>
        <v>0</v>
      </c>
      <c r="M23" s="186">
        <f t="shared" si="10"/>
        <v>5.8344491159944226E-3</v>
      </c>
      <c r="N23" s="186">
        <f t="shared" si="10"/>
        <v>24.186443608122335</v>
      </c>
      <c r="O23" s="187">
        <f t="shared" si="10"/>
        <v>1.832547426887339E-2</v>
      </c>
      <c r="P23" s="269">
        <v>18100</v>
      </c>
      <c r="Q23" s="269">
        <v>49100</v>
      </c>
      <c r="R23" s="269">
        <v>867600</v>
      </c>
      <c r="S23" s="273">
        <f t="shared" si="11"/>
        <v>69</v>
      </c>
      <c r="T23" s="274">
        <f t="shared" si="11"/>
        <v>1958</v>
      </c>
      <c r="U23" s="188">
        <f t="shared" si="4"/>
        <v>16382.689972702849</v>
      </c>
      <c r="V23" s="189">
        <f t="shared" si="5"/>
        <v>10008.070258443007</v>
      </c>
      <c r="W23" s="190">
        <f t="shared" si="3"/>
        <v>0</v>
      </c>
      <c r="X23" s="13">
        <f>W23/(1+disc1)^($B23-'A - Inputs'!$C$6)</f>
        <v>0</v>
      </c>
      <c r="Y23" s="13">
        <f>$W23/(1+disc2)^($B23-'A - Inputs'!$C$6)</f>
        <v>0</v>
      </c>
      <c r="Z23" s="190"/>
      <c r="AA23" s="173"/>
      <c r="AB23" s="195" t="s">
        <v>271</v>
      </c>
      <c r="AH23" s="192">
        <v>2037</v>
      </c>
      <c r="AI23" s="93">
        <v>18000</v>
      </c>
      <c r="AJ23" s="93">
        <v>48200</v>
      </c>
      <c r="AK23" s="93">
        <v>852700</v>
      </c>
      <c r="AL23" s="93">
        <v>69</v>
      </c>
      <c r="AM23" s="162">
        <f t="shared" si="7"/>
        <v>1958</v>
      </c>
    </row>
    <row r="24" spans="2:39" ht="15" customHeight="1" x14ac:dyDescent="0.25">
      <c r="B24" s="193">
        <f t="shared" ref="B24:C39" si="12">B23+1</f>
        <v>2038</v>
      </c>
      <c r="C24" s="194">
        <f t="shared" si="12"/>
        <v>19</v>
      </c>
      <c r="D24" s="238">
        <f>'F - Travel Time'!H77</f>
        <v>76221.951415762655</v>
      </c>
      <c r="E24" s="239">
        <f>'F - Travel Time'!I77</f>
        <v>5304.0446509040203</v>
      </c>
      <c r="F24" s="186">
        <f t="shared" si="9"/>
        <v>0.26792015922640572</v>
      </c>
      <c r="G24" s="186">
        <f t="shared" si="9"/>
        <v>0</v>
      </c>
      <c r="H24" s="186">
        <f t="shared" si="9"/>
        <v>0</v>
      </c>
      <c r="I24" s="186">
        <f t="shared" si="9"/>
        <v>161.34662675688639</v>
      </c>
      <c r="J24" s="187">
        <f t="shared" si="9"/>
        <v>0.20450349564849118</v>
      </c>
      <c r="K24" s="186">
        <f t="shared" si="10"/>
        <v>0.17908045954847243</v>
      </c>
      <c r="L24" s="186">
        <f t="shared" si="10"/>
        <v>0</v>
      </c>
      <c r="M24" s="186">
        <f t="shared" si="10"/>
        <v>5.8344491159944226E-3</v>
      </c>
      <c r="N24" s="186">
        <f t="shared" si="10"/>
        <v>24.186443608122335</v>
      </c>
      <c r="O24" s="187">
        <f t="shared" si="10"/>
        <v>1.832547426887339E-2</v>
      </c>
      <c r="P24" s="269">
        <v>18100</v>
      </c>
      <c r="Q24" s="269">
        <v>49100</v>
      </c>
      <c r="R24" s="269">
        <v>867600</v>
      </c>
      <c r="S24" s="273">
        <f t="shared" si="11"/>
        <v>70</v>
      </c>
      <c r="T24" s="274">
        <f t="shared" si="11"/>
        <v>1958</v>
      </c>
      <c r="U24" s="188">
        <f t="shared" si="4"/>
        <v>16544.036599459738</v>
      </c>
      <c r="V24" s="189">
        <f t="shared" si="5"/>
        <v>10032.256702051131</v>
      </c>
      <c r="W24" s="190">
        <f t="shared" si="3"/>
        <v>0</v>
      </c>
      <c r="X24" s="13">
        <f>W24/(1+disc1)^($B24-'A - Inputs'!$C$6)</f>
        <v>0</v>
      </c>
      <c r="Y24" s="13">
        <f>$W24/(1+disc2)^($B24-'A - Inputs'!$C$6)</f>
        <v>0</v>
      </c>
      <c r="Z24" s="190"/>
      <c r="AA24" s="173"/>
      <c r="AB24" s="203" t="s">
        <v>272</v>
      </c>
      <c r="AC24" s="204"/>
      <c r="AD24" s="204"/>
      <c r="AE24" s="205"/>
      <c r="AF24" s="206"/>
      <c r="AH24" s="192">
        <v>2038</v>
      </c>
      <c r="AI24" s="93">
        <v>18000</v>
      </c>
      <c r="AJ24" s="93">
        <v>48200</v>
      </c>
      <c r="AK24" s="93">
        <v>852700</v>
      </c>
      <c r="AL24" s="93">
        <v>70</v>
      </c>
      <c r="AM24" s="162">
        <f t="shared" si="7"/>
        <v>1958</v>
      </c>
    </row>
    <row r="25" spans="2:39" ht="15" customHeight="1" x14ac:dyDescent="0.25">
      <c r="B25" s="193">
        <f t="shared" si="12"/>
        <v>2039</v>
      </c>
      <c r="C25" s="194">
        <f t="shared" si="12"/>
        <v>20</v>
      </c>
      <c r="D25" s="238">
        <f>'F - Travel Time'!H78</f>
        <v>76221.951415762655</v>
      </c>
      <c r="E25" s="239">
        <f>'F - Travel Time'!I78</f>
        <v>5304.0446509040203</v>
      </c>
      <c r="F25" s="186">
        <f t="shared" si="9"/>
        <v>0.26792015922640572</v>
      </c>
      <c r="G25" s="186">
        <f t="shared" si="9"/>
        <v>0</v>
      </c>
      <c r="H25" s="186">
        <f t="shared" si="9"/>
        <v>0</v>
      </c>
      <c r="I25" s="186">
        <f t="shared" si="9"/>
        <v>161.34662675688639</v>
      </c>
      <c r="J25" s="187">
        <f t="shared" si="9"/>
        <v>0.20450349564849118</v>
      </c>
      <c r="K25" s="186">
        <f t="shared" si="10"/>
        <v>0.17908045954847243</v>
      </c>
      <c r="L25" s="186">
        <f t="shared" si="10"/>
        <v>0</v>
      </c>
      <c r="M25" s="186">
        <f t="shared" si="10"/>
        <v>5.8344491159944226E-3</v>
      </c>
      <c r="N25" s="186">
        <f t="shared" si="10"/>
        <v>24.186443608122335</v>
      </c>
      <c r="O25" s="187">
        <f t="shared" si="10"/>
        <v>1.832547426887339E-2</v>
      </c>
      <c r="P25" s="269">
        <v>18100</v>
      </c>
      <c r="Q25" s="269">
        <v>49100</v>
      </c>
      <c r="R25" s="269">
        <v>867600</v>
      </c>
      <c r="S25" s="273">
        <f t="shared" si="11"/>
        <v>71</v>
      </c>
      <c r="T25" s="274">
        <f t="shared" si="11"/>
        <v>1958</v>
      </c>
      <c r="U25" s="188">
        <f t="shared" si="4"/>
        <v>16705.383226216625</v>
      </c>
      <c r="V25" s="189">
        <f t="shared" si="5"/>
        <v>10056.443145659252</v>
      </c>
      <c r="W25" s="190">
        <f t="shared" si="3"/>
        <v>0</v>
      </c>
      <c r="X25" s="13">
        <f>W25/(1+disc1)^($B25-'A - Inputs'!$C$6)</f>
        <v>0</v>
      </c>
      <c r="Y25" s="13">
        <f>$W25/(1+disc2)^($B25-'A - Inputs'!$C$6)</f>
        <v>0</v>
      </c>
      <c r="Z25" s="190"/>
      <c r="AA25" s="173"/>
      <c r="AB25" s="207" t="s">
        <v>253</v>
      </c>
      <c r="AC25" s="206"/>
      <c r="AD25" s="208" t="s">
        <v>273</v>
      </c>
      <c r="AE25" s="208" t="s">
        <v>255</v>
      </c>
      <c r="AF25" s="206"/>
      <c r="AH25" s="192">
        <v>2039</v>
      </c>
      <c r="AI25" s="93">
        <v>18000</v>
      </c>
      <c r="AJ25" s="93">
        <v>48200</v>
      </c>
      <c r="AK25" s="93">
        <v>852700</v>
      </c>
      <c r="AL25" s="93">
        <v>71</v>
      </c>
      <c r="AM25" s="162">
        <f t="shared" si="7"/>
        <v>1958</v>
      </c>
    </row>
    <row r="26" spans="2:39" ht="15" customHeight="1" x14ac:dyDescent="0.25">
      <c r="B26" s="193">
        <f t="shared" si="12"/>
        <v>2040</v>
      </c>
      <c r="C26" s="194">
        <f t="shared" si="12"/>
        <v>21</v>
      </c>
      <c r="D26" s="238">
        <f>'F - Travel Time'!H79</f>
        <v>76221.951415762655</v>
      </c>
      <c r="E26" s="239">
        <f>'F - Travel Time'!I79</f>
        <v>5304.0446509040203</v>
      </c>
      <c r="F26" s="186">
        <f t="shared" ref="F26:J40" si="13">IFERROR(IF($B26&lt;BenefitStart,0,$D26*F$2/$AC$6),0)</f>
        <v>0.26792015922640572</v>
      </c>
      <c r="G26" s="186">
        <f t="shared" si="13"/>
        <v>0</v>
      </c>
      <c r="H26" s="186">
        <f t="shared" si="13"/>
        <v>0</v>
      </c>
      <c r="I26" s="186">
        <f t="shared" si="13"/>
        <v>161.34662675688639</v>
      </c>
      <c r="J26" s="187">
        <f t="shared" si="13"/>
        <v>0.20450349564849118</v>
      </c>
      <c r="K26" s="186">
        <f t="shared" ref="K26:O40" si="14">IFERROR(IF($B26&lt;BenefitStart,0,$E26*K$2/$AC$6),0)</f>
        <v>0.17908045954847243</v>
      </c>
      <c r="L26" s="186">
        <f t="shared" si="14"/>
        <v>0</v>
      </c>
      <c r="M26" s="186">
        <f t="shared" si="14"/>
        <v>5.8344491159944226E-3</v>
      </c>
      <c r="N26" s="186">
        <f t="shared" si="14"/>
        <v>24.186443608122335</v>
      </c>
      <c r="O26" s="187">
        <f t="shared" si="14"/>
        <v>1.832547426887339E-2</v>
      </c>
      <c r="P26" s="269">
        <v>18100</v>
      </c>
      <c r="Q26" s="269">
        <v>49100</v>
      </c>
      <c r="R26" s="269">
        <v>867600</v>
      </c>
      <c r="S26" s="273">
        <f t="shared" si="11"/>
        <v>72</v>
      </c>
      <c r="T26" s="274">
        <f t="shared" si="11"/>
        <v>1958</v>
      </c>
      <c r="U26" s="188">
        <f t="shared" si="4"/>
        <v>16866.729852973513</v>
      </c>
      <c r="V26" s="189">
        <f t="shared" si="5"/>
        <v>10080.629589267375</v>
      </c>
      <c r="W26" s="190">
        <f t="shared" si="3"/>
        <v>0</v>
      </c>
      <c r="X26" s="13">
        <f>W26/(1+disc1)^($B26-'A - Inputs'!$C$6)</f>
        <v>0</v>
      </c>
      <c r="Y26" s="13">
        <f>$W26/(1+disc2)^($B26-'A - Inputs'!$C$6)</f>
        <v>0</v>
      </c>
      <c r="Z26" s="190"/>
      <c r="AA26" s="173"/>
      <c r="AB26" s="206" t="s">
        <v>257</v>
      </c>
      <c r="AC26" s="206" t="s">
        <v>248</v>
      </c>
      <c r="AD26" s="209">
        <f>AVERAGE(368.4,513.5)</f>
        <v>440.95</v>
      </c>
      <c r="AE26" s="210" t="s">
        <v>263</v>
      </c>
      <c r="AF26" s="206"/>
      <c r="AH26" s="192">
        <v>2040</v>
      </c>
      <c r="AI26" s="93">
        <v>18000</v>
      </c>
      <c r="AJ26" s="93">
        <v>48200</v>
      </c>
      <c r="AK26" s="93">
        <v>852700</v>
      </c>
      <c r="AL26" s="93">
        <v>72</v>
      </c>
      <c r="AM26" s="162">
        <f t="shared" si="7"/>
        <v>1958</v>
      </c>
    </row>
    <row r="27" spans="2:39" ht="15" customHeight="1" x14ac:dyDescent="0.25">
      <c r="B27" s="193">
        <f t="shared" si="12"/>
        <v>2041</v>
      </c>
      <c r="C27" s="194">
        <f t="shared" si="12"/>
        <v>22</v>
      </c>
      <c r="D27" s="238">
        <f>'F - Travel Time'!H80</f>
        <v>76221.951415762655</v>
      </c>
      <c r="E27" s="239">
        <f>'F - Travel Time'!I80</f>
        <v>5304.0446509040203</v>
      </c>
      <c r="F27" s="186">
        <f t="shared" si="13"/>
        <v>0.26792015922640572</v>
      </c>
      <c r="G27" s="186">
        <f t="shared" si="13"/>
        <v>0</v>
      </c>
      <c r="H27" s="186">
        <f t="shared" si="13"/>
        <v>0</v>
      </c>
      <c r="I27" s="186">
        <f t="shared" si="13"/>
        <v>161.34662675688639</v>
      </c>
      <c r="J27" s="187">
        <f t="shared" si="13"/>
        <v>0.20450349564849118</v>
      </c>
      <c r="K27" s="186">
        <f t="shared" si="14"/>
        <v>0.17908045954847243</v>
      </c>
      <c r="L27" s="186">
        <f t="shared" si="14"/>
        <v>0</v>
      </c>
      <c r="M27" s="186">
        <f t="shared" si="14"/>
        <v>5.8344491159944226E-3</v>
      </c>
      <c r="N27" s="186">
        <f t="shared" si="14"/>
        <v>24.186443608122335</v>
      </c>
      <c r="O27" s="187">
        <f t="shared" si="14"/>
        <v>1.832547426887339E-2</v>
      </c>
      <c r="P27" s="269">
        <v>18100</v>
      </c>
      <c r="Q27" s="269">
        <v>49100</v>
      </c>
      <c r="R27" s="269">
        <v>867600</v>
      </c>
      <c r="S27" s="273">
        <f t="shared" si="11"/>
        <v>73</v>
      </c>
      <c r="T27" s="274">
        <f t="shared" si="11"/>
        <v>1958</v>
      </c>
      <c r="U27" s="188">
        <f t="shared" si="4"/>
        <v>17028.076479730396</v>
      </c>
      <c r="V27" s="189">
        <f t="shared" si="5"/>
        <v>10104.816032875497</v>
      </c>
      <c r="W27" s="190">
        <f t="shared" si="3"/>
        <v>0</v>
      </c>
      <c r="X27" s="13">
        <f>W27/(1+disc1)^($B27-'A - Inputs'!$C$6)</f>
        <v>0</v>
      </c>
      <c r="Y27" s="13">
        <f>$W27/(1+disc2)^($B27-'A - Inputs'!$C$6)</f>
        <v>0</v>
      </c>
      <c r="Z27" s="190"/>
      <c r="AA27" s="173"/>
      <c r="AB27" s="206" t="s">
        <v>259</v>
      </c>
      <c r="AC27" s="206" t="s">
        <v>249</v>
      </c>
      <c r="AD27" s="209">
        <f>AVERAGE(1.034,1.224)</f>
        <v>1.129</v>
      </c>
      <c r="AE27" s="209">
        <v>0.44700000000000001</v>
      </c>
      <c r="AF27" s="206" t="s">
        <v>274</v>
      </c>
      <c r="AH27" s="192">
        <v>2041</v>
      </c>
      <c r="AI27" s="93">
        <v>18000</v>
      </c>
      <c r="AJ27" s="93">
        <v>48200</v>
      </c>
      <c r="AK27" s="93">
        <v>852700</v>
      </c>
      <c r="AL27" s="93">
        <v>73</v>
      </c>
      <c r="AM27" s="162">
        <f t="shared" si="7"/>
        <v>1958</v>
      </c>
    </row>
    <row r="28" spans="2:39" ht="15" customHeight="1" x14ac:dyDescent="0.25">
      <c r="B28" s="193">
        <f t="shared" si="12"/>
        <v>2042</v>
      </c>
      <c r="C28" s="194">
        <f t="shared" si="12"/>
        <v>23</v>
      </c>
      <c r="D28" s="238">
        <f>'F - Travel Time'!H81</f>
        <v>76221.951415762655</v>
      </c>
      <c r="E28" s="239">
        <f>'F - Travel Time'!I81</f>
        <v>5304.0446509040203</v>
      </c>
      <c r="F28" s="186">
        <f t="shared" si="13"/>
        <v>0.26792015922640572</v>
      </c>
      <c r="G28" s="186">
        <f t="shared" si="13"/>
        <v>0</v>
      </c>
      <c r="H28" s="186">
        <f t="shared" si="13"/>
        <v>0</v>
      </c>
      <c r="I28" s="186">
        <f t="shared" si="13"/>
        <v>161.34662675688639</v>
      </c>
      <c r="J28" s="187">
        <f t="shared" si="13"/>
        <v>0.20450349564849118</v>
      </c>
      <c r="K28" s="186">
        <f t="shared" si="14"/>
        <v>0.17908045954847243</v>
      </c>
      <c r="L28" s="186">
        <f t="shared" si="14"/>
        <v>0</v>
      </c>
      <c r="M28" s="186">
        <f t="shared" si="14"/>
        <v>5.8344491159944226E-3</v>
      </c>
      <c r="N28" s="186">
        <f t="shared" si="14"/>
        <v>24.186443608122335</v>
      </c>
      <c r="O28" s="187">
        <f t="shared" si="14"/>
        <v>1.832547426887339E-2</v>
      </c>
      <c r="P28" s="269">
        <v>18100</v>
      </c>
      <c r="Q28" s="269">
        <v>49100</v>
      </c>
      <c r="R28" s="269">
        <v>867600</v>
      </c>
      <c r="S28" s="273">
        <f t="shared" si="11"/>
        <v>75</v>
      </c>
      <c r="T28" s="274">
        <f t="shared" si="11"/>
        <v>1958</v>
      </c>
      <c r="U28" s="188">
        <f t="shared" si="4"/>
        <v>17350.769733244171</v>
      </c>
      <c r="V28" s="189">
        <f t="shared" si="5"/>
        <v>10153.188920091741</v>
      </c>
      <c r="W28" s="190">
        <f t="shared" si="3"/>
        <v>0</v>
      </c>
      <c r="X28" s="13">
        <f>W28/(1+disc1)^($B28-'A - Inputs'!$C$6)</f>
        <v>0</v>
      </c>
      <c r="Y28" s="13">
        <f>$W28/(1+disc2)^($B28-'A - Inputs'!$C$6)</f>
        <v>0</v>
      </c>
      <c r="Z28" s="190"/>
      <c r="AA28" s="173"/>
      <c r="AB28" s="206" t="s">
        <v>260</v>
      </c>
      <c r="AC28" s="206" t="s">
        <v>261</v>
      </c>
      <c r="AD28" s="209">
        <f>AVERAGE(0.693,0.95)</f>
        <v>0.8214999999999999</v>
      </c>
      <c r="AE28" s="209">
        <v>8.6129999999999995</v>
      </c>
      <c r="AF28" s="206" t="s">
        <v>274</v>
      </c>
      <c r="AH28" s="192">
        <v>2042</v>
      </c>
      <c r="AI28" s="93">
        <v>18000</v>
      </c>
      <c r="AJ28" s="93">
        <v>48200</v>
      </c>
      <c r="AK28" s="93">
        <v>852700</v>
      </c>
      <c r="AL28" s="93">
        <v>75</v>
      </c>
      <c r="AM28" s="162">
        <f t="shared" si="7"/>
        <v>1958</v>
      </c>
    </row>
    <row r="29" spans="2:39" ht="15" customHeight="1" x14ac:dyDescent="0.25">
      <c r="B29" s="193">
        <f t="shared" si="12"/>
        <v>2043</v>
      </c>
      <c r="C29" s="194">
        <f t="shared" si="12"/>
        <v>24</v>
      </c>
      <c r="D29" s="238">
        <f>'F - Travel Time'!H82</f>
        <v>76221.951415762655</v>
      </c>
      <c r="E29" s="239">
        <f>'F - Travel Time'!I82</f>
        <v>5304.0446509040203</v>
      </c>
      <c r="F29" s="186">
        <f t="shared" si="13"/>
        <v>0.26792015922640572</v>
      </c>
      <c r="G29" s="186">
        <f t="shared" si="13"/>
        <v>0</v>
      </c>
      <c r="H29" s="186">
        <f t="shared" si="13"/>
        <v>0</v>
      </c>
      <c r="I29" s="186">
        <f t="shared" si="13"/>
        <v>161.34662675688639</v>
      </c>
      <c r="J29" s="187">
        <f t="shared" si="13"/>
        <v>0.20450349564849118</v>
      </c>
      <c r="K29" s="186">
        <f t="shared" si="14"/>
        <v>0.17908045954847243</v>
      </c>
      <c r="L29" s="186">
        <f t="shared" si="14"/>
        <v>0</v>
      </c>
      <c r="M29" s="186">
        <f t="shared" si="14"/>
        <v>5.8344491159944226E-3</v>
      </c>
      <c r="N29" s="186">
        <f t="shared" si="14"/>
        <v>24.186443608122335</v>
      </c>
      <c r="O29" s="187">
        <f t="shared" si="14"/>
        <v>1.832547426887339E-2</v>
      </c>
      <c r="P29" s="269">
        <v>18100</v>
      </c>
      <c r="Q29" s="269">
        <v>49100</v>
      </c>
      <c r="R29" s="269">
        <v>867600</v>
      </c>
      <c r="S29" s="273">
        <f t="shared" si="11"/>
        <v>76</v>
      </c>
      <c r="T29" s="274">
        <f t="shared" si="11"/>
        <v>1958</v>
      </c>
      <c r="U29" s="188">
        <f t="shared" si="4"/>
        <v>17512.116360001055</v>
      </c>
      <c r="V29" s="189">
        <f t="shared" si="5"/>
        <v>10177.375363699864</v>
      </c>
      <c r="W29" s="190">
        <f t="shared" si="3"/>
        <v>0</v>
      </c>
      <c r="X29" s="13">
        <f>W29/(1+disc1)^($B29-'A - Inputs'!$C$6)</f>
        <v>0</v>
      </c>
      <c r="Y29" s="13">
        <f>$W29/(1+disc2)^($B29-'A - Inputs'!$C$6)</f>
        <v>0</v>
      </c>
      <c r="Z29" s="190"/>
      <c r="AA29" s="173"/>
      <c r="AB29" s="206" t="s">
        <v>275</v>
      </c>
      <c r="AC29" s="206" t="s">
        <v>247</v>
      </c>
      <c r="AD29" s="209">
        <f>AVERAGE(0.0041,0.0045)</f>
        <v>4.3E-3</v>
      </c>
      <c r="AE29" s="209">
        <v>0.20200000000000001</v>
      </c>
      <c r="AF29" s="206" t="s">
        <v>274</v>
      </c>
      <c r="AG29" s="173"/>
      <c r="AH29" s="192">
        <v>2043</v>
      </c>
      <c r="AI29" s="93">
        <v>18000</v>
      </c>
      <c r="AJ29" s="93">
        <v>48200</v>
      </c>
      <c r="AK29" s="93">
        <v>852700</v>
      </c>
      <c r="AL29" s="93">
        <v>76</v>
      </c>
      <c r="AM29" s="162">
        <f t="shared" si="7"/>
        <v>1958</v>
      </c>
    </row>
    <row r="30" spans="2:39" ht="15" customHeight="1" x14ac:dyDescent="0.25">
      <c r="B30" s="193">
        <f t="shared" si="12"/>
        <v>2044</v>
      </c>
      <c r="C30" s="194">
        <f t="shared" si="12"/>
        <v>25</v>
      </c>
      <c r="D30" s="238">
        <f>'F - Travel Time'!H83</f>
        <v>76221.951415762655</v>
      </c>
      <c r="E30" s="239">
        <f>'F - Travel Time'!I83</f>
        <v>5304.0446509040203</v>
      </c>
      <c r="F30" s="186">
        <f t="shared" si="13"/>
        <v>0.26792015922640572</v>
      </c>
      <c r="G30" s="186">
        <f t="shared" si="13"/>
        <v>0</v>
      </c>
      <c r="H30" s="186">
        <f t="shared" si="13"/>
        <v>0</v>
      </c>
      <c r="I30" s="186">
        <f t="shared" si="13"/>
        <v>161.34662675688639</v>
      </c>
      <c r="J30" s="187">
        <f t="shared" si="13"/>
        <v>0.20450349564849118</v>
      </c>
      <c r="K30" s="186">
        <f t="shared" si="14"/>
        <v>0.17908045954847243</v>
      </c>
      <c r="L30" s="186">
        <f t="shared" si="14"/>
        <v>0</v>
      </c>
      <c r="M30" s="186">
        <f t="shared" si="14"/>
        <v>5.8344491159944226E-3</v>
      </c>
      <c r="N30" s="186">
        <f t="shared" si="14"/>
        <v>24.186443608122335</v>
      </c>
      <c r="O30" s="187">
        <f t="shared" si="14"/>
        <v>1.832547426887339E-2</v>
      </c>
      <c r="P30" s="269">
        <v>18100</v>
      </c>
      <c r="Q30" s="269">
        <v>49100</v>
      </c>
      <c r="R30" s="269">
        <v>867600</v>
      </c>
      <c r="S30" s="273">
        <f t="shared" si="11"/>
        <v>77</v>
      </c>
      <c r="T30" s="274">
        <f t="shared" si="11"/>
        <v>1958</v>
      </c>
      <c r="U30" s="188">
        <f t="shared" si="4"/>
        <v>17673.462986757942</v>
      </c>
      <c r="V30" s="189">
        <f t="shared" si="5"/>
        <v>10201.561807307986</v>
      </c>
      <c r="W30" s="190">
        <f t="shared" si="3"/>
        <v>0</v>
      </c>
      <c r="X30" s="13">
        <f>W30/(1+disc1)^($B30-'A - Inputs'!$C$6)</f>
        <v>0</v>
      </c>
      <c r="Y30" s="13">
        <f>$W30/(1+disc2)^($B30-'A - Inputs'!$C$6)</f>
        <v>0</v>
      </c>
      <c r="Z30" s="190"/>
      <c r="AA30" s="173"/>
      <c r="AB30" s="206" t="s">
        <v>264</v>
      </c>
      <c r="AC30" s="206" t="s">
        <v>246</v>
      </c>
      <c r="AD30" s="211">
        <v>1.2E-2</v>
      </c>
      <c r="AE30" s="211">
        <v>9.1999999999999998E-3</v>
      </c>
      <c r="AF30" s="212" t="s">
        <v>276</v>
      </c>
      <c r="AG30" s="173"/>
      <c r="AH30" s="192">
        <v>2044</v>
      </c>
      <c r="AI30" s="93">
        <v>18000</v>
      </c>
      <c r="AJ30" s="93">
        <v>48200</v>
      </c>
      <c r="AK30" s="93">
        <v>852700</v>
      </c>
      <c r="AL30" s="93">
        <v>77</v>
      </c>
      <c r="AM30" s="162">
        <f t="shared" si="7"/>
        <v>1958</v>
      </c>
    </row>
    <row r="31" spans="2:39" ht="15" customHeight="1" x14ac:dyDescent="0.25">
      <c r="B31" s="193">
        <f t="shared" si="12"/>
        <v>2045</v>
      </c>
      <c r="C31" s="194">
        <f t="shared" si="12"/>
        <v>26</v>
      </c>
      <c r="D31" s="238">
        <f>'F - Travel Time'!H84</f>
        <v>76221.951415762655</v>
      </c>
      <c r="E31" s="239">
        <f>'F - Travel Time'!I84</f>
        <v>5304.0446509040203</v>
      </c>
      <c r="F31" s="186">
        <f t="shared" si="13"/>
        <v>0.26792015922640572</v>
      </c>
      <c r="G31" s="186">
        <f t="shared" si="13"/>
        <v>0</v>
      </c>
      <c r="H31" s="186">
        <f t="shared" si="13"/>
        <v>0</v>
      </c>
      <c r="I31" s="186">
        <f t="shared" si="13"/>
        <v>161.34662675688639</v>
      </c>
      <c r="J31" s="187">
        <f t="shared" si="13"/>
        <v>0.20450349564849118</v>
      </c>
      <c r="K31" s="186">
        <f t="shared" si="14"/>
        <v>0.17908045954847243</v>
      </c>
      <c r="L31" s="186">
        <f t="shared" si="14"/>
        <v>0</v>
      </c>
      <c r="M31" s="186">
        <f t="shared" si="14"/>
        <v>5.8344491159944226E-3</v>
      </c>
      <c r="N31" s="186">
        <f t="shared" si="14"/>
        <v>24.186443608122335</v>
      </c>
      <c r="O31" s="187">
        <f t="shared" si="14"/>
        <v>1.832547426887339E-2</v>
      </c>
      <c r="P31" s="269">
        <v>18100</v>
      </c>
      <c r="Q31" s="269">
        <v>49100</v>
      </c>
      <c r="R31" s="269">
        <v>867600</v>
      </c>
      <c r="S31" s="273">
        <f t="shared" si="11"/>
        <v>78</v>
      </c>
      <c r="T31" s="274">
        <f t="shared" si="11"/>
        <v>1958</v>
      </c>
      <c r="U31" s="188">
        <f t="shared" si="4"/>
        <v>17834.80961351483</v>
      </c>
      <c r="V31" s="189">
        <f t="shared" si="5"/>
        <v>10225.748250916109</v>
      </c>
      <c r="W31" s="190">
        <f t="shared" si="3"/>
        <v>0</v>
      </c>
      <c r="X31" s="13">
        <f>W31/(1+disc1)^($B31-'A - Inputs'!$C$6)</f>
        <v>0</v>
      </c>
      <c r="Y31" s="13">
        <f>$W31/(1+disc2)^($B31-'A - Inputs'!$C$6)</f>
        <v>0</v>
      </c>
      <c r="Z31" s="190"/>
      <c r="AA31" s="173"/>
      <c r="AB31" s="206"/>
      <c r="AC31" s="213"/>
      <c r="AD31" s="213"/>
      <c r="AE31" s="206"/>
      <c r="AF31" s="206"/>
      <c r="AG31" s="173"/>
      <c r="AH31" s="192">
        <v>2045</v>
      </c>
      <c r="AI31" s="93">
        <v>18000</v>
      </c>
      <c r="AJ31" s="93">
        <v>48200</v>
      </c>
      <c r="AK31" s="93">
        <v>852700</v>
      </c>
      <c r="AL31" s="93">
        <v>78</v>
      </c>
      <c r="AM31" s="162">
        <f t="shared" si="7"/>
        <v>1958</v>
      </c>
    </row>
    <row r="32" spans="2:39" ht="15" customHeight="1" x14ac:dyDescent="0.25">
      <c r="B32" s="193">
        <f t="shared" si="12"/>
        <v>2046</v>
      </c>
      <c r="C32" s="194">
        <f t="shared" si="12"/>
        <v>27</v>
      </c>
      <c r="D32" s="238">
        <f>'F - Travel Time'!H85</f>
        <v>76221.951415762655</v>
      </c>
      <c r="E32" s="239">
        <f>'F - Travel Time'!I85</f>
        <v>5304.0446509040203</v>
      </c>
      <c r="F32" s="186">
        <f t="shared" si="13"/>
        <v>0.26792015922640572</v>
      </c>
      <c r="G32" s="186">
        <f t="shared" si="13"/>
        <v>0</v>
      </c>
      <c r="H32" s="186">
        <f t="shared" si="13"/>
        <v>0</v>
      </c>
      <c r="I32" s="186">
        <f t="shared" si="13"/>
        <v>161.34662675688639</v>
      </c>
      <c r="J32" s="187">
        <f t="shared" si="13"/>
        <v>0.20450349564849118</v>
      </c>
      <c r="K32" s="186">
        <f t="shared" si="14"/>
        <v>0.17908045954847243</v>
      </c>
      <c r="L32" s="186">
        <f t="shared" si="14"/>
        <v>0</v>
      </c>
      <c r="M32" s="186">
        <f t="shared" si="14"/>
        <v>5.8344491159944226E-3</v>
      </c>
      <c r="N32" s="186">
        <f t="shared" si="14"/>
        <v>24.186443608122335</v>
      </c>
      <c r="O32" s="187">
        <f t="shared" si="14"/>
        <v>1.832547426887339E-2</v>
      </c>
      <c r="P32" s="269">
        <v>18100</v>
      </c>
      <c r="Q32" s="269">
        <v>49100</v>
      </c>
      <c r="R32" s="269">
        <v>867600</v>
      </c>
      <c r="S32" s="273">
        <f t="shared" si="11"/>
        <v>79</v>
      </c>
      <c r="T32" s="274">
        <f t="shared" si="11"/>
        <v>1958</v>
      </c>
      <c r="U32" s="188">
        <f t="shared" si="4"/>
        <v>17996.156240271717</v>
      </c>
      <c r="V32" s="189">
        <f t="shared" si="5"/>
        <v>10249.934694524231</v>
      </c>
      <c r="W32" s="190">
        <f t="shared" si="3"/>
        <v>0</v>
      </c>
      <c r="X32" s="13">
        <f>W32/(1+disc1)^($B32-'A - Inputs'!$C$6)</f>
        <v>0</v>
      </c>
      <c r="Y32" s="13">
        <f>$W32/(1+disc2)^($B32-'A - Inputs'!$C$6)</f>
        <v>0</v>
      </c>
      <c r="Z32" s="190"/>
      <c r="AA32" s="173"/>
      <c r="AB32" s="214" t="s">
        <v>277</v>
      </c>
      <c r="AC32" s="206"/>
      <c r="AD32" s="206"/>
      <c r="AE32" s="206"/>
      <c r="AF32" s="206"/>
      <c r="AG32" s="173"/>
      <c r="AH32" s="192">
        <v>2046</v>
      </c>
      <c r="AI32" s="93">
        <v>18000</v>
      </c>
      <c r="AJ32" s="93">
        <v>48200</v>
      </c>
      <c r="AK32" s="93">
        <v>852700</v>
      </c>
      <c r="AL32" s="93">
        <v>79</v>
      </c>
      <c r="AM32" s="162">
        <f t="shared" si="7"/>
        <v>1958</v>
      </c>
    </row>
    <row r="33" spans="2:39" ht="15" customHeight="1" x14ac:dyDescent="0.25">
      <c r="B33" s="193">
        <f t="shared" si="12"/>
        <v>2047</v>
      </c>
      <c r="C33" s="194">
        <f t="shared" si="12"/>
        <v>28</v>
      </c>
      <c r="D33" s="238">
        <f>'F - Travel Time'!H86</f>
        <v>76221.951415762655</v>
      </c>
      <c r="E33" s="239">
        <f>'F - Travel Time'!I86</f>
        <v>5304.0446509040203</v>
      </c>
      <c r="F33" s="186">
        <f t="shared" si="13"/>
        <v>0.26792015922640572</v>
      </c>
      <c r="G33" s="186">
        <f t="shared" si="13"/>
        <v>0</v>
      </c>
      <c r="H33" s="186">
        <f t="shared" si="13"/>
        <v>0</v>
      </c>
      <c r="I33" s="186">
        <f t="shared" si="13"/>
        <v>161.34662675688639</v>
      </c>
      <c r="J33" s="187">
        <f t="shared" si="13"/>
        <v>0.20450349564849118</v>
      </c>
      <c r="K33" s="186">
        <f t="shared" si="14"/>
        <v>0.17908045954847243</v>
      </c>
      <c r="L33" s="186">
        <f t="shared" si="14"/>
        <v>0</v>
      </c>
      <c r="M33" s="186">
        <f t="shared" si="14"/>
        <v>5.8344491159944226E-3</v>
      </c>
      <c r="N33" s="186">
        <f t="shared" si="14"/>
        <v>24.186443608122335</v>
      </c>
      <c r="O33" s="187">
        <f t="shared" si="14"/>
        <v>1.832547426887339E-2</v>
      </c>
      <c r="P33" s="269">
        <v>18100</v>
      </c>
      <c r="Q33" s="269">
        <v>49100</v>
      </c>
      <c r="R33" s="269">
        <v>867600</v>
      </c>
      <c r="S33" s="273">
        <f t="shared" si="11"/>
        <v>80</v>
      </c>
      <c r="T33" s="274">
        <f t="shared" si="11"/>
        <v>1958</v>
      </c>
      <c r="U33" s="188">
        <f t="shared" si="4"/>
        <v>18157.502867028601</v>
      </c>
      <c r="V33" s="189">
        <f t="shared" si="5"/>
        <v>10274.121138132354</v>
      </c>
      <c r="W33" s="190">
        <f t="shared" si="3"/>
        <v>0</v>
      </c>
      <c r="X33" s="13">
        <f>W33/(1+disc1)^($B33-'A - Inputs'!$C$6)</f>
        <v>0</v>
      </c>
      <c r="Y33" s="13">
        <f>$W33/(1+disc2)^($B33-'A - Inputs'!$C$6)</f>
        <v>0</v>
      </c>
      <c r="Z33" s="190"/>
      <c r="AA33" s="173"/>
      <c r="AB33" s="206" t="s">
        <v>278</v>
      </c>
      <c r="AC33" s="206"/>
      <c r="AD33" s="206"/>
      <c r="AE33" s="206"/>
      <c r="AF33" s="206"/>
      <c r="AG33" s="173"/>
      <c r="AH33" s="192">
        <v>2047</v>
      </c>
      <c r="AI33" s="93">
        <v>18000</v>
      </c>
      <c r="AJ33" s="93">
        <v>48200</v>
      </c>
      <c r="AK33" s="93">
        <v>852700</v>
      </c>
      <c r="AL33" s="93">
        <v>80</v>
      </c>
      <c r="AM33" s="162">
        <f t="shared" si="7"/>
        <v>1958</v>
      </c>
    </row>
    <row r="34" spans="2:39" ht="15" customHeight="1" x14ac:dyDescent="0.25">
      <c r="B34" s="193">
        <f t="shared" si="12"/>
        <v>2048</v>
      </c>
      <c r="C34" s="194">
        <f t="shared" si="12"/>
        <v>29</v>
      </c>
      <c r="D34" s="238">
        <f>'F - Travel Time'!H87</f>
        <v>76221.951415762655</v>
      </c>
      <c r="E34" s="239">
        <f>'F - Travel Time'!I87</f>
        <v>5304.0446509040203</v>
      </c>
      <c r="F34" s="186">
        <f t="shared" si="13"/>
        <v>0.26792015922640572</v>
      </c>
      <c r="G34" s="186">
        <f t="shared" si="13"/>
        <v>0</v>
      </c>
      <c r="H34" s="186">
        <f t="shared" si="13"/>
        <v>0</v>
      </c>
      <c r="I34" s="186">
        <f t="shared" si="13"/>
        <v>161.34662675688639</v>
      </c>
      <c r="J34" s="187">
        <f t="shared" si="13"/>
        <v>0.20450349564849118</v>
      </c>
      <c r="K34" s="186">
        <f t="shared" si="14"/>
        <v>0.17908045954847243</v>
      </c>
      <c r="L34" s="186">
        <f t="shared" si="14"/>
        <v>0</v>
      </c>
      <c r="M34" s="186">
        <f t="shared" si="14"/>
        <v>5.8344491159944226E-3</v>
      </c>
      <c r="N34" s="186">
        <f t="shared" si="14"/>
        <v>24.186443608122335</v>
      </c>
      <c r="O34" s="187">
        <f t="shared" si="14"/>
        <v>1.832547426887339E-2</v>
      </c>
      <c r="P34" s="269">
        <v>18100</v>
      </c>
      <c r="Q34" s="269">
        <v>49100</v>
      </c>
      <c r="R34" s="269">
        <v>867600</v>
      </c>
      <c r="S34" s="273">
        <f t="shared" si="11"/>
        <v>81</v>
      </c>
      <c r="T34" s="274">
        <f t="shared" si="11"/>
        <v>1958</v>
      </c>
      <c r="U34" s="188">
        <f t="shared" si="4"/>
        <v>18318.849493785488</v>
      </c>
      <c r="V34" s="189">
        <f t="shared" si="5"/>
        <v>10298.307581740475</v>
      </c>
      <c r="W34" s="190">
        <f t="shared" si="3"/>
        <v>0</v>
      </c>
      <c r="X34" s="13">
        <f>W34/(1+disc1)^($B34-'A - Inputs'!$C$6)</f>
        <v>0</v>
      </c>
      <c r="Y34" s="13">
        <f>$W34/(1+disc2)^($B34-'A - Inputs'!$C$6)</f>
        <v>0</v>
      </c>
      <c r="Z34" s="190"/>
      <c r="AA34" s="173"/>
      <c r="AB34" s="215" t="s">
        <v>279</v>
      </c>
      <c r="AC34" s="215"/>
      <c r="AD34" s="216"/>
      <c r="AE34" s="216"/>
      <c r="AF34" s="216"/>
      <c r="AG34" s="173"/>
      <c r="AH34" s="192">
        <v>2048</v>
      </c>
      <c r="AI34" s="93">
        <v>18000</v>
      </c>
      <c r="AJ34" s="93">
        <v>48200</v>
      </c>
      <c r="AK34" s="93">
        <v>852700</v>
      </c>
      <c r="AL34" s="93">
        <v>81</v>
      </c>
      <c r="AM34" s="162">
        <f t="shared" si="7"/>
        <v>1958</v>
      </c>
    </row>
    <row r="35" spans="2:39" ht="15" customHeight="1" x14ac:dyDescent="0.25">
      <c r="B35" s="193">
        <f t="shared" si="12"/>
        <v>2049</v>
      </c>
      <c r="C35" s="194">
        <f t="shared" si="12"/>
        <v>30</v>
      </c>
      <c r="D35" s="238">
        <f>'F - Travel Time'!H88</f>
        <v>76221.951415762655</v>
      </c>
      <c r="E35" s="239">
        <f>'F - Travel Time'!I88</f>
        <v>5304.0446509040203</v>
      </c>
      <c r="F35" s="186">
        <f t="shared" si="13"/>
        <v>0.26792015922640572</v>
      </c>
      <c r="G35" s="186">
        <f t="shared" si="13"/>
        <v>0</v>
      </c>
      <c r="H35" s="186">
        <f t="shared" si="13"/>
        <v>0</v>
      </c>
      <c r="I35" s="186">
        <f t="shared" si="13"/>
        <v>161.34662675688639</v>
      </c>
      <c r="J35" s="187">
        <f t="shared" si="13"/>
        <v>0.20450349564849118</v>
      </c>
      <c r="K35" s="186">
        <f t="shared" si="14"/>
        <v>0.17908045954847243</v>
      </c>
      <c r="L35" s="186">
        <f t="shared" si="14"/>
        <v>0</v>
      </c>
      <c r="M35" s="186">
        <f t="shared" si="14"/>
        <v>5.8344491159944226E-3</v>
      </c>
      <c r="N35" s="186">
        <f t="shared" si="14"/>
        <v>24.186443608122335</v>
      </c>
      <c r="O35" s="187">
        <f t="shared" si="14"/>
        <v>1.832547426887339E-2</v>
      </c>
      <c r="P35" s="269">
        <v>18100</v>
      </c>
      <c r="Q35" s="269">
        <v>49100</v>
      </c>
      <c r="R35" s="269">
        <v>867600</v>
      </c>
      <c r="S35" s="273">
        <f t="shared" si="11"/>
        <v>83</v>
      </c>
      <c r="T35" s="274">
        <f t="shared" si="11"/>
        <v>1958</v>
      </c>
      <c r="U35" s="188">
        <f t="shared" si="4"/>
        <v>18641.54274729926</v>
      </c>
      <c r="V35" s="189">
        <f t="shared" si="5"/>
        <v>10346.68046895672</v>
      </c>
      <c r="W35" s="190">
        <f t="shared" si="3"/>
        <v>0</v>
      </c>
      <c r="X35" s="13">
        <f>W35/(1+disc1)^($B35-'A - Inputs'!$C$6)</f>
        <v>0</v>
      </c>
      <c r="Y35" s="13">
        <f>$W35/(1+disc2)^($B35-'A - Inputs'!$C$6)</f>
        <v>0</v>
      </c>
      <c r="Z35" s="190"/>
      <c r="AA35" s="173"/>
      <c r="AB35" s="216"/>
      <c r="AC35" s="216"/>
      <c r="AD35" s="216"/>
      <c r="AE35" s="216"/>
      <c r="AF35" s="216"/>
      <c r="AG35" s="173"/>
      <c r="AH35" s="192">
        <v>2049</v>
      </c>
      <c r="AI35" s="93">
        <v>18000</v>
      </c>
      <c r="AJ35" s="93">
        <v>48200</v>
      </c>
      <c r="AK35" s="93">
        <v>852700</v>
      </c>
      <c r="AL35" s="93">
        <v>83</v>
      </c>
      <c r="AM35" s="162">
        <f t="shared" si="7"/>
        <v>1958</v>
      </c>
    </row>
    <row r="36" spans="2:39" ht="15" customHeight="1" x14ac:dyDescent="0.25">
      <c r="B36" s="193">
        <f t="shared" si="12"/>
        <v>2050</v>
      </c>
      <c r="C36" s="194">
        <f t="shared" si="12"/>
        <v>31</v>
      </c>
      <c r="D36" s="238">
        <f>'F - Travel Time'!H89</f>
        <v>76221.951415762655</v>
      </c>
      <c r="E36" s="239">
        <f>'F - Travel Time'!I89</f>
        <v>5304.0446509040203</v>
      </c>
      <c r="F36" s="186">
        <f t="shared" si="13"/>
        <v>0.26792015922640572</v>
      </c>
      <c r="G36" s="186">
        <f t="shared" si="13"/>
        <v>0</v>
      </c>
      <c r="H36" s="186">
        <f t="shared" si="13"/>
        <v>0</v>
      </c>
      <c r="I36" s="186">
        <f t="shared" si="13"/>
        <v>161.34662675688639</v>
      </c>
      <c r="J36" s="187">
        <f t="shared" si="13"/>
        <v>0.20450349564849118</v>
      </c>
      <c r="K36" s="186">
        <f t="shared" si="14"/>
        <v>0.17908045954847243</v>
      </c>
      <c r="L36" s="186">
        <f t="shared" si="14"/>
        <v>0</v>
      </c>
      <c r="M36" s="186">
        <f t="shared" si="14"/>
        <v>5.8344491159944226E-3</v>
      </c>
      <c r="N36" s="186">
        <f t="shared" si="14"/>
        <v>24.186443608122335</v>
      </c>
      <c r="O36" s="187">
        <f t="shared" si="14"/>
        <v>1.832547426887339E-2</v>
      </c>
      <c r="P36" s="269">
        <v>18100</v>
      </c>
      <c r="Q36" s="269">
        <v>49100</v>
      </c>
      <c r="R36" s="269">
        <v>867600</v>
      </c>
      <c r="S36" s="273">
        <f t="shared" si="11"/>
        <v>84</v>
      </c>
      <c r="T36" s="274">
        <f t="shared" si="11"/>
        <v>1958</v>
      </c>
      <c r="U36" s="188">
        <f t="shared" si="4"/>
        <v>18802.889374056147</v>
      </c>
      <c r="V36" s="189">
        <f t="shared" si="5"/>
        <v>10370.866912564843</v>
      </c>
      <c r="W36" s="190">
        <f t="shared" si="3"/>
        <v>0</v>
      </c>
      <c r="X36" s="13">
        <f>W36/(1+disc1)^($B36-'A - Inputs'!$C$6)</f>
        <v>0</v>
      </c>
      <c r="Y36" s="13">
        <f>$W36/(1+disc2)^($B36-'A - Inputs'!$C$6)</f>
        <v>0</v>
      </c>
      <c r="Z36" s="190"/>
      <c r="AA36" s="173"/>
      <c r="AB36" s="203" t="s">
        <v>280</v>
      </c>
      <c r="AC36" s="206"/>
      <c r="AD36" s="206"/>
      <c r="AE36" s="206"/>
      <c r="AF36" s="206"/>
      <c r="AG36" s="173"/>
      <c r="AH36" s="192">
        <v>2050</v>
      </c>
      <c r="AI36" s="93">
        <v>18000</v>
      </c>
      <c r="AJ36" s="93">
        <v>48200</v>
      </c>
      <c r="AK36" s="93">
        <v>852700</v>
      </c>
      <c r="AL36" s="93">
        <v>84</v>
      </c>
      <c r="AM36" s="162">
        <f t="shared" si="7"/>
        <v>1958</v>
      </c>
    </row>
    <row r="37" spans="2:39" ht="15" customHeight="1" x14ac:dyDescent="0.25">
      <c r="B37" s="193">
        <f t="shared" si="12"/>
        <v>2051</v>
      </c>
      <c r="C37" s="194">
        <f t="shared" si="12"/>
        <v>32</v>
      </c>
      <c r="D37" s="238">
        <f>'F - Travel Time'!H90</f>
        <v>76221.951415762655</v>
      </c>
      <c r="E37" s="239">
        <f>'F - Travel Time'!I90</f>
        <v>5304.0446509040203</v>
      </c>
      <c r="F37" s="186">
        <f t="shared" si="13"/>
        <v>0.26792015922640572</v>
      </c>
      <c r="G37" s="186">
        <f t="shared" si="13"/>
        <v>0</v>
      </c>
      <c r="H37" s="186">
        <f t="shared" si="13"/>
        <v>0</v>
      </c>
      <c r="I37" s="186">
        <f t="shared" si="13"/>
        <v>161.34662675688639</v>
      </c>
      <c r="J37" s="187">
        <f t="shared" si="13"/>
        <v>0.20450349564849118</v>
      </c>
      <c r="K37" s="186">
        <f t="shared" si="14"/>
        <v>0.17908045954847243</v>
      </c>
      <c r="L37" s="186">
        <f t="shared" si="14"/>
        <v>0</v>
      </c>
      <c r="M37" s="186">
        <f t="shared" si="14"/>
        <v>5.8344491159944226E-3</v>
      </c>
      <c r="N37" s="186">
        <f t="shared" si="14"/>
        <v>24.186443608122335</v>
      </c>
      <c r="O37" s="187">
        <f t="shared" si="14"/>
        <v>1.832547426887339E-2</v>
      </c>
      <c r="P37" s="269">
        <v>18100</v>
      </c>
      <c r="Q37" s="269">
        <v>49100</v>
      </c>
      <c r="R37" s="269">
        <v>867600</v>
      </c>
      <c r="S37" s="273">
        <f t="shared" si="11"/>
        <v>84</v>
      </c>
      <c r="T37" s="274">
        <f t="shared" si="11"/>
        <v>1958</v>
      </c>
      <c r="U37" s="188">
        <f t="shared" si="4"/>
        <v>18802.889374056147</v>
      </c>
      <c r="V37" s="189">
        <f t="shared" si="5"/>
        <v>10370.866912564843</v>
      </c>
      <c r="W37" s="190">
        <f t="shared" si="3"/>
        <v>0</v>
      </c>
      <c r="X37" s="13">
        <f>W37/(1+disc1)^($B37-'A - Inputs'!$C$6)</f>
        <v>0</v>
      </c>
      <c r="Y37" s="13">
        <f>$W37/(1+disc2)^($B37-'A - Inputs'!$C$6)</f>
        <v>0</v>
      </c>
      <c r="Z37" s="190"/>
      <c r="AA37" s="173"/>
      <c r="AB37" s="206" t="s">
        <v>281</v>
      </c>
      <c r="AC37" s="217">
        <v>8887</v>
      </c>
      <c r="AD37" s="206" t="s">
        <v>282</v>
      </c>
      <c r="AE37" s="206"/>
      <c r="AF37" s="206"/>
      <c r="AG37" s="173"/>
    </row>
    <row r="38" spans="2:39" ht="15" customHeight="1" x14ac:dyDescent="0.25">
      <c r="B38" s="193">
        <f t="shared" si="12"/>
        <v>2052</v>
      </c>
      <c r="C38" s="194">
        <f t="shared" si="12"/>
        <v>33</v>
      </c>
      <c r="D38" s="238">
        <f>'F - Travel Time'!H91</f>
        <v>76221.951415762655</v>
      </c>
      <c r="E38" s="239">
        <f>'F - Travel Time'!I91</f>
        <v>5304.0446509040203</v>
      </c>
      <c r="F38" s="186">
        <f t="shared" si="13"/>
        <v>0.26792015922640572</v>
      </c>
      <c r="G38" s="186">
        <f t="shared" si="13"/>
        <v>0</v>
      </c>
      <c r="H38" s="186">
        <f t="shared" si="13"/>
        <v>0</v>
      </c>
      <c r="I38" s="186">
        <f t="shared" si="13"/>
        <v>161.34662675688639</v>
      </c>
      <c r="J38" s="187">
        <f t="shared" si="13"/>
        <v>0.20450349564849118</v>
      </c>
      <c r="K38" s="186">
        <f t="shared" si="14"/>
        <v>0.17908045954847243</v>
      </c>
      <c r="L38" s="186">
        <f t="shared" si="14"/>
        <v>0</v>
      </c>
      <c r="M38" s="186">
        <f t="shared" si="14"/>
        <v>5.8344491159944226E-3</v>
      </c>
      <c r="N38" s="186">
        <f t="shared" si="14"/>
        <v>24.186443608122335</v>
      </c>
      <c r="O38" s="187">
        <f t="shared" si="14"/>
        <v>1.832547426887339E-2</v>
      </c>
      <c r="P38" s="269">
        <v>18100</v>
      </c>
      <c r="Q38" s="269">
        <v>49100</v>
      </c>
      <c r="R38" s="269">
        <v>867600</v>
      </c>
      <c r="S38" s="273">
        <f t="shared" ref="S38:T40" si="15">IF($B38&gt;$AH$36,S37,INDEX($AI$6:$AM$36,MATCH($B38,$AH$6:$AH$36,0),MATCH(S$5,$AI$5:$AM$5,0)))</f>
        <v>84</v>
      </c>
      <c r="T38" s="274">
        <f t="shared" si="15"/>
        <v>1958</v>
      </c>
      <c r="U38" s="188">
        <f t="shared" si="4"/>
        <v>18802.889374056147</v>
      </c>
      <c r="V38" s="189">
        <f t="shared" si="5"/>
        <v>10370.866912564843</v>
      </c>
      <c r="W38" s="190">
        <f t="shared" si="3"/>
        <v>0</v>
      </c>
      <c r="X38" s="13">
        <f>W38/(1+disc1)^($B38-'A - Inputs'!$C$6)</f>
        <v>0</v>
      </c>
      <c r="Y38" s="13">
        <f>$W38/(1+disc2)^($B38-'A - Inputs'!$C$6)</f>
        <v>0</v>
      </c>
      <c r="Z38" s="190"/>
      <c r="AA38" s="173"/>
      <c r="AB38" s="206" t="s">
        <v>283</v>
      </c>
      <c r="AC38" s="217">
        <v>10180</v>
      </c>
      <c r="AD38" s="206" t="s">
        <v>282</v>
      </c>
      <c r="AE38" s="206"/>
      <c r="AF38" s="206"/>
      <c r="AG38" s="173"/>
      <c r="AH38" s="94" t="s">
        <v>284</v>
      </c>
    </row>
    <row r="39" spans="2:39" ht="15" customHeight="1" x14ac:dyDescent="0.25">
      <c r="B39" s="193">
        <f t="shared" si="12"/>
        <v>2053</v>
      </c>
      <c r="C39" s="194">
        <f t="shared" si="12"/>
        <v>34</v>
      </c>
      <c r="D39" s="238">
        <f>'F - Travel Time'!H92</f>
        <v>76221.951415762655</v>
      </c>
      <c r="E39" s="239">
        <f>'F - Travel Time'!I92</f>
        <v>5304.0446509040203</v>
      </c>
      <c r="F39" s="186">
        <f t="shared" si="13"/>
        <v>0.26792015922640572</v>
      </c>
      <c r="G39" s="186">
        <f t="shared" si="13"/>
        <v>0</v>
      </c>
      <c r="H39" s="186">
        <f t="shared" si="13"/>
        <v>0</v>
      </c>
      <c r="I39" s="186">
        <f t="shared" si="13"/>
        <v>161.34662675688639</v>
      </c>
      <c r="J39" s="187">
        <f t="shared" si="13"/>
        <v>0.20450349564849118</v>
      </c>
      <c r="K39" s="186">
        <f t="shared" si="14"/>
        <v>0.17908045954847243</v>
      </c>
      <c r="L39" s="186">
        <f t="shared" si="14"/>
        <v>0</v>
      </c>
      <c r="M39" s="186">
        <f t="shared" si="14"/>
        <v>5.8344491159944226E-3</v>
      </c>
      <c r="N39" s="186">
        <f t="shared" si="14"/>
        <v>24.186443608122335</v>
      </c>
      <c r="O39" s="187">
        <f t="shared" si="14"/>
        <v>1.832547426887339E-2</v>
      </c>
      <c r="P39" s="269">
        <v>18100</v>
      </c>
      <c r="Q39" s="269">
        <v>49100</v>
      </c>
      <c r="R39" s="269">
        <v>867600</v>
      </c>
      <c r="S39" s="273">
        <f t="shared" si="15"/>
        <v>84</v>
      </c>
      <c r="T39" s="274">
        <f t="shared" si="15"/>
        <v>1958</v>
      </c>
      <c r="U39" s="188">
        <f t="shared" si="4"/>
        <v>18802.889374056147</v>
      </c>
      <c r="V39" s="189">
        <f t="shared" si="5"/>
        <v>10370.866912564843</v>
      </c>
      <c r="W39" s="190">
        <f t="shared" si="3"/>
        <v>0</v>
      </c>
      <c r="X39" s="13">
        <f>W39/(1+disc1)^($B39-'A - Inputs'!$C$6)</f>
        <v>0</v>
      </c>
      <c r="Y39" s="13">
        <f>$W39/(1+disc2)^($B39-'A - Inputs'!$C$6)</f>
        <v>0</v>
      </c>
      <c r="Z39" s="190"/>
      <c r="AA39" s="173"/>
      <c r="AB39" s="218" t="s">
        <v>285</v>
      </c>
      <c r="AC39" s="206"/>
      <c r="AD39" s="206"/>
      <c r="AE39" s="206"/>
      <c r="AF39" s="206"/>
      <c r="AG39" s="173"/>
      <c r="AH39" s="89" t="s">
        <v>286</v>
      </c>
      <c r="AI39" s="219" t="str">
        <f>'A - Inputs'!C19</f>
        <v>USDOT Benefit-Cost Analysis Guidance for Discretionary Grant Programs 2022</v>
      </c>
    </row>
    <row r="40" spans="2:39" ht="15" customHeight="1" x14ac:dyDescent="0.25">
      <c r="B40" s="193">
        <f t="shared" ref="B40:C40" si="16">B39+1</f>
        <v>2054</v>
      </c>
      <c r="C40" s="194">
        <f t="shared" si="16"/>
        <v>35</v>
      </c>
      <c r="D40" s="238">
        <f>'F - Travel Time'!H93</f>
        <v>76221.951415762655</v>
      </c>
      <c r="E40" s="239">
        <f>'F - Travel Time'!I93</f>
        <v>5304.0446509040203</v>
      </c>
      <c r="F40" s="186">
        <f t="shared" si="13"/>
        <v>0.26792015922640572</v>
      </c>
      <c r="G40" s="186">
        <f t="shared" si="13"/>
        <v>0</v>
      </c>
      <c r="H40" s="186">
        <f t="shared" si="13"/>
        <v>0</v>
      </c>
      <c r="I40" s="186">
        <f t="shared" si="13"/>
        <v>161.34662675688639</v>
      </c>
      <c r="J40" s="187">
        <f t="shared" si="13"/>
        <v>0.20450349564849118</v>
      </c>
      <c r="K40" s="186">
        <f t="shared" si="14"/>
        <v>0.17908045954847243</v>
      </c>
      <c r="L40" s="186">
        <f t="shared" si="14"/>
        <v>0</v>
      </c>
      <c r="M40" s="186">
        <f t="shared" si="14"/>
        <v>5.8344491159944226E-3</v>
      </c>
      <c r="N40" s="186">
        <f t="shared" si="14"/>
        <v>24.186443608122335</v>
      </c>
      <c r="O40" s="187">
        <f t="shared" si="14"/>
        <v>1.832547426887339E-2</v>
      </c>
      <c r="P40" s="269">
        <v>18100</v>
      </c>
      <c r="Q40" s="269">
        <v>49100</v>
      </c>
      <c r="R40" s="269">
        <v>867600</v>
      </c>
      <c r="S40" s="273">
        <f t="shared" si="15"/>
        <v>84</v>
      </c>
      <c r="T40" s="274">
        <f t="shared" si="15"/>
        <v>1958</v>
      </c>
      <c r="U40" s="188">
        <f t="shared" si="4"/>
        <v>18802.889374056147</v>
      </c>
      <c r="V40" s="189">
        <f t="shared" si="5"/>
        <v>10370.866912564843</v>
      </c>
      <c r="W40" s="190">
        <f t="shared" si="3"/>
        <v>0</v>
      </c>
      <c r="X40" s="13">
        <f>W40/(1+disc1)^($B40-'A - Inputs'!$C$6)</f>
        <v>0</v>
      </c>
      <c r="Y40" s="13">
        <f>$W40/(1+disc2)^($B40-'A - Inputs'!$C$6)</f>
        <v>0</v>
      </c>
      <c r="Z40" s="190"/>
      <c r="AA40" s="173"/>
      <c r="AG40" s="173"/>
      <c r="AH40" s="89" t="s">
        <v>287</v>
      </c>
      <c r="AI40" s="206" t="s">
        <v>288</v>
      </c>
    </row>
    <row r="41" spans="2:39" ht="15" customHeight="1" x14ac:dyDescent="0.25">
      <c r="B41" s="220" t="s">
        <v>48</v>
      </c>
      <c r="C41" s="221"/>
      <c r="D41" s="222">
        <f>SUM(D6:D40)</f>
        <v>2210436.5910571185</v>
      </c>
      <c r="E41" s="223">
        <f>SUM(E6:E40)</f>
        <v>153817.29487621659</v>
      </c>
      <c r="F41" s="222"/>
      <c r="G41" s="222"/>
      <c r="H41" s="222"/>
      <c r="I41" s="222"/>
      <c r="J41" s="223"/>
      <c r="K41" s="222"/>
      <c r="L41" s="222"/>
      <c r="M41" s="222"/>
      <c r="N41" s="222"/>
      <c r="O41" s="222"/>
      <c r="P41" s="222"/>
      <c r="Q41" s="222"/>
      <c r="R41" s="222"/>
      <c r="S41" s="222"/>
      <c r="T41" s="223"/>
      <c r="U41" s="224">
        <f t="shared" ref="U41:Y41" si="17">SUM(U6:U40)</f>
        <v>488439.16785346397</v>
      </c>
      <c r="V41" s="225">
        <f t="shared" si="17"/>
        <v>291008.15432517522</v>
      </c>
      <c r="W41" s="224">
        <f t="shared" si="17"/>
        <v>170835.10346831419</v>
      </c>
      <c r="X41" s="224">
        <f t="shared" si="17"/>
        <v>130945.36006814754</v>
      </c>
      <c r="Y41" s="224">
        <f t="shared" si="17"/>
        <v>93425.094868843909</v>
      </c>
      <c r="Z41" s="224"/>
    </row>
    <row r="42" spans="2:39" x14ac:dyDescent="0.25">
      <c r="F42" s="226"/>
      <c r="G42" s="226"/>
      <c r="H42" s="226"/>
      <c r="I42" s="226"/>
      <c r="J42" s="226"/>
    </row>
    <row r="43" spans="2:39" x14ac:dyDescent="0.25">
      <c r="F43" s="173"/>
      <c r="G43" s="173"/>
      <c r="H43" s="173"/>
      <c r="I43" s="173"/>
      <c r="J43" s="173"/>
      <c r="K43" s="173"/>
      <c r="L43" s="173"/>
      <c r="M43" s="173"/>
      <c r="N43" s="173"/>
      <c r="O43" s="173"/>
      <c r="P43" s="173"/>
      <c r="Q43" s="173"/>
      <c r="R43" s="173"/>
      <c r="S43" s="173"/>
      <c r="T43" s="173"/>
      <c r="U43" s="173"/>
      <c r="W43" s="173" t="s">
        <v>289</v>
      </c>
      <c r="X43" s="173"/>
    </row>
  </sheetData>
  <dataValidations count="1">
    <dataValidation type="list" allowBlank="1" showInputMessage="1" showErrorMessage="1" sqref="E1" xr:uid="{065BB740-3D97-48A4-9C88-29F422F76777}">
      <formula1>"VMT, VHT"</formula1>
    </dataValidation>
  </dataValidations>
  <hyperlinks>
    <hyperlink ref="AF30" r:id="rId1" location=":~:text=The%20same%202013%20study%20found,SO2%20per%20mile%20%5B5%5D.&amp;text=The%20study%20as%20above%20found,VOC%20per%20mile%20%5B5%5D.&amp;text=Using%20the%20individual%20emission%20rates,377%20grams%20CO2%20per%20mile." display="https://engineering.unl.edu/downloads/files/GHG%20FOR%20WEBSITE.docx#:~:text=The%20same%202013%20study%20found,SO2%20per%20mile%20%5B5%5D.&amp;text=The%20study%20as%20above%20found,VOC%20per%20mile%20%5B5%5D.&amp;text=Using%20the%20individual%20emission%20rates,377%20grams%20CO2%20per%20mile." xr:uid="{9414BF9F-911B-4A89-B6C6-8B135D9818A8}"/>
  </hyperlinks>
  <pageMargins left="0.7" right="0.7" top="0.75" bottom="0.75" header="0.3" footer="0.3"/>
  <pageSetup scale="81" orientation="landscape" r:id="rId2"/>
  <headerFooter>
    <oddHeader>&amp;L&amp;"Arial,Bold"Florida Department of Transportation - SMART St. Augustine&amp;R&amp;"Arial,Bold"&amp;A</oddHeader>
    <oddFooter>&amp;CPage G-&amp;P</oddFooter>
  </headerFooter>
  <colBreaks count="4" manualBreakCount="4">
    <brk id="10" min="3" max="42" man="1"/>
    <brk id="20" min="3" max="42" man="1"/>
    <brk id="26" min="3" max="42" man="1"/>
    <brk id="33" min="3" max="42"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257EEF0067683439435D625ED9E0C6F" ma:contentTypeVersion="13" ma:contentTypeDescription="Create a new document." ma:contentTypeScope="" ma:versionID="3dacab781118ef05d29dfd1e15cd48fe">
  <xsd:schema xmlns:xsd="http://www.w3.org/2001/XMLSchema" xmlns:xs="http://www.w3.org/2001/XMLSchema" xmlns:p="http://schemas.microsoft.com/office/2006/metadata/properties" xmlns:ns2="9a903cf6-a1bb-469c-8ec6-069130e1654e" xmlns:ns3="7e168d4e-f650-4b76-bafd-0826542b0a5c" targetNamespace="http://schemas.microsoft.com/office/2006/metadata/properties" ma:root="true" ma:fieldsID="8632e2bfaf57a81a7888f996cbec9591" ns2:_="" ns3:_="">
    <xsd:import namespace="9a903cf6-a1bb-469c-8ec6-069130e1654e"/>
    <xsd:import namespace="7e168d4e-f650-4b76-bafd-0826542b0a5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AutoKeyPoints" minOccurs="0"/>
                <xsd:element ref="ns2:MediaServiceKeyPoint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a903cf6-a1bb-469c-8ec6-069130e165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e168d4e-f650-4b76-bafd-0826542b0a5c"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8A1BF82-FE22-4D9A-87CC-25B4264924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a903cf6-a1bb-469c-8ec6-069130e1654e"/>
    <ds:schemaRef ds:uri="7e168d4e-f650-4b76-bafd-0826542b0a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2AA03A5-88D7-487B-86AA-2DD8219007DD}">
  <ds:schemaRefs>
    <ds:schemaRef ds:uri="http://schemas.microsoft.com/sharepoint/v3/contenttype/forms"/>
  </ds:schemaRefs>
</ds:datastoreItem>
</file>

<file path=customXml/itemProps3.xml><?xml version="1.0" encoding="utf-8"?>
<ds:datastoreItem xmlns:ds="http://schemas.openxmlformats.org/officeDocument/2006/customXml" ds:itemID="{FACA2BDA-6228-4910-BB02-D2ED1EB90948}">
  <ds:schemaRefs>
    <ds:schemaRef ds:uri="http://purl.org/dc/dcmitype/"/>
    <ds:schemaRef ds:uri="http://schemas.microsoft.com/office/2006/documentManagement/types"/>
    <ds:schemaRef ds:uri="http://purl.org/dc/elements/1.1/"/>
    <ds:schemaRef ds:uri="9a903cf6-a1bb-469c-8ec6-069130e1654e"/>
    <ds:schemaRef ds:uri="http://schemas.microsoft.com/office/2006/metadata/properties"/>
    <ds:schemaRef ds:uri="http://www.w3.org/XML/1998/namespace"/>
    <ds:schemaRef ds:uri="7e168d4e-f650-4b76-bafd-0826542b0a5c"/>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7</vt:i4>
      </vt:variant>
      <vt:variant>
        <vt:lpstr>Named Ranges</vt:lpstr>
      </vt:variant>
      <vt:variant>
        <vt:i4>15</vt:i4>
      </vt:variant>
    </vt:vector>
  </HeadingPairs>
  <TitlesOfParts>
    <vt:vector size="22" baseType="lpstr">
      <vt:lpstr>A - Inputs</vt:lpstr>
      <vt:lpstr>B - Output Table</vt:lpstr>
      <vt:lpstr>C - Summary</vt:lpstr>
      <vt:lpstr>D - Cost and Mtce</vt:lpstr>
      <vt:lpstr>E - Safety</vt:lpstr>
      <vt:lpstr>F - Travel Time</vt:lpstr>
      <vt:lpstr>G - Environmental</vt:lpstr>
      <vt:lpstr>AnalysisEnd</vt:lpstr>
      <vt:lpstr>AnalysisPd</vt:lpstr>
      <vt:lpstr>BaseYear</vt:lpstr>
      <vt:lpstr>BenefitStart</vt:lpstr>
      <vt:lpstr>disc1</vt:lpstr>
      <vt:lpstr>disc2</vt:lpstr>
      <vt:lpstr>'B - Output Table'!Print_Area</vt:lpstr>
      <vt:lpstr>'D - Cost and Mtce'!Print_Area</vt:lpstr>
      <vt:lpstr>'E - Safety'!Print_Area</vt:lpstr>
      <vt:lpstr>'F - Travel Time'!Print_Area</vt:lpstr>
      <vt:lpstr>'G - Environmental'!Print_Area</vt:lpstr>
      <vt:lpstr>'E - Safety'!Print_Titles</vt:lpstr>
      <vt:lpstr>ProjStartYr</vt:lpstr>
      <vt:lpstr>ProjUseStart</vt:lpstr>
      <vt:lpstr>YearDays</vt:lpstr>
    </vt:vector>
  </TitlesOfParts>
  <Manager/>
  <Company>Northwest Design Group, Inc.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Winfield</dc:creator>
  <cp:keywords/>
  <dc:description/>
  <cp:lastModifiedBy>Crozier, Joe</cp:lastModifiedBy>
  <cp:revision/>
  <dcterms:created xsi:type="dcterms:W3CDTF">2011-10-10T20:23:01Z</dcterms:created>
  <dcterms:modified xsi:type="dcterms:W3CDTF">2022-03-18T13:37:53Z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0x0101008257EEF0067683439435D625ED9E0C6F</vt:lpwstr>
  </property>
</Properties>
</file>