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kimleyhorn-my.sharepoint.com/personal/rebeccah_roberts_kimley-horn_com/Documents/Temp Project/FDOT BCAs 2021/I-95 INFRA/"/>
    </mc:Choice>
  </mc:AlternateContent>
  <xr:revisionPtr revIDLastSave="175" documentId="8_{41A21516-A688-48F6-801F-2DD3CC55A2C7}" xr6:coauthVersionLast="45" xr6:coauthVersionMax="46" xr10:uidLastSave="{1CB4A652-2113-42C5-BF92-0B4683BA9A62}"/>
  <bookViews>
    <workbookView xWindow="-120" yWindow="-120" windowWidth="29040" windowHeight="15840" tabRatio="870" firstSheet="5" activeTab="14" xr2:uid="{13969149-EDE9-49D8-A017-549F6EA991E8}"/>
  </bookViews>
  <sheets>
    <sheet name="A - Inputs" sheetId="24" r:id="rId1"/>
    <sheet name="B - Output Table" sheetId="39" r:id="rId2"/>
    <sheet name="C - Summary" sheetId="35" r:id="rId3"/>
    <sheet name="D - Cost Estimate" sheetId="25" r:id="rId4"/>
    <sheet name="E - Construction &amp; Residual" sheetId="26" r:id="rId5"/>
    <sheet name="F - Maintenance Costs" sheetId="28" r:id="rId6"/>
    <sheet name="G - Safety" sheetId="32" r:id="rId7"/>
    <sheet name="H - Travel Time" sheetId="33" r:id="rId8"/>
    <sheet name="I - Environmental" sheetId="31" r:id="rId9"/>
    <sheet name="J-Technology" sheetId="40" r:id="rId10"/>
    <sheet name="K - Economic Output" sheetId="36" r:id="rId11"/>
    <sheet name="Wrong Way Detection_Backup" sheetId="41" r:id="rId12"/>
    <sheet name="En-Route Travel Info_Backup" sheetId="42" r:id="rId13"/>
    <sheet name="RAMP Metering_Backup" sheetId="43" r:id="rId14"/>
    <sheet name="RWM_Backup" sheetId="44" r:id="rId15"/>
  </sheets>
  <externalReferences>
    <externalReference r:id="rId16"/>
  </externalReferences>
  <definedNames>
    <definedName name="__IntlFixup" hidden="1">TRUE</definedName>
    <definedName name="_xlnm._FilterDatabase" localSheetId="3" hidden="1">'D - Cost Estimate'!$A$5:$F$43</definedName>
    <definedName name="BaseYear">'A - Inputs'!$C$6</definedName>
    <definedName name="BenefitStart">'A - Inputs'!$C$10</definedName>
    <definedName name="calculatedATISTimeSavings" localSheetId="14">RWM_Backup!#REF!</definedName>
    <definedName name="calculatedBaselineCapacity" localSheetId="13">'RAMP Metering_Backup'!#REF!</definedName>
    <definedName name="calculatedBaselineCapacity" localSheetId="14">RWM_Backup!#REF!</definedName>
    <definedName name="calculatedBaselineDelay" localSheetId="13">'RAMP Metering_Backup'!#REF!</definedName>
    <definedName name="calculatedBaselineDelay" localSheetId="14">RWM_Backup!#REF!</definedName>
    <definedName name="calculatedBaselineFatalityCrashes" localSheetId="13">'RAMP Metering_Backup'!#REF!</definedName>
    <definedName name="calculatedBaselineFatalityCrashes" localSheetId="14">RWM_Backup!#REF!</definedName>
    <definedName name="calculatedBaselineFuelUse" localSheetId="13">'RAMP Metering_Backup'!#REF!</definedName>
    <definedName name="calculatedBaselineFuelUse" localSheetId="14">RWM_Backup!#REF!</definedName>
    <definedName name="calculatedBaselineInjuryCrashes" localSheetId="13">'RAMP Metering_Backup'!#REF!</definedName>
    <definedName name="calculatedBaselineInjuryCrashes" localSheetId="14">RWM_Backup!#REF!</definedName>
    <definedName name="calculatedBaselineLaneCount" localSheetId="14">RWM_Backup!#REF!</definedName>
    <definedName name="calculatedBaselinePDOCrashes" localSheetId="13">'RAMP Metering_Backup'!#REF!</definedName>
    <definedName name="calculatedBaselinePDOCrashes" localSheetId="14">RWM_Backup!#REF!</definedName>
    <definedName name="calculatedBaselineRampCapacity" localSheetId="13">'RAMP Metering_Backup'!#REF!</definedName>
    <definedName name="calculatedBaselineRampSpeed" localSheetId="13">'RAMP Metering_Backup'!#REF!</definedName>
    <definedName name="calculatedBaselineRampVC" localSheetId="13">'RAMP Metering_Backup'!#REF!</definedName>
    <definedName name="calculatedBaselineRampVHT" localSheetId="13">'RAMP Metering_Backup'!#REF!</definedName>
    <definedName name="calculatedBaselineRampVMT" localSheetId="13">'RAMP Metering_Backup'!#REF!</definedName>
    <definedName name="calculatedBaselineSpeed" localSheetId="13">'RAMP Metering_Backup'!#REF!</definedName>
    <definedName name="calculatedBaselineSpeed" localSheetId="14">RWM_Backup!#REF!</definedName>
    <definedName name="calculatedBaselineVC" localSheetId="13">'RAMP Metering_Backup'!#REF!</definedName>
    <definedName name="calculatedBaselineVC" localSheetId="14">RWM_Backup!#REF!</definedName>
    <definedName name="calculatedBaselineVHT" localSheetId="13">'RAMP Metering_Backup'!#REF!</definedName>
    <definedName name="calculatedBaselineVHT" localSheetId="14">RWM_Backup!#REF!</definedName>
    <definedName name="calculatedBaselineVMT" localSheetId="13">'RAMP Metering_Backup'!#REF!</definedName>
    <definedName name="calculatedBaselineVMT" localSheetId="14">RWM_Backup!#REF!</definedName>
    <definedName name="calculatedBenefitFuel" localSheetId="13">'RAMP Metering_Backup'!#REF!</definedName>
    <definedName name="calculatedBenefitFuel" localSheetId="14">RWM_Backup!#REF!</definedName>
    <definedName name="calculatedBenefitNonRecurringDelay" localSheetId="13">'RAMP Metering_Backup'!#REF!</definedName>
    <definedName name="calculatedBenefitNonRecurringDelay" localSheetId="14">RWM_Backup!#REF!</definedName>
    <definedName name="calculatedBenefitSafety" localSheetId="13">'RAMP Metering_Backup'!#REF!</definedName>
    <definedName name="calculatedBenefitSafety" localSheetId="14">RWM_Backup!#REF!</definedName>
    <definedName name="calculatedBenefitTravelTime" localSheetId="13">'RAMP Metering_Backup'!#REF!</definedName>
    <definedName name="calculatedBenefitTravelTime" localSheetId="14">RWM_Backup!#REF!</definedName>
    <definedName name="calculatedChangeDelay" localSheetId="13">'RAMP Metering_Backup'!#REF!</definedName>
    <definedName name="calculatedChangeDelay" localSheetId="14">RWM_Backup!#REF!</definedName>
    <definedName name="calculatedChangeFatalityCrashes" localSheetId="13">'RAMP Metering_Backup'!#REF!</definedName>
    <definedName name="calculatedChangeFatalityCrashes" localSheetId="14">RWM_Backup!#REF!</definedName>
    <definedName name="calculatedChangeFuelUse" localSheetId="13">'RAMP Metering_Backup'!#REF!</definedName>
    <definedName name="calculatedChangeFuelUse" localSheetId="14">RWM_Backup!#REF!</definedName>
    <definedName name="calculatedChangeInjuryCrashes" localSheetId="13">'RAMP Metering_Backup'!#REF!</definedName>
    <definedName name="calculatedChangeInjuryCrashes" localSheetId="14">RWM_Backup!#REF!</definedName>
    <definedName name="calculatedChangePDOCrashes" localSheetId="13">'RAMP Metering_Backup'!#REF!</definedName>
    <definedName name="calculatedChangePDOCrashes" localSheetId="14">RWM_Backup!#REF!</definedName>
    <definedName name="calculatedChangePersonDelay" localSheetId="13">'RAMP Metering_Backup'!#REF!</definedName>
    <definedName name="calculatedChangePersonDelay" localSheetId="14">RWM_Backup!#REF!</definedName>
    <definedName name="calculatedChangePHT" localSheetId="13">'RAMP Metering_Backup'!#REF!</definedName>
    <definedName name="calculatedChangePHT" localSheetId="14">RWM_Backup!#REF!</definedName>
    <definedName name="calculatedChangeRampVHT" localSheetId="13">'RAMP Metering_Backup'!#REF!</definedName>
    <definedName name="calculatedChangeVHT" localSheetId="13">'RAMP Metering_Backup'!#REF!</definedName>
    <definedName name="calculatedChangeVHT" localSheetId="14">RWM_Backup!#REF!</definedName>
    <definedName name="calculatedImprovementCapacity" localSheetId="13">'RAMP Metering_Backup'!#REF!</definedName>
    <definedName name="calculatedImprovementCapacity" localSheetId="14">RWM_Backup!#REF!</definedName>
    <definedName name="calculatedImprovementDelay" localSheetId="13">'RAMP Metering_Backup'!#REF!</definedName>
    <definedName name="calculatedImprovementDelay" localSheetId="14">RWM_Backup!#REF!</definedName>
    <definedName name="calculatedImprovementFatalityCrashes" localSheetId="13">'RAMP Metering_Backup'!#REF!</definedName>
    <definedName name="calculatedImprovementFatalityCrashes" localSheetId="14">RWM_Backup!#REF!</definedName>
    <definedName name="calculatedImprovementFuelUse" localSheetId="13">'RAMP Metering_Backup'!#REF!</definedName>
    <definedName name="calculatedImprovementFuelUse" localSheetId="14">RWM_Backup!#REF!</definedName>
    <definedName name="calculatedImprovementInjuryCrashes" localSheetId="13">'RAMP Metering_Backup'!#REF!</definedName>
    <definedName name="calculatedImprovementInjuryCrashes" localSheetId="14">RWM_Backup!#REF!</definedName>
    <definedName name="calculatedImprovementLaneCount" localSheetId="14">RWM_Backup!#REF!</definedName>
    <definedName name="calculatedImprovementPDOCrashes" localSheetId="13">'RAMP Metering_Backup'!#REF!</definedName>
    <definedName name="calculatedImprovementPDOCrashes" localSheetId="14">RWM_Backup!#REF!</definedName>
    <definedName name="calculatedImprovementRampCapacity" localSheetId="13">'RAMP Metering_Backup'!#REF!</definedName>
    <definedName name="calculatedImprovementRampSpeed" localSheetId="13">'RAMP Metering_Backup'!#REF!</definedName>
    <definedName name="calculatedImprovementRampVC" localSheetId="13">'RAMP Metering_Backup'!#REF!</definedName>
    <definedName name="calculatedImprovementRampVHT" localSheetId="13">'RAMP Metering_Backup'!#REF!</definedName>
    <definedName name="calculatedImprovementRampVMT" localSheetId="13">'RAMP Metering_Backup'!#REF!</definedName>
    <definedName name="calculatedImprovementSpeed" localSheetId="13">'RAMP Metering_Backup'!#REF!</definedName>
    <definedName name="calculatedImprovementSpeed" localSheetId="14">RWM_Backup!#REF!</definedName>
    <definedName name="calculatedImprovementVC" localSheetId="13">'RAMP Metering_Backup'!#REF!</definedName>
    <definedName name="calculatedImprovementVC" localSheetId="14">RWM_Backup!#REF!</definedName>
    <definedName name="calculatedImprovementVHT" localSheetId="13">'RAMP Metering_Backup'!#REF!</definedName>
    <definedName name="calculatedImprovementVHT" localSheetId="14">RWM_Backup!#REF!</definedName>
    <definedName name="calculatedImprovementVMT" localSheetId="13">'RAMP Metering_Backup'!#REF!</definedName>
    <definedName name="calculatedImprovementVMT" localSheetId="14">RWM_Backup!#REF!</definedName>
    <definedName name="defaultAnalysisPeriodsPerYear" localSheetId="13">'RAMP Metering_Backup'!#REF!</definedName>
    <definedName name="defaultAnalysisPeriodsPerYear" localSheetId="14">RWM_Backup!#REF!</definedName>
    <definedName name="defaultAutoValueOfTime" localSheetId="13">'RAMP Metering_Backup'!#REF!</definedName>
    <definedName name="defaultAutoValueOfTime" localSheetId="14">RWM_Backup!#REF!</definedName>
    <definedName name="defaultAutoValueOfTimeDelay" localSheetId="13">'RAMP Metering_Backup'!#REF!</definedName>
    <definedName name="defaultAutoValueOfTimeDelay" localSheetId="14">RWM_Backup!#REF!</definedName>
    <definedName name="defaultCommercialAutoValueOfTime" localSheetId="13">'RAMP Metering_Backup'!#REF!</definedName>
    <definedName name="defaultCommercialAutoValueOfTime" localSheetId="14">RWM_Backup!#REF!</definedName>
    <definedName name="defaultCommercialAutoValueOfTimeDelay" localSheetId="13">'RAMP Metering_Backup'!#REF!</definedName>
    <definedName name="defaultCommercialAutoValueOfTimeDelay" localSheetId="14">RWM_Backup!#REF!</definedName>
    <definedName name="defaultFatalityValuation" localSheetId="13">'RAMP Metering_Backup'!#REF!</definedName>
    <definedName name="defaultFatalityValuation" localSheetId="14">RWM_Backup!#REF!</definedName>
    <definedName name="defaultFFS" localSheetId="13">'RAMP Metering_Backup'!#REF!</definedName>
    <definedName name="defaultFFS" localSheetId="14">RWM_Backup!#REF!</definedName>
    <definedName name="defaultFuelCostGallon" localSheetId="13">'RAMP Metering_Backup'!#REF!</definedName>
    <definedName name="defaultFuelCostGallon" localSheetId="14">RWM_Backup!#REF!</definedName>
    <definedName name="defaultImpactCapacity" localSheetId="13">'RAMP Metering_Backup'!#REF!</definedName>
    <definedName name="defaultImpactCapacity" localSheetId="14">RWM_Backup!#REF!</definedName>
    <definedName name="defaultImpactCrashDurationReduction" localSheetId="13">'RAMP Metering_Backup'!#REF!</definedName>
    <definedName name="defaultImpactCrashDurationReduction" localSheetId="14">RWM_Backup!#REF!</definedName>
    <definedName name="defaultImpactCrashRateAdjustment" localSheetId="13">'RAMP Metering_Backup'!#REF!</definedName>
    <definedName name="defaultImpactCrashRateAdjustment" localSheetId="14">RWM_Backup!#REF!</definedName>
    <definedName name="defaultImpactFuelUse" localSheetId="13">'RAMP Metering_Backup'!#REF!</definedName>
    <definedName name="defaultImpactFuelUse" localSheetId="14">RWM_Backup!#REF!</definedName>
    <definedName name="defaultImpactLaneCount" localSheetId="14">RWM_Backup!#REF!</definedName>
    <definedName name="defaultImpactRampCapacity" localSheetId="13">'RAMP Metering_Backup'!#REF!</definedName>
    <definedName name="defaultImpactSpeedChange" localSheetId="13">'RAMP Metering_Backup'!#REF!</definedName>
    <definedName name="defaultImpactSpeedChange" localSheetId="14">RWM_Backup!#REF!</definedName>
    <definedName name="defaultInjuryValuation" localSheetId="13">'RAMP Metering_Backup'!#REF!</definedName>
    <definedName name="defaultInjuryValuation" localSheetId="14">RWM_Backup!#REF!</definedName>
    <definedName name="defaultLinkCapacity" localSheetId="13">'RAMP Metering_Backup'!#REF!</definedName>
    <definedName name="defaultLinkCapacity" localSheetId="14">RWM_Backup!#REF!</definedName>
    <definedName name="defaultPDOValuation" localSheetId="13">'RAMP Metering_Backup'!#REF!</definedName>
    <definedName name="defaultPDOValuation" localSheetId="14">RWM_Backup!#REF!</definedName>
    <definedName name="defaultRampCapacity" localSheetId="13">'RAMP Metering_Backup'!#REF!</definedName>
    <definedName name="defaultRampFFS" localSheetId="13">'RAMP Metering_Backup'!#REF!</definedName>
    <definedName name="defaultTruckValueOfTime" localSheetId="13">'RAMP Metering_Backup'!#REF!</definedName>
    <definedName name="defaultTruckValueOfTime" localSheetId="14">RWM_Backup!#REF!</definedName>
    <definedName name="defaultTruckValueOfTimeDelay" localSheetId="13">'RAMP Metering_Backup'!#REF!</definedName>
    <definedName name="defaultTruckValueOfTimeDelay" localSheetId="14">RWM_Backup!#REF!</definedName>
    <definedName name="facilityTypeId">'[1]Link Characteristics'!$C$4:$C$19</definedName>
    <definedName name="facilityTypeName">'[1]Link Characteristics'!$D$4:$D$8</definedName>
    <definedName name="facilityTypes">'[1]Link Characteristics'!$C$4:$H$19</definedName>
    <definedName name="incidentDelayRates">[1]Parameters!$AP$12:$AT$91</definedName>
    <definedName name="inputAnalysisPeriodHours" localSheetId="13">'RAMP Metering_Backup'!#REF!</definedName>
    <definedName name="inputAnalysisPeriodHours" localSheetId="14">RWM_Backup!#REF!</definedName>
    <definedName name="inputAnalysisPeriodsPerYear" localSheetId="13">'RAMP Metering_Backup'!#REF!</definedName>
    <definedName name="inputAnalysisPeriodsPerYear" localSheetId="14">RWM_Backup!#REF!</definedName>
    <definedName name="inputAutoValueOfTime" localSheetId="13">'RAMP Metering_Backup'!#REF!</definedName>
    <definedName name="inputAutoValueOfTime" localSheetId="14">RWM_Backup!#REF!</definedName>
    <definedName name="inputAutoValueOfTimeDelay" localSheetId="13">'RAMP Metering_Backup'!#REF!</definedName>
    <definedName name="inputAutoValueOfTimeDelay" localSheetId="14">RWM_Backup!#REF!</definedName>
    <definedName name="inputCommercialAutoValueOfTime" localSheetId="13">'RAMP Metering_Backup'!#REF!</definedName>
    <definedName name="inputCommercialAutoValueOfTime" localSheetId="14">RWM_Backup!#REF!</definedName>
    <definedName name="inputCommercialAutoValueOfTimeDelay" localSheetId="13">'RAMP Metering_Backup'!#REF!</definedName>
    <definedName name="inputCommercialAutoValueOfTimeDelay" localSheetId="14">RWM_Backup!#REF!</definedName>
    <definedName name="inputFacilityType" localSheetId="13">'RAMP Metering_Backup'!#REF!</definedName>
    <definedName name="inputFacilityType" localSheetId="14">[1]RWM!$R$13</definedName>
    <definedName name="inputFatalityValuation" localSheetId="13">'RAMP Metering_Backup'!#REF!</definedName>
    <definedName name="inputFatalityValuation" localSheetId="14">RWM_Backup!#REF!</definedName>
    <definedName name="inputFFS" localSheetId="13">'RAMP Metering_Backup'!#REF!</definedName>
    <definedName name="inputFFS" localSheetId="14">RWM_Backup!#REF!</definedName>
    <definedName name="inputFuelCostGallon" localSheetId="13">'RAMP Metering_Backup'!#REF!</definedName>
    <definedName name="inputFuelCostGallon" localSheetId="14">RWM_Backup!#REF!</definedName>
    <definedName name="inputImpactATISMinutesSaved" localSheetId="14">RWM_Backup!#REF!</definedName>
    <definedName name="inputImpactATISPercentActive" localSheetId="14">RWM_Backup!#REF!</definedName>
    <definedName name="inputImpactATISPercentUtilization" localSheetId="14">RWM_Backup!#REF!</definedName>
    <definedName name="inputImpactCapacity" localSheetId="13">'RAMP Metering_Backup'!#REF!</definedName>
    <definedName name="inputImpactCapacity" localSheetId="14">RWM_Backup!#REF!</definedName>
    <definedName name="inputImpactCrashDurationReduction" localSheetId="13">'RAMP Metering_Backup'!#REF!</definedName>
    <definedName name="inputImpactCrashDurationReduction" localSheetId="14">RWM_Backup!#REF!</definedName>
    <definedName name="inputImpactCrashRateAdjustment" localSheetId="13">'RAMP Metering_Backup'!#REF!</definedName>
    <definedName name="inputImpactCrashRateAdjustment" localSheetId="14">RWM_Backup!#REF!</definedName>
    <definedName name="inputImpactFuelUse" localSheetId="13">'RAMP Metering_Backup'!#REF!</definedName>
    <definedName name="inputImpactFuelUse" localSheetId="14">RWM_Backup!#REF!</definedName>
    <definedName name="inputImpactLaneCount" localSheetId="14">RWM_Backup!#REF!</definedName>
    <definedName name="inputImpactRampCapacity" localSheetId="13">'RAMP Metering_Backup'!#REF!</definedName>
    <definedName name="inputImpactSpeedChange" localSheetId="13">'RAMP Metering_Backup'!#REF!</definedName>
    <definedName name="inputImpactSpeedChange" localSheetId="14">RWM_Backup!#REF!</definedName>
    <definedName name="inputInjuryValuation" localSheetId="13">'RAMP Metering_Backup'!#REF!</definedName>
    <definedName name="inputInjuryValuation" localSheetId="14">RWM_Backup!#REF!</definedName>
    <definedName name="inputLaneCount" localSheetId="13">'RAMP Metering_Backup'!#REF!</definedName>
    <definedName name="inputLaneCount" localSheetId="14">RWM_Backup!#REF!</definedName>
    <definedName name="inputLinkCapacity" localSheetId="13">'RAMP Metering_Backup'!#REF!</definedName>
    <definedName name="inputLinkCapacity" localSheetId="14">RWM_Backup!#REF!</definedName>
    <definedName name="inputLinkLength" localSheetId="13">'RAMP Metering_Backup'!#REF!</definedName>
    <definedName name="inputLinkLength" localSheetId="14">RWM_Backup!#REF!</definedName>
    <definedName name="inputLinkVolume" localSheetId="13">'RAMP Metering_Backup'!#REF!</definedName>
    <definedName name="inputLinkVolume" localSheetId="14">RWM_Backup!#REF!</definedName>
    <definedName name="inputMeterCount" localSheetId="13">'RAMP Metering_Backup'!#REF!</definedName>
    <definedName name="inputPDOValuation" localSheetId="13">'RAMP Metering_Backup'!#REF!</definedName>
    <definedName name="inputPDOValuation" localSheetId="14">RWM_Backup!#REF!</definedName>
    <definedName name="inputRampCapacity" localSheetId="13">'RAMP Metering_Backup'!#REF!</definedName>
    <definedName name="inputRampFFS" localSheetId="13">'RAMP Metering_Backup'!#REF!</definedName>
    <definedName name="inputRampLaneCount" localSheetId="13">'RAMP Metering_Backup'!#REF!</definedName>
    <definedName name="inputRampLength" localSheetId="13">'RAMP Metering_Backup'!#REF!</definedName>
    <definedName name="inputRampLinkVolume" localSheetId="13">'RAMP Metering_Backup'!#REF!</definedName>
    <definedName name="inputRampMeteringType" localSheetId="13">'RAMP Metering_Backup'!#REF!</definedName>
    <definedName name="inputTruckValueOfTime" localSheetId="13">'RAMP Metering_Backup'!#REF!</definedName>
    <definedName name="inputTruckValueOfTime" localSheetId="14">RWM_Backup!#REF!</definedName>
    <definedName name="inputTruckValueOfTimeDelay" localSheetId="13">'RAMP Metering_Backup'!#REF!</definedName>
    <definedName name="inputTruckValueOfTimeDelay" localSheetId="14">RWM_Backup!#REF!</definedName>
    <definedName name="inputUserBenefit" localSheetId="13">'RAMP Metering_Backup'!#REF!</definedName>
    <definedName name="inputUserBenefit" localSheetId="14">RWM_Backup!#REF!</definedName>
    <definedName name="openingScreenTitle">'[1]OPENING SCREEN'!$B$24</definedName>
    <definedName name="overrideATISTimeSavings" localSheetId="14">RWM_Backup!#REF!</definedName>
    <definedName name="overrideBaselineCapacity" localSheetId="13">'RAMP Metering_Backup'!#REF!</definedName>
    <definedName name="overrideBaselineCapacity" localSheetId="14">RWM_Backup!#REF!</definedName>
    <definedName name="overrideBaselineDelay" localSheetId="13">'RAMP Metering_Backup'!#REF!</definedName>
    <definedName name="overrideBaselineDelay" localSheetId="14">RWM_Backup!#REF!</definedName>
    <definedName name="overrideBaselineFatalityCrashes" localSheetId="13">'RAMP Metering_Backup'!#REF!</definedName>
    <definedName name="overrideBaselineFatalityCrashes" localSheetId="14">RWM_Backup!#REF!</definedName>
    <definedName name="overrideBaselineFuelUse" localSheetId="13">'RAMP Metering_Backup'!#REF!</definedName>
    <definedName name="overrideBaselineFuelUse" localSheetId="14">RWM_Backup!#REF!</definedName>
    <definedName name="overrideBaselineInjuryCrashes" localSheetId="13">'RAMP Metering_Backup'!#REF!</definedName>
    <definedName name="overrideBaselineInjuryCrashes" localSheetId="14">RWM_Backup!#REF!</definedName>
    <definedName name="overrideBaselineLaneCount" localSheetId="14">RWM_Backup!#REF!</definedName>
    <definedName name="overrideBaselinePDOCrashes" localSheetId="13">'RAMP Metering_Backup'!#REF!</definedName>
    <definedName name="overrideBaselinePDOCrashes" localSheetId="14">RWM_Backup!#REF!</definedName>
    <definedName name="overrideBaselineRampCapacity" localSheetId="13">'RAMP Metering_Backup'!#REF!</definedName>
    <definedName name="overrideBaselineRampSpeed" localSheetId="13">'RAMP Metering_Backup'!#REF!</definedName>
    <definedName name="overrideBaselineRampVC" localSheetId="13">'RAMP Metering_Backup'!#REF!</definedName>
    <definedName name="overrideBaselineRampVHT" localSheetId="13">'RAMP Metering_Backup'!#REF!</definedName>
    <definedName name="overrideBaselineRampVMT" localSheetId="13">'RAMP Metering_Backup'!#REF!</definedName>
    <definedName name="overrideBaselineSpeed" localSheetId="13">'RAMP Metering_Backup'!#REF!</definedName>
    <definedName name="overrideBaselineSpeed" localSheetId="14">RWM_Backup!#REF!</definedName>
    <definedName name="overrideBaselineVC" localSheetId="13">'RAMP Metering_Backup'!#REF!</definedName>
    <definedName name="overrideBaselineVC" localSheetId="14">RWM_Backup!#REF!</definedName>
    <definedName name="overrideBaselineVHT" localSheetId="13">'RAMP Metering_Backup'!#REF!</definedName>
    <definedName name="overrideBaselineVHT" localSheetId="14">RWM_Backup!#REF!</definedName>
    <definedName name="overrideBaselineVMT" localSheetId="13">'RAMP Metering_Backup'!#REF!</definedName>
    <definedName name="overrideBaselineVMT" localSheetId="14">RWM_Backup!#REF!</definedName>
    <definedName name="overrideBenefitAverageAnnual" localSheetId="13">'RAMP Metering_Backup'!#REF!</definedName>
    <definedName name="overrideBenefitAverageAnnual" localSheetId="14">RWM_Backup!#REF!</definedName>
    <definedName name="overrideBenefitFuel" localSheetId="13">'RAMP Metering_Backup'!#REF!</definedName>
    <definedName name="overrideBenefitFuel" localSheetId="14">RWM_Backup!#REF!</definedName>
    <definedName name="overrideBenefitNonRecurringDelay" localSheetId="13">'RAMP Metering_Backup'!#REF!</definedName>
    <definedName name="overrideBenefitNonRecurringDelay" localSheetId="14">RWM_Backup!#REF!</definedName>
    <definedName name="overrideBenefitSafety" localSheetId="13">'RAMP Metering_Backup'!#REF!</definedName>
    <definedName name="overrideBenefitSafety" localSheetId="14">RWM_Backup!#REF!</definedName>
    <definedName name="overrideBenefitTravelTime" localSheetId="13">'RAMP Metering_Backup'!#REF!</definedName>
    <definedName name="overrideBenefitTravelTime" localSheetId="14">RWM_Backup!#REF!</definedName>
    <definedName name="overrideChangePersonDelay" localSheetId="13">'RAMP Metering_Backup'!#REF!</definedName>
    <definedName name="overrideChangePersonDelay" localSheetId="14">RWM_Backup!#REF!</definedName>
    <definedName name="overrideChangePHT" localSheetId="13">'RAMP Metering_Backup'!#REF!</definedName>
    <definedName name="overrideChangePHT" localSheetId="14">RWM_Backup!#REF!</definedName>
    <definedName name="overrideImprovementCapacity" localSheetId="13">'RAMP Metering_Backup'!#REF!</definedName>
    <definedName name="overrideImprovementCapacity" localSheetId="14">RWM_Backup!#REF!</definedName>
    <definedName name="overrideImprovementDelay" localSheetId="13">'RAMP Metering_Backup'!#REF!</definedName>
    <definedName name="overrideImprovementDelay" localSheetId="14">RWM_Backup!#REF!</definedName>
    <definedName name="overrideImprovementFatalityCrashes" localSheetId="13">'RAMP Metering_Backup'!#REF!</definedName>
    <definedName name="overrideImprovementFatalityCrashes" localSheetId="14">RWM_Backup!#REF!</definedName>
    <definedName name="overrideImprovementFuelUse" localSheetId="13">'RAMP Metering_Backup'!#REF!</definedName>
    <definedName name="overrideImprovementFuelUse" localSheetId="14">RWM_Backup!#REF!</definedName>
    <definedName name="overrideImprovementInjuryCrashes" localSheetId="13">'RAMP Metering_Backup'!#REF!</definedName>
    <definedName name="overrideImprovementInjuryCrashes" localSheetId="14">RWM_Backup!#REF!</definedName>
    <definedName name="overrideImprovementLaneCount" localSheetId="14">RWM_Backup!#REF!</definedName>
    <definedName name="overrideImprovementPDOCrashes" localSheetId="13">'RAMP Metering_Backup'!#REF!</definedName>
    <definedName name="overrideImprovementPDOCrashes" localSheetId="14">RWM_Backup!#REF!</definedName>
    <definedName name="overrideImprovementRampCapacity" localSheetId="13">'RAMP Metering_Backup'!#REF!</definedName>
    <definedName name="overrideImprovementRampSpeed" localSheetId="13">'RAMP Metering_Backup'!#REF!</definedName>
    <definedName name="overrideImprovementRampVC" localSheetId="13">'RAMP Metering_Backup'!#REF!</definedName>
    <definedName name="overrideImprovementRampVHT" localSheetId="13">'RAMP Metering_Backup'!#REF!</definedName>
    <definedName name="overrideImprovementRampVMT" localSheetId="13">'RAMP Metering_Backup'!#REF!</definedName>
    <definedName name="overrideImprovementSpeed" localSheetId="13">'RAMP Metering_Backup'!#REF!</definedName>
    <definedName name="overrideImprovementSpeed" localSheetId="14">RWM_Backup!#REF!</definedName>
    <definedName name="overrideImprovementVC" localSheetId="13">'RAMP Metering_Backup'!#REF!</definedName>
    <definedName name="overrideImprovementVC" localSheetId="14">RWM_Backup!#REF!</definedName>
    <definedName name="overrideImprovementVHT" localSheetId="13">'RAMP Metering_Backup'!#REF!</definedName>
    <definedName name="overrideImprovementVHT" localSheetId="14">RWM_Backup!#REF!</definedName>
    <definedName name="overrideImprovementVMT" localSheetId="13">'RAMP Metering_Backup'!#REF!</definedName>
    <definedName name="overrideImprovementVMT" localSheetId="14">RWM_Backup!#REF!</definedName>
    <definedName name="parameterAutoValueOfTime">[1]Parameters!$W$12</definedName>
    <definedName name="parameterAutoValueOfTimeDelay">[1]Parameters!$W$16</definedName>
    <definedName name="parameterAverageAutoOccupancy">[1]Parameters!$P$24</definedName>
    <definedName name="parameterCommercialAutoValueOfTime">[1]Parameters!$W$11</definedName>
    <definedName name="parameterCommercialAutoValueOfTimeDelay">[1]Parameters!$W$15</definedName>
    <definedName name="parameterFatalityValuation">[1]Parameters!$W$20</definedName>
    <definedName name="parameterFuelCostGallon">[1]Parameters!$W$25</definedName>
    <definedName name="parameterFuelEconomyAuto">[1]Parameters!$AN$9</definedName>
    <definedName name="parameterFuelEconomyTruck">[1]Parameters!$AN$10</definedName>
    <definedName name="parameterInjuryValuation">[1]Parameters!$W$21</definedName>
    <definedName name="parameterPDOValuation">[1]Parameters!$W$22</definedName>
    <definedName name="parameterPercentCommercialAuto">[1]Parameters!$P$23</definedName>
    <definedName name="parameterPercentTrucks">[1]Parameters!$P$22</definedName>
    <definedName name="parameterTruckValueOfTime">[1]Parameters!$W$13</definedName>
    <definedName name="parameterTruckValueOfTimeDelay">[1]Parameters!$W$17</definedName>
    <definedName name="_xlnm.Print_Area" localSheetId="0">'A - Inputs'!$A$1:$P$82</definedName>
    <definedName name="_xlnm.Print_Area" localSheetId="3">'D - Cost Estimate'!$A$1:$L$236</definedName>
    <definedName name="_xlnm.Print_Area" localSheetId="12">'En-Route Travel Info_Backup'!$A$1:$R$31</definedName>
    <definedName name="_xlnm.Print_Area" localSheetId="5">'F - Maintenance Costs'!$B$1:$M$50</definedName>
    <definedName name="_xlnm.Print_Area" localSheetId="6">'G - Safety'!$D$12:$AM$59</definedName>
    <definedName name="_xlnm.Print_Area" localSheetId="8">'I - Environmental'!$A$1:$AV$54</definedName>
    <definedName name="_xlnm.Print_Area" localSheetId="9">'J-Technology'!$B$25:$K$67</definedName>
    <definedName name="_xlnm.Print_Area" localSheetId="10">'K - Economic Output'!$B$3:$L$48</definedName>
    <definedName name="_xlnm.Print_Area" localSheetId="13">'RAMP Metering_Backup'!$B$2:$AA$107</definedName>
    <definedName name="_xlnm.Print_Area" localSheetId="14">RWM_Backup!$B$1:$Y$105</definedName>
    <definedName name="_xlnm.Print_Area" localSheetId="11">'Wrong Way Detection_Backup'!$D$12:$AV$63</definedName>
    <definedName name="_xlnm.Print_Titles" localSheetId="6">'G - Safety'!$D:$E</definedName>
    <definedName name="_xlnm.Print_Titles" localSheetId="7">'H - Travel Time'!$A:$B</definedName>
    <definedName name="_xlnm.Print_Titles" localSheetId="11">'Wrong Way Detection_Backup'!$D:$E</definedName>
    <definedName name="ProjStartYr">'A - Inputs'!$C$7</definedName>
    <definedName name="ProjUseStart">'A - Inputs'!$C$10</definedName>
    <definedName name="rampMeteringTypes">'[1]deployment support'!$F$3:$I$5</definedName>
    <definedName name="vcCurves">[1]Parameters!$Z$11:$AC$68</definedName>
    <definedName name="YearDays">'A - Inputs'!$C$12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62" i="32" l="1"/>
  <c r="T60" i="32"/>
  <c r="M60" i="32"/>
  <c r="N48" i="33"/>
  <c r="J48" i="33"/>
  <c r="F48" i="33"/>
  <c r="F47" i="33"/>
  <c r="E47" i="33"/>
  <c r="D48" i="33"/>
  <c r="C2" i="35"/>
  <c r="F26" i="40" l="1"/>
  <c r="D8" i="39" l="1"/>
  <c r="D3" i="39"/>
  <c r="D5" i="36" l="1"/>
  <c r="E5" i="36" s="1"/>
  <c r="B236" i="25"/>
  <c r="D233" i="25"/>
  <c r="D228" i="25"/>
  <c r="D229" i="25"/>
  <c r="D230" i="25"/>
  <c r="D227" i="25"/>
  <c r="D224" i="25"/>
  <c r="D223" i="25"/>
  <c r="D222" i="25"/>
  <c r="D221" i="25"/>
  <c r="D220" i="25"/>
  <c r="D219" i="25"/>
  <c r="D218" i="25"/>
  <c r="D217" i="25"/>
  <c r="D216" i="25"/>
  <c r="D215" i="25"/>
  <c r="D214" i="25"/>
  <c r="D213" i="25"/>
  <c r="D212" i="25"/>
  <c r="D211" i="25"/>
  <c r="D210" i="25"/>
  <c r="D209" i="25"/>
  <c r="D208" i="25"/>
  <c r="D207" i="25"/>
  <c r="D206" i="25"/>
  <c r="D205" i="25"/>
  <c r="D204" i="25"/>
  <c r="D203" i="25"/>
  <c r="D202" i="25"/>
  <c r="D201" i="25"/>
  <c r="D200" i="25"/>
  <c r="D199" i="25"/>
  <c r="D198" i="25"/>
  <c r="D197" i="25"/>
  <c r="D196" i="25"/>
  <c r="D195" i="25"/>
  <c r="D194" i="25"/>
  <c r="D193" i="25"/>
  <c r="D192" i="25"/>
  <c r="D191" i="25"/>
  <c r="D190" i="25"/>
  <c r="D189" i="25"/>
  <c r="D188" i="25"/>
  <c r="D187" i="25"/>
  <c r="D186" i="25"/>
  <c r="D185" i="25"/>
  <c r="D184" i="25"/>
  <c r="D183" i="25"/>
  <c r="D182" i="25"/>
  <c r="D181" i="25"/>
  <c r="D180" i="25"/>
  <c r="D179" i="25"/>
  <c r="D178" i="25"/>
  <c r="D177" i="25"/>
  <c r="D176" i="25"/>
  <c r="D175" i="25"/>
  <c r="D174" i="25"/>
  <c r="D173" i="25"/>
  <c r="D172" i="25"/>
  <c r="D171" i="25"/>
  <c r="D170" i="25"/>
  <c r="D169" i="25"/>
  <c r="D168" i="25"/>
  <c r="D167" i="25"/>
  <c r="D166" i="25"/>
  <c r="D165" i="25"/>
  <c r="D164" i="25"/>
  <c r="D163" i="25"/>
  <c r="D162" i="25"/>
  <c r="D161" i="25"/>
  <c r="D160" i="25"/>
  <c r="D159" i="25"/>
  <c r="D158" i="25"/>
  <c r="D157" i="25"/>
  <c r="D156" i="25"/>
  <c r="D155" i="25"/>
  <c r="D154" i="25"/>
  <c r="D153" i="25"/>
  <c r="D152" i="25"/>
  <c r="D151" i="25"/>
  <c r="D150" i="25"/>
  <c r="D149" i="25"/>
  <c r="D148" i="25"/>
  <c r="D147" i="25"/>
  <c r="D146" i="25"/>
  <c r="D145" i="25"/>
  <c r="D144" i="25"/>
  <c r="D143" i="25"/>
  <c r="D142" i="25"/>
  <c r="D141" i="25"/>
  <c r="D140" i="25"/>
  <c r="D139" i="25"/>
  <c r="D138" i="25"/>
  <c r="D137" i="25"/>
  <c r="D136" i="25"/>
  <c r="D135" i="25"/>
  <c r="D134" i="25"/>
  <c r="D133" i="25"/>
  <c r="D132" i="25"/>
  <c r="D131" i="25"/>
  <c r="D130" i="25"/>
  <c r="D129" i="25"/>
  <c r="D128" i="25"/>
  <c r="D127" i="25"/>
  <c r="D126" i="25"/>
  <c r="D125" i="25"/>
  <c r="D124" i="25"/>
  <c r="D123" i="25"/>
  <c r="D122" i="25"/>
  <c r="D121" i="25"/>
  <c r="D120" i="25"/>
  <c r="D119" i="25"/>
  <c r="D118" i="25"/>
  <c r="D117" i="25"/>
  <c r="D116" i="25"/>
  <c r="D115" i="25"/>
  <c r="D114" i="25"/>
  <c r="D113" i="25"/>
  <c r="D112" i="25"/>
  <c r="D111" i="25"/>
  <c r="D110" i="25"/>
  <c r="D109" i="25"/>
  <c r="D108" i="25"/>
  <c r="D107" i="25"/>
  <c r="D106" i="25"/>
  <c r="D105" i="25"/>
  <c r="D104" i="25"/>
  <c r="D103" i="25"/>
  <c r="D102" i="25"/>
  <c r="D101" i="25"/>
  <c r="D100" i="25"/>
  <c r="D99" i="25"/>
  <c r="D98" i="25"/>
  <c r="D97" i="25"/>
  <c r="D96" i="25"/>
  <c r="D95" i="25"/>
  <c r="D94" i="25"/>
  <c r="D93" i="25"/>
  <c r="D92" i="25"/>
  <c r="D91" i="25"/>
  <c r="D90" i="25"/>
  <c r="D89" i="25"/>
  <c r="D88" i="25"/>
  <c r="D87" i="25"/>
  <c r="D86" i="25"/>
  <c r="D85" i="25"/>
  <c r="D84" i="25"/>
  <c r="D83" i="25"/>
  <c r="D82" i="25"/>
  <c r="D81" i="25"/>
  <c r="D80" i="25"/>
  <c r="D79" i="25"/>
  <c r="D78" i="25"/>
  <c r="D77" i="25"/>
  <c r="D76" i="25"/>
  <c r="D75" i="25"/>
  <c r="D74" i="25"/>
  <c r="D73" i="25"/>
  <c r="D72" i="25"/>
  <c r="D71" i="25"/>
  <c r="D70" i="25"/>
  <c r="D69" i="25"/>
  <c r="D68" i="25"/>
  <c r="D67" i="25"/>
  <c r="D66" i="25"/>
  <c r="D65" i="25"/>
  <c r="D64" i="25"/>
  <c r="D63" i="25"/>
  <c r="D62" i="25"/>
  <c r="D61" i="25"/>
  <c r="D60" i="25"/>
  <c r="D59" i="25"/>
  <c r="D58" i="25"/>
  <c r="D57" i="25"/>
  <c r="D56" i="25"/>
  <c r="D55" i="25"/>
  <c r="D54" i="25"/>
  <c r="D53" i="25"/>
  <c r="D52" i="25"/>
  <c r="D51" i="25"/>
  <c r="D50" i="25"/>
  <c r="D49" i="25"/>
  <c r="D48" i="25"/>
  <c r="D47" i="25"/>
  <c r="D46" i="25"/>
  <c r="D45" i="25"/>
  <c r="D44" i="25"/>
  <c r="D43" i="25"/>
  <c r="D42" i="25"/>
  <c r="D41" i="25"/>
  <c r="D40" i="25"/>
  <c r="D39" i="25"/>
  <c r="D38" i="25"/>
  <c r="D37" i="25"/>
  <c r="D36" i="25"/>
  <c r="D35" i="25"/>
  <c r="D34" i="25"/>
  <c r="D33" i="25"/>
  <c r="D32" i="25"/>
  <c r="D31" i="25"/>
  <c r="D30" i="25"/>
  <c r="D29" i="25"/>
  <c r="D28" i="25"/>
  <c r="D27" i="25"/>
  <c r="D26" i="25"/>
  <c r="D25" i="25"/>
  <c r="D24" i="25"/>
  <c r="D23" i="25"/>
  <c r="D22" i="25"/>
  <c r="D21" i="25"/>
  <c r="D20" i="25"/>
  <c r="D19" i="25"/>
  <c r="D18" i="25"/>
  <c r="D17" i="25"/>
  <c r="D16" i="25"/>
  <c r="D15" i="25"/>
  <c r="D14" i="25"/>
  <c r="D13" i="25"/>
  <c r="D12" i="25"/>
  <c r="D11" i="25"/>
  <c r="D10" i="25"/>
  <c r="D9" i="25"/>
  <c r="D8" i="25"/>
  <c r="D7" i="25"/>
  <c r="D6" i="25"/>
  <c r="B234" i="25"/>
  <c r="B231" i="25"/>
  <c r="B225" i="25"/>
  <c r="G26" i="40" l="1"/>
  <c r="E26" i="40"/>
  <c r="I5" i="25" l="1"/>
  <c r="L13" i="36" l="1"/>
  <c r="L14" i="36"/>
  <c r="L15" i="36"/>
  <c r="L16" i="36"/>
  <c r="L17" i="36"/>
  <c r="L12" i="36"/>
  <c r="L11" i="26"/>
  <c r="L4" i="26"/>
  <c r="L5" i="26" s="1"/>
  <c r="D234" i="25"/>
  <c r="D231" i="25"/>
  <c r="D225" i="25"/>
  <c r="D236" i="25" l="1"/>
  <c r="J5" i="36"/>
  <c r="I5" i="36" l="1"/>
  <c r="K5" i="36"/>
  <c r="I8" i="25"/>
  <c r="I4" i="31" l="1"/>
  <c r="E4" i="31"/>
  <c r="H38" i="28" l="1"/>
  <c r="H39" i="28"/>
  <c r="H40" i="28"/>
  <c r="H41" i="28"/>
  <c r="H42" i="28"/>
  <c r="H43" i="28"/>
  <c r="H44" i="28"/>
  <c r="H45" i="28"/>
  <c r="H46" i="28"/>
  <c r="H47" i="28"/>
  <c r="E28" i="41" l="1"/>
  <c r="E29" i="41" s="1"/>
  <c r="E30" i="41" s="1"/>
  <c r="E31" i="41" s="1"/>
  <c r="E32" i="41" s="1"/>
  <c r="E33" i="41" s="1"/>
  <c r="E34" i="41" s="1"/>
  <c r="E35" i="41" s="1"/>
  <c r="E36" i="41" s="1"/>
  <c r="E37" i="41" s="1"/>
  <c r="E38" i="41" s="1"/>
  <c r="E39" i="41" s="1"/>
  <c r="E40" i="41" s="1"/>
  <c r="E41" i="41" s="1"/>
  <c r="E42" i="41" s="1"/>
  <c r="E43" i="41" s="1"/>
  <c r="E44" i="41" s="1"/>
  <c r="E45" i="41" s="1"/>
  <c r="E46" i="41" s="1"/>
  <c r="E47" i="41" s="1"/>
  <c r="E48" i="41" s="1"/>
  <c r="E49" i="41" s="1"/>
  <c r="E50" i="41" s="1"/>
  <c r="E51" i="41" s="1"/>
  <c r="E52" i="41" s="1"/>
  <c r="E53" i="41" s="1"/>
  <c r="E54" i="41" s="1"/>
  <c r="E55" i="41" s="1"/>
  <c r="E56" i="41" s="1"/>
  <c r="E57" i="41" s="1"/>
  <c r="E58" i="41" s="1"/>
  <c r="E59" i="41" s="1"/>
  <c r="E60" i="41" s="1"/>
  <c r="E61" i="41" s="1"/>
  <c r="C46" i="28"/>
  <c r="I46" i="28"/>
  <c r="C47" i="28"/>
  <c r="I47" i="28" s="1"/>
  <c r="C13" i="28"/>
  <c r="B38" i="35"/>
  <c r="I38" i="35"/>
  <c r="I39" i="35" s="1"/>
  <c r="I40" i="35" s="1"/>
  <c r="I41" i="35" s="1"/>
  <c r="I42" i="35" s="1"/>
  <c r="I43" i="35" s="1"/>
  <c r="I44" i="35" s="1"/>
  <c r="B39" i="35"/>
  <c r="B40" i="35" s="1"/>
  <c r="B41" i="35" s="1"/>
  <c r="B42" i="35" s="1"/>
  <c r="B43" i="35" s="1"/>
  <c r="B44" i="35" s="1"/>
  <c r="B33" i="31"/>
  <c r="AD33" i="31"/>
  <c r="B34" i="31"/>
  <c r="AD34" i="31"/>
  <c r="B35" i="31"/>
  <c r="AD35" i="31"/>
  <c r="B36" i="31"/>
  <c r="AD36" i="31"/>
  <c r="B37" i="31"/>
  <c r="AD37" i="31"/>
  <c r="B38" i="31"/>
  <c r="AD38" i="31"/>
  <c r="B39" i="31"/>
  <c r="AD39" i="31"/>
  <c r="I7" i="25"/>
  <c r="I6" i="25"/>
  <c r="J47" i="28" l="1"/>
  <c r="K44" i="35" s="1"/>
  <c r="J46" i="28"/>
  <c r="K43" i="35" s="1"/>
  <c r="I9" i="25"/>
  <c r="J6" i="25" s="1"/>
  <c r="J5" i="25" l="1"/>
  <c r="J8" i="25"/>
  <c r="K8" i="25" s="1"/>
  <c r="J7" i="25"/>
  <c r="K7" i="25" s="1"/>
  <c r="K6" i="25"/>
  <c r="AK3" i="31"/>
  <c r="AD5" i="31"/>
  <c r="AD6" i="31"/>
  <c r="AD7" i="31"/>
  <c r="AD8" i="31"/>
  <c r="AD9" i="31"/>
  <c r="AD10" i="31"/>
  <c r="AD11" i="31"/>
  <c r="AD12" i="31"/>
  <c r="AD13" i="31"/>
  <c r="AD14" i="31"/>
  <c r="AD15" i="31"/>
  <c r="AD16" i="31"/>
  <c r="AD17" i="31"/>
  <c r="AD18" i="31"/>
  <c r="AD19" i="31"/>
  <c r="AD20" i="31"/>
  <c r="AD21" i="31"/>
  <c r="AD22" i="31"/>
  <c r="AD23" i="31"/>
  <c r="AD24" i="31"/>
  <c r="AD25" i="31"/>
  <c r="AD26" i="31"/>
  <c r="AD27" i="31"/>
  <c r="AD28" i="31"/>
  <c r="AD29" i="31"/>
  <c r="AD30" i="31"/>
  <c r="AD31" i="31"/>
  <c r="AD32" i="31"/>
  <c r="AD4" i="31"/>
  <c r="J9" i="25" l="1"/>
  <c r="K5" i="25"/>
  <c r="K9" i="25" s="1"/>
  <c r="O53" i="24"/>
  <c r="O73" i="24"/>
  <c r="N73" i="24"/>
  <c r="N74" i="24" s="1"/>
  <c r="N53" i="24"/>
  <c r="M73" i="24"/>
  <c r="M74" i="24" s="1"/>
  <c r="M75" i="24" s="1"/>
  <c r="M76" i="24" s="1"/>
  <c r="M77" i="24" s="1"/>
  <c r="M78" i="24" s="1"/>
  <c r="M79" i="24" s="1"/>
  <c r="M80" i="24" s="1"/>
  <c r="M81" i="24" s="1"/>
  <c r="M82" i="24" s="1"/>
  <c r="M53" i="24"/>
  <c r="M52" i="24" s="1"/>
  <c r="M51" i="24" s="1"/>
  <c r="M50" i="24" s="1"/>
  <c r="M49" i="24" s="1"/>
  <c r="M48" i="24" s="1"/>
  <c r="M47" i="24" s="1"/>
  <c r="L53" i="24"/>
  <c r="L52" i="24" s="1"/>
  <c r="L51" i="24" s="1"/>
  <c r="L50" i="24" s="1"/>
  <c r="L49" i="24" s="1"/>
  <c r="L48" i="24" s="1"/>
  <c r="L47" i="24" s="1"/>
  <c r="L73" i="24"/>
  <c r="G4" i="33"/>
  <c r="G3" i="33"/>
  <c r="H4" i="33"/>
  <c r="H3" i="33"/>
  <c r="L74" i="24" l="1"/>
  <c r="L75" i="24" s="1"/>
  <c r="L76" i="24" s="1"/>
  <c r="L77" i="24" s="1"/>
  <c r="O74" i="24"/>
  <c r="O75" i="24" s="1"/>
  <c r="N75" i="24"/>
  <c r="N52" i="24"/>
  <c r="O52" i="24"/>
  <c r="G14" i="41"/>
  <c r="H5" i="41"/>
  <c r="I5" i="41"/>
  <c r="J5" i="41"/>
  <c r="H6" i="41"/>
  <c r="I6" i="41"/>
  <c r="J6" i="41"/>
  <c r="H7" i="41"/>
  <c r="I7" i="41"/>
  <c r="J7" i="41"/>
  <c r="H8" i="41"/>
  <c r="I8" i="41"/>
  <c r="J8" i="41"/>
  <c r="H9" i="41"/>
  <c r="I9" i="41"/>
  <c r="J9" i="41"/>
  <c r="J4" i="41"/>
  <c r="I4" i="41"/>
  <c r="H4" i="41"/>
  <c r="O5" i="41"/>
  <c r="O6" i="41"/>
  <c r="O7" i="41"/>
  <c r="O8" i="41"/>
  <c r="O9" i="41"/>
  <c r="O3" i="41"/>
  <c r="F3" i="41"/>
  <c r="F4" i="41"/>
  <c r="F5" i="41"/>
  <c r="F6" i="41"/>
  <c r="F7" i="41"/>
  <c r="F8" i="41"/>
  <c r="F9" i="41"/>
  <c r="E4" i="41"/>
  <c r="E5" i="41"/>
  <c r="E6" i="41"/>
  <c r="E7" i="41"/>
  <c r="E8" i="41"/>
  <c r="E9" i="41"/>
  <c r="E3" i="41"/>
  <c r="D4" i="41"/>
  <c r="D5" i="41"/>
  <c r="D6" i="41"/>
  <c r="D3" i="41"/>
  <c r="O76" i="24" l="1"/>
  <c r="O77" i="24" s="1"/>
  <c r="L78" i="24"/>
  <c r="O51" i="24"/>
  <c r="N51" i="24"/>
  <c r="N76" i="24"/>
  <c r="D16" i="40"/>
  <c r="D19" i="40"/>
  <c r="L79" i="24" l="1"/>
  <c r="O50" i="24"/>
  <c r="N50" i="24"/>
  <c r="O78" i="24"/>
  <c r="N77" i="24"/>
  <c r="B3" i="40"/>
  <c r="B4" i="40"/>
  <c r="B5" i="40"/>
  <c r="B2" i="40"/>
  <c r="L80" i="24" l="1"/>
  <c r="N78" i="24"/>
  <c r="N49" i="24"/>
  <c r="O79" i="24"/>
  <c r="O49" i="24"/>
  <c r="E3" i="28"/>
  <c r="K4" i="26"/>
  <c r="K5" i="26" s="1"/>
  <c r="J4" i="26"/>
  <c r="L81" i="24" l="1"/>
  <c r="O48" i="24"/>
  <c r="O80" i="24"/>
  <c r="N48" i="24"/>
  <c r="N79" i="24"/>
  <c r="E10" i="31"/>
  <c r="E9" i="31" s="1"/>
  <c r="E8" i="31" s="1"/>
  <c r="E7" i="31" s="1"/>
  <c r="E6" i="31" s="1"/>
  <c r="E5" i="31" s="1"/>
  <c r="L82" i="24" l="1"/>
  <c r="N80" i="24"/>
  <c r="O81" i="24"/>
  <c r="N47" i="24"/>
  <c r="O47" i="24"/>
  <c r="O82" i="24" l="1"/>
  <c r="N81" i="24"/>
  <c r="H6" i="33"/>
  <c r="N82" i="24" l="1"/>
  <c r="D26" i="41"/>
  <c r="E27" i="41"/>
  <c r="AB25" i="41"/>
  <c r="L25" i="41"/>
  <c r="S25" i="41" s="1"/>
  <c r="Z25" i="41" s="1"/>
  <c r="AH25" i="41" s="1"/>
  <c r="K25" i="41"/>
  <c r="R25" i="41" s="1"/>
  <c r="Y25" i="41" s="1"/>
  <c r="AG25" i="41" s="1"/>
  <c r="J25" i="41"/>
  <c r="Q25" i="41" s="1"/>
  <c r="X25" i="41" s="1"/>
  <c r="AF25" i="41" s="1"/>
  <c r="I25" i="41"/>
  <c r="P25" i="41" s="1"/>
  <c r="W25" i="41" s="1"/>
  <c r="AE25" i="41" s="1"/>
  <c r="H25" i="41"/>
  <c r="O25" i="41" s="1"/>
  <c r="V25" i="41" s="1"/>
  <c r="AD25" i="41" s="1"/>
  <c r="G25" i="41"/>
  <c r="N25" i="41" s="1"/>
  <c r="U25" i="41" s="1"/>
  <c r="AC25" i="41" s="1"/>
  <c r="F25" i="41"/>
  <c r="M25" i="41" s="1"/>
  <c r="T25" i="41" s="1"/>
  <c r="M12" i="41"/>
  <c r="L12" i="41"/>
  <c r="K12" i="41"/>
  <c r="J12" i="41"/>
  <c r="I12" i="41"/>
  <c r="H12" i="41"/>
  <c r="G12" i="41"/>
  <c r="J10" i="41"/>
  <c r="I10" i="41"/>
  <c r="H10" i="41"/>
  <c r="A4" i="41"/>
  <c r="A5" i="41" s="1"/>
  <c r="A6" i="41" s="1"/>
  <c r="A7" i="41" s="1"/>
  <c r="A8" i="41" s="1"/>
  <c r="A9" i="41" s="1"/>
  <c r="G13" i="41" l="1"/>
  <c r="D27" i="41"/>
  <c r="D28" i="41" s="1"/>
  <c r="D29" i="41" s="1"/>
  <c r="D30" i="41" s="1"/>
  <c r="D31" i="41" s="1"/>
  <c r="D32" i="41" s="1"/>
  <c r="D33" i="41" s="1"/>
  <c r="D34" i="41" s="1"/>
  <c r="D35" i="41" s="1"/>
  <c r="D36" i="41" s="1"/>
  <c r="D37" i="41" s="1"/>
  <c r="D38" i="41" s="1"/>
  <c r="D39" i="41" s="1"/>
  <c r="D40" i="41" s="1"/>
  <c r="D41" i="41" s="1"/>
  <c r="D42" i="41" s="1"/>
  <c r="D43" i="41" s="1"/>
  <c r="D44" i="41" s="1"/>
  <c r="D45" i="41" s="1"/>
  <c r="D46" i="41" s="1"/>
  <c r="D47" i="41" s="1"/>
  <c r="D48" i="41" s="1"/>
  <c r="D49" i="41" s="1"/>
  <c r="D50" i="41" s="1"/>
  <c r="D51" i="41" s="1"/>
  <c r="D52" i="41" s="1"/>
  <c r="D53" i="41" s="1"/>
  <c r="D54" i="41" s="1"/>
  <c r="D55" i="41" s="1"/>
  <c r="D56" i="41" s="1"/>
  <c r="D57" i="41" s="1"/>
  <c r="D58" i="41" s="1"/>
  <c r="D59" i="41" s="1"/>
  <c r="D60" i="41" s="1"/>
  <c r="D61" i="41" s="1"/>
  <c r="M13" i="41"/>
  <c r="H13" i="41"/>
  <c r="I13" i="41"/>
  <c r="J13" i="41"/>
  <c r="K13" i="41"/>
  <c r="L13" i="41"/>
  <c r="D23" i="32"/>
  <c r="A4" i="31"/>
  <c r="B12" i="28" l="1"/>
  <c r="C14" i="28"/>
  <c r="E6" i="28"/>
  <c r="E12" i="28" l="1"/>
  <c r="F12" i="28" s="1"/>
  <c r="G12" i="28" s="1"/>
  <c r="H12" i="28" s="1"/>
  <c r="C15" i="28"/>
  <c r="B13" i="28"/>
  <c r="E13" i="28" s="1"/>
  <c r="F13" i="28" s="1"/>
  <c r="G13" i="28" s="1"/>
  <c r="H13" i="28" s="1"/>
  <c r="C31" i="40"/>
  <c r="C32" i="40" s="1"/>
  <c r="C33" i="40" s="1"/>
  <c r="C34" i="40" s="1"/>
  <c r="C35" i="40" s="1"/>
  <c r="C36" i="40" s="1"/>
  <c r="C37" i="40" s="1"/>
  <c r="C38" i="40" s="1"/>
  <c r="C39" i="40" s="1"/>
  <c r="C40" i="40" s="1"/>
  <c r="C41" i="40" s="1"/>
  <c r="C42" i="40" s="1"/>
  <c r="C43" i="40" s="1"/>
  <c r="C44" i="40" s="1"/>
  <c r="C45" i="40" s="1"/>
  <c r="C46" i="40" s="1"/>
  <c r="C47" i="40" s="1"/>
  <c r="C48" i="40" s="1"/>
  <c r="C49" i="40" s="1"/>
  <c r="C50" i="40" s="1"/>
  <c r="C51" i="40" s="1"/>
  <c r="C52" i="40" s="1"/>
  <c r="C53" i="40" s="1"/>
  <c r="C54" i="40" s="1"/>
  <c r="C55" i="40" s="1"/>
  <c r="C56" i="40" s="1"/>
  <c r="C57" i="40" s="1"/>
  <c r="C58" i="40" s="1"/>
  <c r="C59" i="40" s="1"/>
  <c r="C60" i="40" s="1"/>
  <c r="C61" i="40" s="1"/>
  <c r="C62" i="40" s="1"/>
  <c r="C63" i="40" s="1"/>
  <c r="C64" i="40" s="1"/>
  <c r="C65" i="40" s="1"/>
  <c r="B30" i="40"/>
  <c r="D21" i="40"/>
  <c r="B9" i="40"/>
  <c r="B8" i="40"/>
  <c r="D6" i="40"/>
  <c r="AR2" i="31"/>
  <c r="AQ2" i="31"/>
  <c r="B5" i="31"/>
  <c r="F10" i="31"/>
  <c r="G10" i="31"/>
  <c r="G9" i="31" s="1"/>
  <c r="G8" i="31" s="1"/>
  <c r="G7" i="31" s="1"/>
  <c r="G6" i="31" s="1"/>
  <c r="G5" i="31" s="1"/>
  <c r="G4" i="31" s="1"/>
  <c r="H10" i="31"/>
  <c r="H9" i="31" s="1"/>
  <c r="H8" i="31" s="1"/>
  <c r="H7" i="31" s="1"/>
  <c r="H6" i="31" s="1"/>
  <c r="H5" i="31" s="1"/>
  <c r="H4" i="31" s="1"/>
  <c r="E30" i="31"/>
  <c r="E31" i="31" s="1"/>
  <c r="E32" i="31" s="1"/>
  <c r="E33" i="31" s="1"/>
  <c r="F30" i="31"/>
  <c r="G30" i="31"/>
  <c r="G31" i="31" s="1"/>
  <c r="G32" i="31" s="1"/>
  <c r="G33" i="31" s="1"/>
  <c r="G34" i="31" s="1"/>
  <c r="H30" i="31"/>
  <c r="H31" i="31" s="1"/>
  <c r="H32" i="31" s="1"/>
  <c r="H33" i="31" s="1"/>
  <c r="B10" i="40" l="1"/>
  <c r="B31" i="40"/>
  <c r="G35" i="31"/>
  <c r="E34" i="31"/>
  <c r="J33" i="31"/>
  <c r="H34" i="31"/>
  <c r="H35" i="31" s="1"/>
  <c r="H36" i="31" s="1"/>
  <c r="H37" i="31" s="1"/>
  <c r="H38" i="31" s="1"/>
  <c r="H39" i="31" s="1"/>
  <c r="I13" i="28"/>
  <c r="J13" i="28" s="1"/>
  <c r="K10" i="35" s="1"/>
  <c r="I12" i="28"/>
  <c r="J12" i="28"/>
  <c r="C16" i="28"/>
  <c r="F31" i="31"/>
  <c r="F32" i="31" s="1"/>
  <c r="F33" i="31" s="1"/>
  <c r="F34" i="31" s="1"/>
  <c r="F35" i="31" s="1"/>
  <c r="F36" i="31" s="1"/>
  <c r="F37" i="31" s="1"/>
  <c r="F38" i="31" s="1"/>
  <c r="F39" i="31" s="1"/>
  <c r="I10" i="31"/>
  <c r="F9" i="31"/>
  <c r="F8" i="31" s="1"/>
  <c r="F7" i="31" s="1"/>
  <c r="F6" i="31" s="1"/>
  <c r="F5" i="31" s="1"/>
  <c r="F4" i="31" s="1"/>
  <c r="J10" i="31"/>
  <c r="I30" i="31"/>
  <c r="B23" i="40"/>
  <c r="B22" i="40"/>
  <c r="B14" i="28"/>
  <c r="E14" i="28" s="1"/>
  <c r="F14" i="28" s="1"/>
  <c r="G14" i="28" s="1"/>
  <c r="H14" i="28" s="1"/>
  <c r="B32" i="40"/>
  <c r="B11" i="40"/>
  <c r="B12" i="40" s="1"/>
  <c r="B6" i="31"/>
  <c r="J31" i="31"/>
  <c r="A5" i="31"/>
  <c r="J30" i="31"/>
  <c r="J4" i="31"/>
  <c r="I34" i="31" l="1"/>
  <c r="E35" i="31"/>
  <c r="I33" i="31"/>
  <c r="J35" i="31"/>
  <c r="G36" i="31"/>
  <c r="J34" i="31"/>
  <c r="I14" i="28"/>
  <c r="C17" i="28"/>
  <c r="I5" i="31"/>
  <c r="J5" i="31"/>
  <c r="J32" i="31"/>
  <c r="I32" i="31"/>
  <c r="I31" i="31"/>
  <c r="B15" i="28"/>
  <c r="E15" i="28" s="1"/>
  <c r="F15" i="28" s="1"/>
  <c r="G15" i="28" s="1"/>
  <c r="H15" i="28" s="1"/>
  <c r="B33" i="40"/>
  <c r="B7" i="31"/>
  <c r="A6" i="31"/>
  <c r="J36" i="31" l="1"/>
  <c r="G37" i="31"/>
  <c r="I35" i="31"/>
  <c r="E36" i="31"/>
  <c r="I15" i="28"/>
  <c r="J15" i="28" s="1"/>
  <c r="K12" i="35" s="1"/>
  <c r="J14" i="28"/>
  <c r="K11" i="35" s="1"/>
  <c r="C18" i="28"/>
  <c r="I6" i="31"/>
  <c r="J6" i="31"/>
  <c r="B16" i="28"/>
  <c r="E16" i="28" s="1"/>
  <c r="F16" i="28" s="1"/>
  <c r="G16" i="28" s="1"/>
  <c r="H16" i="28" s="1"/>
  <c r="B34" i="40"/>
  <c r="B8" i="31"/>
  <c r="A7" i="31"/>
  <c r="E37" i="31" l="1"/>
  <c r="I36" i="31"/>
  <c r="J37" i="31"/>
  <c r="G38" i="31"/>
  <c r="I16" i="28"/>
  <c r="C19" i="28"/>
  <c r="I7" i="31"/>
  <c r="J7" i="31"/>
  <c r="B17" i="28"/>
  <c r="B35" i="40"/>
  <c r="A8" i="31"/>
  <c r="B9" i="31"/>
  <c r="J38" i="31" l="1"/>
  <c r="G39" i="31"/>
  <c r="J39" i="31" s="1"/>
  <c r="I37" i="31"/>
  <c r="E38" i="31"/>
  <c r="J16" i="28"/>
  <c r="K13" i="35" s="1"/>
  <c r="B18" i="28"/>
  <c r="E18" i="28" s="1"/>
  <c r="F18" i="28" s="1"/>
  <c r="G18" i="28" s="1"/>
  <c r="H18" i="28" s="1"/>
  <c r="E17" i="28"/>
  <c r="F17" i="28" s="1"/>
  <c r="G17" i="28" s="1"/>
  <c r="H17" i="28" s="1"/>
  <c r="C20" i="28"/>
  <c r="J8" i="31"/>
  <c r="I8" i="31"/>
  <c r="B36" i="40"/>
  <c r="B10" i="31"/>
  <c r="A9" i="31"/>
  <c r="B19" i="28" l="1"/>
  <c r="E19" i="28" s="1"/>
  <c r="F19" i="28" s="1"/>
  <c r="G19" i="28" s="1"/>
  <c r="H19" i="28" s="1"/>
  <c r="E39" i="31"/>
  <c r="I39" i="31" s="1"/>
  <c r="I38" i="31"/>
  <c r="I18" i="28"/>
  <c r="I17" i="28"/>
  <c r="J17" i="28" s="1"/>
  <c r="K14" i="35" s="1"/>
  <c r="C21" i="28"/>
  <c r="J9" i="31"/>
  <c r="I9" i="31"/>
  <c r="B20" i="28"/>
  <c r="E20" i="28" s="1"/>
  <c r="B37" i="40"/>
  <c r="A10" i="31"/>
  <c r="B11" i="31"/>
  <c r="J18" i="28" l="1"/>
  <c r="K15" i="35" s="1"/>
  <c r="I19" i="28"/>
  <c r="F20" i="28"/>
  <c r="C22" i="28"/>
  <c r="B21" i="28"/>
  <c r="E21" i="28" s="1"/>
  <c r="B38" i="40"/>
  <c r="B12" i="31"/>
  <c r="A11" i="31"/>
  <c r="J19" i="28" l="1"/>
  <c r="K16" i="35" s="1"/>
  <c r="F21" i="28"/>
  <c r="G20" i="28"/>
  <c r="H20" i="28" s="1"/>
  <c r="C23" i="28"/>
  <c r="B22" i="28"/>
  <c r="E22" i="28" s="1"/>
  <c r="B39" i="40"/>
  <c r="B13" i="31"/>
  <c r="A12" i="31"/>
  <c r="I20" i="28" l="1"/>
  <c r="C24" i="28"/>
  <c r="F22" i="28"/>
  <c r="G21" i="28"/>
  <c r="H21" i="28" s="1"/>
  <c r="B23" i="28"/>
  <c r="E23" i="28" s="1"/>
  <c r="B40" i="40"/>
  <c r="B14" i="31"/>
  <c r="A13" i="31"/>
  <c r="I21" i="28" l="1"/>
  <c r="J20" i="28"/>
  <c r="K17" i="35" s="1"/>
  <c r="C25" i="28"/>
  <c r="F23" i="28"/>
  <c r="G22" i="28"/>
  <c r="H22" i="28" s="1"/>
  <c r="B24" i="28"/>
  <c r="E24" i="28" s="1"/>
  <c r="B41" i="40"/>
  <c r="A14" i="31"/>
  <c r="B15" i="31"/>
  <c r="I22" i="28" l="1"/>
  <c r="J21" i="28"/>
  <c r="K18" i="35" s="1"/>
  <c r="F24" i="28"/>
  <c r="G23" i="28"/>
  <c r="H23" i="28" s="1"/>
  <c r="C26" i="28"/>
  <c r="B25" i="28"/>
  <c r="E25" i="28" s="1"/>
  <c r="B42" i="40"/>
  <c r="A15" i="31"/>
  <c r="B16" i="31"/>
  <c r="I14" i="25"/>
  <c r="J22" i="28" l="1"/>
  <c r="K19" i="35" s="1"/>
  <c r="I23" i="28"/>
  <c r="F25" i="28"/>
  <c r="G24" i="28"/>
  <c r="H24" i="28" s="1"/>
  <c r="C27" i="28"/>
  <c r="B26" i="28"/>
  <c r="E26" i="28" s="1"/>
  <c r="B43" i="40"/>
  <c r="A16" i="31"/>
  <c r="B17" i="31"/>
  <c r="J23" i="28" l="1"/>
  <c r="K20" i="35" s="1"/>
  <c r="I24" i="28"/>
  <c r="C28" i="28"/>
  <c r="F26" i="28"/>
  <c r="G25" i="28"/>
  <c r="H25" i="28" s="1"/>
  <c r="B27" i="28"/>
  <c r="E27" i="28" s="1"/>
  <c r="B44" i="40"/>
  <c r="B18" i="31"/>
  <c r="A17" i="31"/>
  <c r="I2" i="33"/>
  <c r="I1" i="33"/>
  <c r="G2" i="33"/>
  <c r="G1" i="33"/>
  <c r="H5" i="33"/>
  <c r="H2" i="33"/>
  <c r="H1" i="33"/>
  <c r="B12" i="33"/>
  <c r="J24" i="28" l="1"/>
  <c r="K21" i="35" s="1"/>
  <c r="I25" i="28"/>
  <c r="F27" i="28"/>
  <c r="G26" i="28"/>
  <c r="H26" i="28" s="1"/>
  <c r="C29" i="28"/>
  <c r="B13" i="33"/>
  <c r="B28" i="28"/>
  <c r="E28" i="28" s="1"/>
  <c r="B45" i="40"/>
  <c r="A18" i="31"/>
  <c r="B19" i="31"/>
  <c r="I26" i="28" l="1"/>
  <c r="J25" i="28"/>
  <c r="K22" i="35" s="1"/>
  <c r="C30" i="28"/>
  <c r="F28" i="28"/>
  <c r="G27" i="28"/>
  <c r="H27" i="28" s="1"/>
  <c r="B14" i="33"/>
  <c r="B29" i="28"/>
  <c r="E29" i="28" s="1"/>
  <c r="B46" i="40"/>
  <c r="A19" i="31"/>
  <c r="B20" i="31"/>
  <c r="J26" i="28" l="1"/>
  <c r="K23" i="35" s="1"/>
  <c r="I27" i="28"/>
  <c r="F29" i="28"/>
  <c r="G28" i="28"/>
  <c r="H28" i="28" s="1"/>
  <c r="C31" i="28"/>
  <c r="B15" i="33"/>
  <c r="B30" i="28"/>
  <c r="E30" i="28" s="1"/>
  <c r="B47" i="40"/>
  <c r="A20" i="31"/>
  <c r="B21" i="31"/>
  <c r="F48" i="24"/>
  <c r="G48" i="24"/>
  <c r="D12" i="33" s="1"/>
  <c r="F12" i="33" s="1"/>
  <c r="F49" i="24"/>
  <c r="G49" i="24"/>
  <c r="D13" i="33" s="1"/>
  <c r="F13" i="33" s="1"/>
  <c r="J13" i="33" s="1"/>
  <c r="N13" i="33" s="1"/>
  <c r="F50" i="24"/>
  <c r="C14" i="33" s="1"/>
  <c r="G50" i="24"/>
  <c r="D14" i="33" s="1"/>
  <c r="F14" i="33" s="1"/>
  <c r="F51" i="24"/>
  <c r="G51" i="24"/>
  <c r="F52" i="24"/>
  <c r="G52" i="24"/>
  <c r="G47" i="24"/>
  <c r="D11" i="33" s="1"/>
  <c r="F11" i="33" s="1"/>
  <c r="F47" i="24"/>
  <c r="C11" i="33" s="1"/>
  <c r="E11" i="33" s="1"/>
  <c r="C15" i="33" l="1"/>
  <c r="C13" i="33"/>
  <c r="E13" i="33" s="1"/>
  <c r="G11" i="33"/>
  <c r="K11" i="33" s="1"/>
  <c r="I11" i="33"/>
  <c r="M11" i="33" s="1"/>
  <c r="C12" i="33"/>
  <c r="E12" i="33" s="1"/>
  <c r="J27" i="28"/>
  <c r="K24" i="35" s="1"/>
  <c r="I28" i="28"/>
  <c r="F30" i="28"/>
  <c r="G29" i="28"/>
  <c r="H29" i="28" s="1"/>
  <c r="C32" i="28"/>
  <c r="H50" i="24"/>
  <c r="H48" i="24"/>
  <c r="H51" i="24"/>
  <c r="H49" i="24"/>
  <c r="E14" i="33"/>
  <c r="I14" i="33" s="1"/>
  <c r="M14" i="33" s="1"/>
  <c r="H13" i="33"/>
  <c r="L13" i="33" s="1"/>
  <c r="J12" i="33"/>
  <c r="N12" i="33" s="1"/>
  <c r="H12" i="33"/>
  <c r="L12" i="33" s="1"/>
  <c r="J11" i="33"/>
  <c r="N11" i="33" s="1"/>
  <c r="H11" i="33"/>
  <c r="L11" i="33" s="1"/>
  <c r="H47" i="24"/>
  <c r="H52" i="24"/>
  <c r="B16" i="33"/>
  <c r="C16" i="33" s="1"/>
  <c r="D15" i="33"/>
  <c r="F15" i="33" s="1"/>
  <c r="E15" i="33"/>
  <c r="J14" i="33"/>
  <c r="N14" i="33" s="1"/>
  <c r="H14" i="33"/>
  <c r="L14" i="33" s="1"/>
  <c r="B31" i="28"/>
  <c r="E31" i="28" s="1"/>
  <c r="B48" i="40"/>
  <c r="B22" i="31"/>
  <c r="A21" i="31"/>
  <c r="E24" i="32"/>
  <c r="E25" i="32" s="1"/>
  <c r="E26" i="32" s="1"/>
  <c r="E27" i="32" s="1"/>
  <c r="E28" i="32" s="1"/>
  <c r="E29" i="32" s="1"/>
  <c r="E30" i="32" s="1"/>
  <c r="E31" i="32" s="1"/>
  <c r="E32" i="32" s="1"/>
  <c r="E33" i="32" s="1"/>
  <c r="E34" i="32" s="1"/>
  <c r="E35" i="32" s="1"/>
  <c r="E36" i="32" s="1"/>
  <c r="E37" i="32" s="1"/>
  <c r="E38" i="32" s="1"/>
  <c r="E39" i="32" s="1"/>
  <c r="E40" i="32" s="1"/>
  <c r="E41" i="32" s="1"/>
  <c r="E42" i="32" s="1"/>
  <c r="E43" i="32" s="1"/>
  <c r="E44" i="32" s="1"/>
  <c r="E45" i="32" s="1"/>
  <c r="E46" i="32" s="1"/>
  <c r="E47" i="32" s="1"/>
  <c r="E48" i="32" s="1"/>
  <c r="E49" i="32" s="1"/>
  <c r="E50" i="32" s="1"/>
  <c r="E51" i="32" s="1"/>
  <c r="E52" i="32" s="1"/>
  <c r="E53" i="32" s="1"/>
  <c r="E54" i="32" s="1"/>
  <c r="E55" i="32" s="1"/>
  <c r="E56" i="32" s="1"/>
  <c r="E57" i="32" s="1"/>
  <c r="E58" i="32" s="1"/>
  <c r="AC22" i="32"/>
  <c r="M22" i="32"/>
  <c r="T22" i="32" s="1"/>
  <c r="AA22" i="32" s="1"/>
  <c r="AI22" i="32" s="1"/>
  <c r="L22" i="32"/>
  <c r="S22" i="32" s="1"/>
  <c r="Z22" i="32" s="1"/>
  <c r="AH22" i="32" s="1"/>
  <c r="K22" i="32"/>
  <c r="R22" i="32" s="1"/>
  <c r="Y22" i="32" s="1"/>
  <c r="AG22" i="32" s="1"/>
  <c r="J22" i="32"/>
  <c r="Q22" i="32" s="1"/>
  <c r="X22" i="32" s="1"/>
  <c r="AF22" i="32" s="1"/>
  <c r="I22" i="32"/>
  <c r="P22" i="32" s="1"/>
  <c r="W22" i="32" s="1"/>
  <c r="AE22" i="32" s="1"/>
  <c r="H22" i="32"/>
  <c r="O22" i="32" s="1"/>
  <c r="V22" i="32" s="1"/>
  <c r="AD22" i="32" s="1"/>
  <c r="G22" i="32"/>
  <c r="N22" i="32" s="1"/>
  <c r="U22" i="32" s="1"/>
  <c r="M12" i="32"/>
  <c r="L12" i="32"/>
  <c r="K12" i="32"/>
  <c r="J12" i="32"/>
  <c r="I12" i="32"/>
  <c r="H12" i="32"/>
  <c r="G12" i="32"/>
  <c r="N10" i="32"/>
  <c r="M10" i="32"/>
  <c r="L10" i="32"/>
  <c r="K10" i="32"/>
  <c r="J10" i="32"/>
  <c r="A4" i="32"/>
  <c r="A5" i="32" s="1"/>
  <c r="A6" i="32" s="1"/>
  <c r="A7" i="32" s="1"/>
  <c r="A8" i="32" s="1"/>
  <c r="A9" i="32" s="1"/>
  <c r="I12" i="33" l="1"/>
  <c r="G12" i="33"/>
  <c r="K12" i="33" s="1"/>
  <c r="G13" i="33"/>
  <c r="K13" i="33" s="1"/>
  <c r="I13" i="33"/>
  <c r="M13" i="33" s="1"/>
  <c r="P13" i="33" s="1"/>
  <c r="J28" i="28"/>
  <c r="K25" i="35" s="1"/>
  <c r="I29" i="28"/>
  <c r="C33" i="28"/>
  <c r="F31" i="28"/>
  <c r="G30" i="28"/>
  <c r="H30" i="28" s="1"/>
  <c r="J13" i="32"/>
  <c r="O13" i="33"/>
  <c r="M12" i="33"/>
  <c r="P12" i="33" s="1"/>
  <c r="O11" i="33"/>
  <c r="O12" i="33"/>
  <c r="P11" i="33"/>
  <c r="P14" i="33"/>
  <c r="G14" i="33"/>
  <c r="K14" i="33" s="1"/>
  <c r="B17" i="33"/>
  <c r="D16" i="33"/>
  <c r="F16" i="33" s="1"/>
  <c r="E16" i="33"/>
  <c r="J15" i="33"/>
  <c r="N15" i="33" s="1"/>
  <c r="H15" i="33"/>
  <c r="L15" i="33" s="1"/>
  <c r="I15" i="33"/>
  <c r="M15" i="33" s="1"/>
  <c r="G15" i="33"/>
  <c r="K15" i="33" s="1"/>
  <c r="B32" i="28"/>
  <c r="E32" i="28" s="1"/>
  <c r="B49" i="40"/>
  <c r="B23" i="31"/>
  <c r="A22" i="31"/>
  <c r="L13" i="32"/>
  <c r="D24" i="32"/>
  <c r="M13" i="32"/>
  <c r="G13" i="32"/>
  <c r="H13" i="32"/>
  <c r="I13" i="32"/>
  <c r="K13" i="32"/>
  <c r="J29" i="28" l="1"/>
  <c r="K26" i="35" s="1"/>
  <c r="I30" i="28"/>
  <c r="C34" i="28"/>
  <c r="F32" i="28"/>
  <c r="G31" i="28"/>
  <c r="H31" i="28" s="1"/>
  <c r="O14" i="33"/>
  <c r="O15" i="33"/>
  <c r="P15" i="33"/>
  <c r="G16" i="33"/>
  <c r="K16" i="33" s="1"/>
  <c r="I16" i="33"/>
  <c r="M16" i="33" s="1"/>
  <c r="H16" i="33"/>
  <c r="L16" i="33" s="1"/>
  <c r="J16" i="33"/>
  <c r="N16" i="33" s="1"/>
  <c r="B18" i="33"/>
  <c r="D25" i="32"/>
  <c r="B33" i="28"/>
  <c r="E33" i="28" s="1"/>
  <c r="B50" i="40"/>
  <c r="B24" i="31"/>
  <c r="A23" i="31"/>
  <c r="J30" i="28" l="1"/>
  <c r="K27" i="35" s="1"/>
  <c r="I31" i="28"/>
  <c r="F33" i="28"/>
  <c r="G32" i="28"/>
  <c r="H32" i="28" s="1"/>
  <c r="C35" i="28"/>
  <c r="P16" i="33"/>
  <c r="O16" i="33"/>
  <c r="B19" i="33"/>
  <c r="D26" i="32"/>
  <c r="B34" i="28"/>
  <c r="E34" i="28" s="1"/>
  <c r="B51" i="40"/>
  <c r="B25" i="31"/>
  <c r="A24" i="31"/>
  <c r="G73" i="24"/>
  <c r="F73" i="24"/>
  <c r="G53" i="24"/>
  <c r="D17" i="33" s="1"/>
  <c r="F53" i="24"/>
  <c r="C17" i="33" l="1"/>
  <c r="F17" i="33"/>
  <c r="H17" i="33" s="1"/>
  <c r="I32" i="28"/>
  <c r="J31" i="28"/>
  <c r="K28" i="35" s="1"/>
  <c r="F34" i="28"/>
  <c r="G33" i="28"/>
  <c r="H33" i="28" s="1"/>
  <c r="C36" i="28"/>
  <c r="G78" i="24"/>
  <c r="F76" i="24"/>
  <c r="F81" i="24" s="1"/>
  <c r="B20" i="33"/>
  <c r="D27" i="32"/>
  <c r="B35" i="28"/>
  <c r="E35" i="28" s="1"/>
  <c r="B52" i="40"/>
  <c r="B26" i="31"/>
  <c r="A25" i="31"/>
  <c r="H53" i="24"/>
  <c r="F77" i="24"/>
  <c r="F82" i="24" s="1"/>
  <c r="G74" i="24"/>
  <c r="F78" i="24"/>
  <c r="H73" i="24"/>
  <c r="G76" i="24"/>
  <c r="G75" i="24"/>
  <c r="F74" i="24"/>
  <c r="G77" i="24"/>
  <c r="G82" i="24" s="1"/>
  <c r="F75" i="24"/>
  <c r="L17" i="33" l="1"/>
  <c r="E17" i="33"/>
  <c r="J17" i="33"/>
  <c r="N17" i="33" s="1"/>
  <c r="J32" i="28"/>
  <c r="K29" i="35" s="1"/>
  <c r="I33" i="28"/>
  <c r="F35" i="28"/>
  <c r="G34" i="28"/>
  <c r="H34" i="28" s="1"/>
  <c r="C37" i="28"/>
  <c r="B21" i="33"/>
  <c r="F79" i="24"/>
  <c r="G80" i="24"/>
  <c r="G79" i="24"/>
  <c r="F80" i="24"/>
  <c r="G81" i="24"/>
  <c r="D28" i="32"/>
  <c r="B36" i="28"/>
  <c r="E36" i="28" s="1"/>
  <c r="B53" i="40"/>
  <c r="B27" i="31"/>
  <c r="A26" i="31"/>
  <c r="H77" i="24"/>
  <c r="H82" i="24" s="1"/>
  <c r="H78" i="24"/>
  <c r="H74" i="24"/>
  <c r="H79" i="24" s="1"/>
  <c r="H75" i="24"/>
  <c r="H80" i="24" s="1"/>
  <c r="H76" i="24"/>
  <c r="H81" i="24" s="1"/>
  <c r="I17" i="33" l="1"/>
  <c r="G17" i="33"/>
  <c r="I34" i="28"/>
  <c r="J33" i="28"/>
  <c r="K30" i="35" s="1"/>
  <c r="C38" i="28"/>
  <c r="F36" i="28"/>
  <c r="G35" i="28"/>
  <c r="H35" i="28" s="1"/>
  <c r="B22" i="33"/>
  <c r="D29" i="32"/>
  <c r="Q28" i="32" s="1"/>
  <c r="B37" i="28"/>
  <c r="E37" i="28" s="1"/>
  <c r="B54" i="40"/>
  <c r="B28" i="31"/>
  <c r="A27" i="31"/>
  <c r="K17" i="33" l="1"/>
  <c r="M17" i="33"/>
  <c r="B55" i="40"/>
  <c r="B56" i="40" s="1"/>
  <c r="J34" i="28"/>
  <c r="K31" i="35" s="1"/>
  <c r="I35" i="28"/>
  <c r="I38" i="28"/>
  <c r="F37" i="28"/>
  <c r="G36" i="28"/>
  <c r="H36" i="28" s="1"/>
  <c r="C39" i="28"/>
  <c r="P31" i="41"/>
  <c r="AF28" i="32"/>
  <c r="R28" i="32"/>
  <c r="G28" i="32"/>
  <c r="L28" i="32"/>
  <c r="I28" i="32"/>
  <c r="P29" i="32"/>
  <c r="AE29" i="32" s="1"/>
  <c r="K29" i="32"/>
  <c r="Q29" i="32"/>
  <c r="AF29" i="32" s="1"/>
  <c r="L29" i="32"/>
  <c r="R29" i="32"/>
  <c r="AG29" i="32" s="1"/>
  <c r="M29" i="32"/>
  <c r="S29" i="32"/>
  <c r="AH29" i="32" s="1"/>
  <c r="N29" i="32"/>
  <c r="AC29" i="32" s="1"/>
  <c r="I29" i="32"/>
  <c r="O29" i="32"/>
  <c r="AD29" i="32" s="1"/>
  <c r="T29" i="32"/>
  <c r="AI29" i="32" s="1"/>
  <c r="H29" i="32"/>
  <c r="J29" i="32"/>
  <c r="G29" i="32"/>
  <c r="T23" i="32"/>
  <c r="L23" i="32"/>
  <c r="I23" i="32"/>
  <c r="G23" i="32"/>
  <c r="F26" i="41" s="1"/>
  <c r="Q23" i="32"/>
  <c r="H23" i="32"/>
  <c r="P23" i="32"/>
  <c r="N23" i="32"/>
  <c r="R23" i="32"/>
  <c r="O23" i="32"/>
  <c r="M23" i="32"/>
  <c r="J23" i="32"/>
  <c r="S23" i="32"/>
  <c r="K23" i="32"/>
  <c r="I24" i="32"/>
  <c r="K24" i="32"/>
  <c r="Q24" i="32"/>
  <c r="L24" i="32"/>
  <c r="S24" i="32"/>
  <c r="R24" i="32"/>
  <c r="T24" i="32"/>
  <c r="P24" i="32"/>
  <c r="G24" i="32"/>
  <c r="J24" i="32"/>
  <c r="H24" i="32"/>
  <c r="M24" i="32"/>
  <c r="N24" i="32"/>
  <c r="O24" i="32"/>
  <c r="T25" i="32"/>
  <c r="K25" i="32"/>
  <c r="G25" i="32"/>
  <c r="Q25" i="32"/>
  <c r="H25" i="32"/>
  <c r="S25" i="32"/>
  <c r="N25" i="32"/>
  <c r="R25" i="32"/>
  <c r="I25" i="32"/>
  <c r="L25" i="32"/>
  <c r="O25" i="32"/>
  <c r="M25" i="32"/>
  <c r="J25" i="32"/>
  <c r="P25" i="32"/>
  <c r="J26" i="32"/>
  <c r="Q26" i="32"/>
  <c r="P26" i="32"/>
  <c r="R26" i="32"/>
  <c r="K26" i="32"/>
  <c r="S26" i="32"/>
  <c r="H26" i="32"/>
  <c r="T26" i="32"/>
  <c r="N26" i="32"/>
  <c r="G26" i="32"/>
  <c r="I26" i="32"/>
  <c r="L26" i="32"/>
  <c r="O26" i="32"/>
  <c r="M26" i="32"/>
  <c r="L27" i="32"/>
  <c r="N27" i="32"/>
  <c r="G27" i="32"/>
  <c r="I27" i="32"/>
  <c r="R27" i="32"/>
  <c r="O27" i="32"/>
  <c r="M27" i="32"/>
  <c r="J27" i="32"/>
  <c r="S27" i="32"/>
  <c r="P27" i="32"/>
  <c r="H27" i="32"/>
  <c r="K27" i="32"/>
  <c r="T27" i="32"/>
  <c r="Q27" i="32"/>
  <c r="S28" i="32"/>
  <c r="K28" i="32"/>
  <c r="H28" i="32"/>
  <c r="P28" i="32"/>
  <c r="N28" i="32"/>
  <c r="J28" i="32"/>
  <c r="T28" i="32"/>
  <c r="O28" i="32"/>
  <c r="M28" i="32"/>
  <c r="B23" i="33"/>
  <c r="D30" i="32"/>
  <c r="B38" i="28"/>
  <c r="E38" i="28" s="1"/>
  <c r="B29" i="31"/>
  <c r="A28" i="31"/>
  <c r="P17" i="33" l="1"/>
  <c r="O17" i="33"/>
  <c r="I36" i="28"/>
  <c r="J35" i="28"/>
  <c r="K32" i="35" s="1"/>
  <c r="I39" i="28"/>
  <c r="J38" i="28"/>
  <c r="K35" i="35" s="1"/>
  <c r="B57" i="40"/>
  <c r="F38" i="28"/>
  <c r="G37" i="28"/>
  <c r="H37" i="28" s="1"/>
  <c r="C40" i="28"/>
  <c r="G31" i="41"/>
  <c r="U31" i="41" s="1"/>
  <c r="V28" i="32"/>
  <c r="R30" i="41"/>
  <c r="AH27" i="32"/>
  <c r="K30" i="41"/>
  <c r="Y30" i="41" s="1"/>
  <c r="Z27" i="32"/>
  <c r="H29" i="41"/>
  <c r="V29" i="41" s="1"/>
  <c r="W26" i="32"/>
  <c r="O29" i="41"/>
  <c r="AD29" i="41" s="1"/>
  <c r="AE26" i="32"/>
  <c r="G27" i="41"/>
  <c r="U27" i="41" s="1"/>
  <c r="V24" i="32"/>
  <c r="S27" i="41"/>
  <c r="AH27" i="41" s="1"/>
  <c r="AI24" i="32"/>
  <c r="P27" i="41"/>
  <c r="AE27" i="41" s="1"/>
  <c r="AF24" i="32"/>
  <c r="L26" i="41"/>
  <c r="Z26" i="41" s="1"/>
  <c r="AA23" i="32"/>
  <c r="H26" i="41"/>
  <c r="V26" i="41" s="1"/>
  <c r="W23" i="32"/>
  <c r="H32" i="41"/>
  <c r="V32" i="41" s="1"/>
  <c r="W29" i="32"/>
  <c r="O32" i="41"/>
  <c r="AD32" i="41" s="1"/>
  <c r="J31" i="41"/>
  <c r="X31" i="41" s="1"/>
  <c r="Y28" i="32"/>
  <c r="I30" i="41"/>
  <c r="W30" i="41" s="1"/>
  <c r="X27" i="32"/>
  <c r="R29" i="41"/>
  <c r="AG29" i="41" s="1"/>
  <c r="AH26" i="32"/>
  <c r="N26" i="41"/>
  <c r="AC26" i="41" s="1"/>
  <c r="AD23" i="32"/>
  <c r="K26" i="41"/>
  <c r="Y26" i="41" s="1"/>
  <c r="Z23" i="32"/>
  <c r="M32" i="41"/>
  <c r="AB32" i="41" s="1"/>
  <c r="L31" i="41"/>
  <c r="Z31" i="41" s="1"/>
  <c r="AA28" i="32"/>
  <c r="L30" i="41"/>
  <c r="Z30" i="41" s="1"/>
  <c r="AA27" i="32"/>
  <c r="L28" i="41"/>
  <c r="Z28" i="41" s="1"/>
  <c r="AA25" i="32"/>
  <c r="Q28" i="41"/>
  <c r="AF28" i="41" s="1"/>
  <c r="AG25" i="32"/>
  <c r="P28" i="41"/>
  <c r="AE28" i="41" s="1"/>
  <c r="AF25" i="32"/>
  <c r="Q27" i="41"/>
  <c r="AF27" i="41" s="1"/>
  <c r="AG24" i="32"/>
  <c r="Q26" i="41"/>
  <c r="AF26" i="41" s="1"/>
  <c r="AG23" i="32"/>
  <c r="S26" i="41"/>
  <c r="AH26" i="41" s="1"/>
  <c r="AI23" i="32"/>
  <c r="R32" i="41"/>
  <c r="AG32" i="41" s="1"/>
  <c r="H31" i="41"/>
  <c r="V31" i="41" s="1"/>
  <c r="W28" i="32"/>
  <c r="R31" i="41"/>
  <c r="AH28" i="32"/>
  <c r="Q30" i="32"/>
  <c r="L30" i="32"/>
  <c r="R30" i="32"/>
  <c r="M30" i="32"/>
  <c r="S30" i="32"/>
  <c r="T30" i="32"/>
  <c r="G30" i="32"/>
  <c r="H30" i="32"/>
  <c r="N30" i="32"/>
  <c r="I30" i="32"/>
  <c r="O30" i="32"/>
  <c r="P30" i="32"/>
  <c r="J30" i="32"/>
  <c r="K30" i="32"/>
  <c r="N31" i="41"/>
  <c r="AD28" i="32"/>
  <c r="P30" i="41"/>
  <c r="AF27" i="32"/>
  <c r="N30" i="41"/>
  <c r="AD27" i="32"/>
  <c r="L29" i="41"/>
  <c r="Z29" i="41" s="1"/>
  <c r="AA26" i="32"/>
  <c r="F29" i="41"/>
  <c r="T29" i="41" s="1"/>
  <c r="U26" i="32"/>
  <c r="P29" i="41"/>
  <c r="AE29" i="41" s="1"/>
  <c r="AF26" i="32"/>
  <c r="N28" i="41"/>
  <c r="AC28" i="41" s="1"/>
  <c r="AD25" i="32"/>
  <c r="M28" i="41"/>
  <c r="AB28" i="41" s="1"/>
  <c r="AC25" i="32"/>
  <c r="F28" i="41"/>
  <c r="T28" i="41" s="1"/>
  <c r="U25" i="32"/>
  <c r="N27" i="41"/>
  <c r="AC27" i="41" s="1"/>
  <c r="AD24" i="32"/>
  <c r="I27" i="41"/>
  <c r="W27" i="41" s="1"/>
  <c r="X24" i="32"/>
  <c r="R27" i="41"/>
  <c r="AG27" i="41" s="1"/>
  <c r="AH24" i="32"/>
  <c r="J27" i="41"/>
  <c r="X27" i="41" s="1"/>
  <c r="Y24" i="32"/>
  <c r="M26" i="41"/>
  <c r="AB26" i="41" s="1"/>
  <c r="AC23" i="32"/>
  <c r="F32" i="41"/>
  <c r="T32" i="41" s="1"/>
  <c r="U29" i="32"/>
  <c r="L32" i="41"/>
  <c r="Z32" i="41" s="1"/>
  <c r="AA29" i="32"/>
  <c r="K31" i="41"/>
  <c r="Y31" i="41" s="1"/>
  <c r="Z28" i="32"/>
  <c r="S31" i="41"/>
  <c r="AI28" i="32"/>
  <c r="S30" i="41"/>
  <c r="AI27" i="32"/>
  <c r="Q30" i="41"/>
  <c r="AF30" i="41" s="1"/>
  <c r="AG27" i="32"/>
  <c r="N29" i="41"/>
  <c r="AC29" i="41" s="1"/>
  <c r="AD26" i="32"/>
  <c r="M29" i="41"/>
  <c r="AB29" i="41" s="1"/>
  <c r="AC26" i="32"/>
  <c r="J29" i="41"/>
  <c r="X29" i="41" s="1"/>
  <c r="Y26" i="32"/>
  <c r="I29" i="41"/>
  <c r="W29" i="41" s="1"/>
  <c r="X26" i="32"/>
  <c r="M27" i="41"/>
  <c r="AB27" i="41" s="1"/>
  <c r="AC24" i="32"/>
  <c r="F27" i="41"/>
  <c r="T27" i="41" s="1"/>
  <c r="U24" i="32"/>
  <c r="H27" i="41"/>
  <c r="V27" i="41" s="1"/>
  <c r="W24" i="32"/>
  <c r="O26" i="41"/>
  <c r="AD26" i="41" s="1"/>
  <c r="AE23" i="32"/>
  <c r="I32" i="41"/>
  <c r="W32" i="41" s="1"/>
  <c r="X29" i="32"/>
  <c r="Q32" i="41"/>
  <c r="AF32" i="41" s="1"/>
  <c r="F31" i="41"/>
  <c r="T31" i="41" s="1"/>
  <c r="U28" i="32"/>
  <c r="I31" i="41"/>
  <c r="W31" i="41" s="1"/>
  <c r="X28" i="32"/>
  <c r="H30" i="41"/>
  <c r="V30" i="41" s="1"/>
  <c r="W27" i="32"/>
  <c r="O28" i="41"/>
  <c r="AD28" i="41" s="1"/>
  <c r="AE25" i="32"/>
  <c r="K27" i="41"/>
  <c r="Y27" i="41" s="1"/>
  <c r="Z24" i="32"/>
  <c r="J26" i="41"/>
  <c r="X26" i="41" s="1"/>
  <c r="Y23" i="32"/>
  <c r="G26" i="41"/>
  <c r="U26" i="41" s="1"/>
  <c r="V23" i="32"/>
  <c r="G32" i="41"/>
  <c r="U32" i="41" s="1"/>
  <c r="V29" i="32"/>
  <c r="K32" i="41"/>
  <c r="Y32" i="41" s="1"/>
  <c r="Z29" i="32"/>
  <c r="Q31" i="41"/>
  <c r="AG28" i="32"/>
  <c r="M31" i="41"/>
  <c r="AC28" i="32"/>
  <c r="G30" i="41"/>
  <c r="U30" i="41" s="1"/>
  <c r="V27" i="32"/>
  <c r="F30" i="41"/>
  <c r="T30" i="41" s="1"/>
  <c r="U27" i="32"/>
  <c r="S29" i="41"/>
  <c r="AH29" i="41" s="1"/>
  <c r="AI26" i="32"/>
  <c r="K28" i="41"/>
  <c r="Y28" i="41" s="1"/>
  <c r="Z25" i="32"/>
  <c r="R28" i="41"/>
  <c r="AG28" i="41" s="1"/>
  <c r="AH25" i="32"/>
  <c r="J28" i="41"/>
  <c r="X28" i="41" s="1"/>
  <c r="Y25" i="32"/>
  <c r="R26" i="41"/>
  <c r="AG26" i="41" s="1"/>
  <c r="AH23" i="32"/>
  <c r="P26" i="41"/>
  <c r="AE26" i="41" s="1"/>
  <c r="AF23" i="32"/>
  <c r="S32" i="41"/>
  <c r="AH32" i="41" s="1"/>
  <c r="P32" i="41"/>
  <c r="AE32" i="41" s="1"/>
  <c r="J30" i="41"/>
  <c r="X30" i="41" s="1"/>
  <c r="Y27" i="32"/>
  <c r="O31" i="41"/>
  <c r="AE28" i="32"/>
  <c r="O30" i="41"/>
  <c r="AE27" i="32"/>
  <c r="M30" i="41"/>
  <c r="AC27" i="32"/>
  <c r="K29" i="41"/>
  <c r="Y29" i="41" s="1"/>
  <c r="Z26" i="32"/>
  <c r="G29" i="41"/>
  <c r="U29" i="41" s="1"/>
  <c r="V26" i="32"/>
  <c r="Q29" i="41"/>
  <c r="AF29" i="41" s="1"/>
  <c r="AG26" i="32"/>
  <c r="I28" i="41"/>
  <c r="W28" i="41" s="1"/>
  <c r="X25" i="32"/>
  <c r="H28" i="41"/>
  <c r="V28" i="41" s="1"/>
  <c r="W25" i="32"/>
  <c r="G28" i="41"/>
  <c r="U28" i="41" s="1"/>
  <c r="V25" i="32"/>
  <c r="S28" i="41"/>
  <c r="AH28" i="41" s="1"/>
  <c r="AI25" i="32"/>
  <c r="L27" i="41"/>
  <c r="Z27" i="41" s="1"/>
  <c r="AA24" i="32"/>
  <c r="O27" i="41"/>
  <c r="AD27" i="41" s="1"/>
  <c r="AE24" i="32"/>
  <c r="I26" i="41"/>
  <c r="W26" i="41" s="1"/>
  <c r="X23" i="32"/>
  <c r="T26" i="41"/>
  <c r="U23" i="32"/>
  <c r="N32" i="41"/>
  <c r="AC32" i="41" s="1"/>
  <c r="J32" i="41"/>
  <c r="X32" i="41" s="1"/>
  <c r="Y29" i="32"/>
  <c r="B24" i="33"/>
  <c r="D31" i="32"/>
  <c r="B39" i="28"/>
  <c r="E39" i="28" s="1"/>
  <c r="B30" i="31"/>
  <c r="A29" i="31"/>
  <c r="AJ23" i="32" l="1"/>
  <c r="J36" i="28"/>
  <c r="K33" i="35" s="1"/>
  <c r="I37" i="28"/>
  <c r="J37" i="28" s="1"/>
  <c r="K34" i="35" s="1"/>
  <c r="J39" i="28"/>
  <c r="K36" i="35" s="1"/>
  <c r="I40" i="28"/>
  <c r="B58" i="40"/>
  <c r="F39" i="28"/>
  <c r="G38" i="28"/>
  <c r="C41" i="28"/>
  <c r="O33" i="41"/>
  <c r="AD33" i="41" s="1"/>
  <c r="AE30" i="32"/>
  <c r="N33" i="41"/>
  <c r="AC33" i="41" s="1"/>
  <c r="AD30" i="32"/>
  <c r="Q33" i="41"/>
  <c r="AF33" i="41" s="1"/>
  <c r="AG30" i="32"/>
  <c r="S33" i="41"/>
  <c r="AH33" i="41" s="1"/>
  <c r="AI30" i="32"/>
  <c r="M33" i="41"/>
  <c r="AB33" i="41" s="1"/>
  <c r="AC30" i="32"/>
  <c r="R33" i="41"/>
  <c r="AG33" i="41" s="1"/>
  <c r="AH30" i="32"/>
  <c r="P33" i="41"/>
  <c r="AE33" i="41" s="1"/>
  <c r="AF30" i="32"/>
  <c r="AA28" i="41"/>
  <c r="AJ24" i="32"/>
  <c r="AJ25" i="32"/>
  <c r="AB26" i="32"/>
  <c r="G33" i="41"/>
  <c r="U33" i="41" s="1"/>
  <c r="V30" i="32"/>
  <c r="AI27" i="41"/>
  <c r="AI28" i="41"/>
  <c r="AA29" i="41"/>
  <c r="F33" i="41"/>
  <c r="T33" i="41" s="1"/>
  <c r="U30" i="32"/>
  <c r="R31" i="32"/>
  <c r="Q34" i="41" s="1"/>
  <c r="AF34" i="41" s="1"/>
  <c r="M31" i="32"/>
  <c r="S31" i="32"/>
  <c r="R34" i="41" s="1"/>
  <c r="AG34" i="41" s="1"/>
  <c r="T31" i="32"/>
  <c r="S34" i="41" s="1"/>
  <c r="AH34" i="41" s="1"/>
  <c r="G31" i="32"/>
  <c r="H31" i="32"/>
  <c r="P31" i="32"/>
  <c r="O34" i="41" s="1"/>
  <c r="AD34" i="41" s="1"/>
  <c r="K31" i="32"/>
  <c r="Q31" i="32"/>
  <c r="P34" i="41" s="1"/>
  <c r="AE34" i="41" s="1"/>
  <c r="N31" i="32"/>
  <c r="M34" i="41" s="1"/>
  <c r="AB34" i="41" s="1"/>
  <c r="O31" i="32"/>
  <c r="N34" i="41" s="1"/>
  <c r="AC34" i="41" s="1"/>
  <c r="I31" i="32"/>
  <c r="J31" i="32"/>
  <c r="L31" i="32"/>
  <c r="AB27" i="32"/>
  <c r="AB28" i="32"/>
  <c r="AB29" i="32"/>
  <c r="J33" i="41"/>
  <c r="X33" i="41" s="1"/>
  <c r="Y30" i="32"/>
  <c r="AA26" i="41"/>
  <c r="AA30" i="41"/>
  <c r="AA31" i="41"/>
  <c r="AA32" i="41"/>
  <c r="AA27" i="41"/>
  <c r="I33" i="41"/>
  <c r="W33" i="41" s="1"/>
  <c r="X30" i="32"/>
  <c r="AJ26" i="32"/>
  <c r="L33" i="41"/>
  <c r="Z33" i="41" s="1"/>
  <c r="AA30" i="32"/>
  <c r="AI29" i="41"/>
  <c r="AI26" i="41"/>
  <c r="AB23" i="32"/>
  <c r="AJ27" i="32"/>
  <c r="AJ28" i="32"/>
  <c r="AB24" i="32"/>
  <c r="AB25" i="32"/>
  <c r="H33" i="41"/>
  <c r="V33" i="41" s="1"/>
  <c r="W30" i="32"/>
  <c r="K33" i="41"/>
  <c r="Y33" i="41" s="1"/>
  <c r="Z30" i="32"/>
  <c r="AJ29" i="32"/>
  <c r="B25" i="33"/>
  <c r="AC30" i="41"/>
  <c r="AH30" i="41"/>
  <c r="AG30" i="41"/>
  <c r="AB30" i="41"/>
  <c r="AD30" i="41"/>
  <c r="AE30" i="41"/>
  <c r="D32" i="32"/>
  <c r="O32" i="32" s="1"/>
  <c r="B40" i="28"/>
  <c r="B41" i="28" s="1"/>
  <c r="A30" i="31"/>
  <c r="B31" i="31"/>
  <c r="AK23" i="32" l="1"/>
  <c r="I41" i="28"/>
  <c r="J40" i="28"/>
  <c r="K37" i="35" s="1"/>
  <c r="B59" i="40"/>
  <c r="B42" i="28"/>
  <c r="G39" i="28"/>
  <c r="C42" i="28"/>
  <c r="E40" i="28"/>
  <c r="E41" i="28" s="1"/>
  <c r="L9" i="35"/>
  <c r="AK24" i="32"/>
  <c r="L10" i="35" s="1"/>
  <c r="AJ29" i="41"/>
  <c r="H33" i="40" s="1"/>
  <c r="E11" i="31"/>
  <c r="AK25" i="32"/>
  <c r="L11" i="35" s="1"/>
  <c r="AJ26" i="41"/>
  <c r="AK26" i="41" s="1"/>
  <c r="AK29" i="32"/>
  <c r="L15" i="35" s="1"/>
  <c r="AK27" i="32"/>
  <c r="AK28" i="32"/>
  <c r="L14" i="35" s="1"/>
  <c r="J34" i="41"/>
  <c r="X34" i="41" s="1"/>
  <c r="Y31" i="32"/>
  <c r="AB30" i="32"/>
  <c r="AK26" i="32"/>
  <c r="L12" i="35" s="1"/>
  <c r="K34" i="41"/>
  <c r="Y34" i="41" s="1"/>
  <c r="Z31" i="32"/>
  <c r="G34" i="41"/>
  <c r="U34" i="41" s="1"/>
  <c r="V31" i="32"/>
  <c r="AA33" i="41"/>
  <c r="I34" i="41"/>
  <c r="W34" i="41" s="1"/>
  <c r="X31" i="32"/>
  <c r="F34" i="41"/>
  <c r="T34" i="41" s="1"/>
  <c r="U31" i="32"/>
  <c r="H34" i="41"/>
  <c r="V34" i="41" s="1"/>
  <c r="W31" i="32"/>
  <c r="S32" i="32"/>
  <c r="R35" i="41" s="1"/>
  <c r="AG35" i="41" s="1"/>
  <c r="T32" i="32"/>
  <c r="S35" i="41" s="1"/>
  <c r="AH35" i="41" s="1"/>
  <c r="G32" i="32"/>
  <c r="H32" i="32"/>
  <c r="N32" i="32"/>
  <c r="M35" i="41" s="1"/>
  <c r="AB35" i="41" s="1"/>
  <c r="I32" i="32"/>
  <c r="N35" i="41"/>
  <c r="AC35" i="41" s="1"/>
  <c r="J32" i="32"/>
  <c r="P32" i="32"/>
  <c r="O35" i="41" s="1"/>
  <c r="AD35" i="41" s="1"/>
  <c r="K32" i="32"/>
  <c r="L32" i="32"/>
  <c r="M32" i="32"/>
  <c r="Q32" i="32"/>
  <c r="P35" i="41" s="1"/>
  <c r="AE35" i="41" s="1"/>
  <c r="R32" i="32"/>
  <c r="Q35" i="41" s="1"/>
  <c r="AF35" i="41" s="1"/>
  <c r="AK29" i="41"/>
  <c r="AJ27" i="41"/>
  <c r="H31" i="40" s="1"/>
  <c r="L34" i="41"/>
  <c r="Z34" i="41" s="1"/>
  <c r="AA31" i="32"/>
  <c r="AJ28" i="41"/>
  <c r="H32" i="40" s="1"/>
  <c r="B26" i="33"/>
  <c r="AC31" i="32"/>
  <c r="AB31" i="41"/>
  <c r="AH31" i="32"/>
  <c r="AG31" i="41"/>
  <c r="AF31" i="32"/>
  <c r="AE31" i="41"/>
  <c r="AE31" i="32"/>
  <c r="AD31" i="41"/>
  <c r="AI30" i="41"/>
  <c r="AJ30" i="41" s="1"/>
  <c r="H34" i="40" s="1"/>
  <c r="AD31" i="32"/>
  <c r="AC31" i="41"/>
  <c r="AG31" i="32"/>
  <c r="AF31" i="41"/>
  <c r="AI31" i="32"/>
  <c r="AH31" i="41"/>
  <c r="D33" i="32"/>
  <c r="F29" i="31"/>
  <c r="A31" i="31"/>
  <c r="H11" i="31"/>
  <c r="F11" i="31"/>
  <c r="G11" i="31"/>
  <c r="G12" i="31"/>
  <c r="F12" i="31"/>
  <c r="H12" i="31"/>
  <c r="E12" i="31"/>
  <c r="G13" i="31"/>
  <c r="H13" i="31"/>
  <c r="F13" i="31"/>
  <c r="E13" i="31"/>
  <c r="F14" i="31"/>
  <c r="E14" i="31"/>
  <c r="H14" i="31"/>
  <c r="G14" i="31"/>
  <c r="H15" i="31"/>
  <c r="F15" i="31"/>
  <c r="E15" i="31"/>
  <c r="G15" i="31"/>
  <c r="H16" i="31"/>
  <c r="G16" i="31"/>
  <c r="F16" i="31"/>
  <c r="E16" i="31"/>
  <c r="E17" i="31"/>
  <c r="F17" i="31"/>
  <c r="G17" i="31"/>
  <c r="H17" i="31"/>
  <c r="E18" i="31"/>
  <c r="G18" i="31"/>
  <c r="F18" i="31"/>
  <c r="H18" i="31"/>
  <c r="H19" i="31"/>
  <c r="F19" i="31"/>
  <c r="E19" i="31"/>
  <c r="G19" i="31"/>
  <c r="F20" i="31"/>
  <c r="E20" i="31"/>
  <c r="G20" i="31"/>
  <c r="H20" i="31"/>
  <c r="F21" i="31"/>
  <c r="G21" i="31"/>
  <c r="H21" i="31"/>
  <c r="E21" i="31"/>
  <c r="H22" i="31"/>
  <c r="E22" i="31"/>
  <c r="G22" i="31"/>
  <c r="F22" i="31"/>
  <c r="F23" i="31"/>
  <c r="E23" i="31"/>
  <c r="H23" i="31"/>
  <c r="G23" i="31"/>
  <c r="H24" i="31"/>
  <c r="E24" i="31"/>
  <c r="F24" i="31"/>
  <c r="G24" i="31"/>
  <c r="F25" i="31"/>
  <c r="E25" i="31"/>
  <c r="H25" i="31"/>
  <c r="G25" i="31"/>
  <c r="F26" i="31"/>
  <c r="H26" i="31"/>
  <c r="E26" i="31"/>
  <c r="G26" i="31"/>
  <c r="F27" i="31"/>
  <c r="H27" i="31"/>
  <c r="E27" i="31"/>
  <c r="G27" i="31"/>
  <c r="H28" i="31"/>
  <c r="E28" i="31"/>
  <c r="G28" i="31"/>
  <c r="F28" i="31"/>
  <c r="G29" i="31"/>
  <c r="E29" i="31"/>
  <c r="B32" i="31"/>
  <c r="H29" i="31"/>
  <c r="E42" i="28" l="1"/>
  <c r="AM25" i="32"/>
  <c r="AL23" i="32"/>
  <c r="AL24" i="32"/>
  <c r="AL29" i="41"/>
  <c r="AL25" i="32"/>
  <c r="AM23" i="32"/>
  <c r="AL27" i="32"/>
  <c r="L13" i="35"/>
  <c r="AM24" i="32"/>
  <c r="I42" i="28"/>
  <c r="J41" i="28"/>
  <c r="K38" i="35" s="1"/>
  <c r="AL26" i="41"/>
  <c r="B60" i="40"/>
  <c r="F40" i="28"/>
  <c r="C43" i="28"/>
  <c r="B43" i="28"/>
  <c r="H30" i="40"/>
  <c r="AM29" i="32"/>
  <c r="AM27" i="32"/>
  <c r="AL29" i="32"/>
  <c r="AJ30" i="32"/>
  <c r="AK30" i="32" s="1"/>
  <c r="L16" i="35" s="1"/>
  <c r="T33" i="32"/>
  <c r="S36" i="41" s="1"/>
  <c r="G33" i="32"/>
  <c r="H33" i="32"/>
  <c r="N33" i="32"/>
  <c r="M36" i="41" s="1"/>
  <c r="AB36" i="41" s="1"/>
  <c r="I33" i="32"/>
  <c r="O33" i="32"/>
  <c r="N36" i="41" s="1"/>
  <c r="J33" i="32"/>
  <c r="R33" i="32"/>
  <c r="Q36" i="41" s="1"/>
  <c r="M33" i="32"/>
  <c r="S33" i="32"/>
  <c r="R36" i="41" s="1"/>
  <c r="Q33" i="32"/>
  <c r="P36" i="41" s="1"/>
  <c r="K33" i="32"/>
  <c r="L33" i="32"/>
  <c r="P33" i="32"/>
  <c r="O36" i="41" s="1"/>
  <c r="H35" i="41"/>
  <c r="V35" i="41" s="1"/>
  <c r="W32" i="32"/>
  <c r="AL28" i="32"/>
  <c r="AM28" i="32"/>
  <c r="K38" i="28"/>
  <c r="L35" i="41"/>
  <c r="Z35" i="41" s="1"/>
  <c r="AA32" i="32"/>
  <c r="G35" i="41"/>
  <c r="U35" i="41" s="1"/>
  <c r="V32" i="32"/>
  <c r="K35" i="41"/>
  <c r="Y35" i="41" s="1"/>
  <c r="Z32" i="32"/>
  <c r="F35" i="41"/>
  <c r="T35" i="41" s="1"/>
  <c r="U32" i="32"/>
  <c r="AK27" i="41"/>
  <c r="AL27" i="41"/>
  <c r="J35" i="41"/>
  <c r="X35" i="41" s="1"/>
  <c r="Y32" i="32"/>
  <c r="AB31" i="32"/>
  <c r="AL26" i="32"/>
  <c r="AM26" i="32"/>
  <c r="AA34" i="41"/>
  <c r="AK28" i="41"/>
  <c r="AL28" i="41"/>
  <c r="I35" i="41"/>
  <c r="W35" i="41" s="1"/>
  <c r="X32" i="32"/>
  <c r="B27" i="33"/>
  <c r="L38" i="28"/>
  <c r="I29" i="31"/>
  <c r="I25" i="31"/>
  <c r="I23" i="31"/>
  <c r="AJ31" i="32"/>
  <c r="AF32" i="32"/>
  <c r="AL30" i="41"/>
  <c r="AK30" i="41"/>
  <c r="AC32" i="32"/>
  <c r="AG32" i="32"/>
  <c r="AH32" i="32"/>
  <c r="AI31" i="41"/>
  <c r="AJ31" i="41" s="1"/>
  <c r="H35" i="40" s="1"/>
  <c r="AE32" i="32"/>
  <c r="AI32" i="32"/>
  <c r="AD32" i="32"/>
  <c r="I27" i="31"/>
  <c r="I19" i="31"/>
  <c r="J17" i="31"/>
  <c r="I15" i="31"/>
  <c r="J24" i="31"/>
  <c r="J28" i="31"/>
  <c r="I26" i="31"/>
  <c r="J22" i="31"/>
  <c r="D34" i="32"/>
  <c r="J20" i="31"/>
  <c r="I28" i="31"/>
  <c r="I22" i="31"/>
  <c r="J18" i="31"/>
  <c r="I20" i="31"/>
  <c r="J16" i="31"/>
  <c r="I14" i="31"/>
  <c r="I21" i="31"/>
  <c r="J19" i="31"/>
  <c r="J15" i="31"/>
  <c r="I24" i="31"/>
  <c r="J21" i="31"/>
  <c r="J29" i="31"/>
  <c r="I18" i="31"/>
  <c r="I17" i="31"/>
  <c r="J13" i="31"/>
  <c r="J12" i="31"/>
  <c r="I11" i="31"/>
  <c r="J27" i="31"/>
  <c r="J26" i="31"/>
  <c r="J25" i="31"/>
  <c r="J23" i="31"/>
  <c r="I16" i="31"/>
  <c r="J14" i="31"/>
  <c r="I13" i="31"/>
  <c r="I12" i="31"/>
  <c r="J11" i="31"/>
  <c r="A32" i="31"/>
  <c r="A33" i="31" l="1"/>
  <c r="L41" i="28"/>
  <c r="K41" i="28"/>
  <c r="J42" i="28"/>
  <c r="K39" i="35" s="1"/>
  <c r="I43" i="28"/>
  <c r="B61" i="40"/>
  <c r="F41" i="28"/>
  <c r="G40" i="28"/>
  <c r="C44" i="28"/>
  <c r="B44" i="28"/>
  <c r="E43" i="28"/>
  <c r="AK31" i="32"/>
  <c r="L17" i="35" s="1"/>
  <c r="I36" i="41"/>
  <c r="W36" i="41" s="1"/>
  <c r="X33" i="32"/>
  <c r="H34" i="32"/>
  <c r="N34" i="32"/>
  <c r="M37" i="41" s="1"/>
  <c r="AB37" i="41" s="1"/>
  <c r="I34" i="32"/>
  <c r="O34" i="32"/>
  <c r="N37" i="41" s="1"/>
  <c r="J34" i="32"/>
  <c r="P34" i="32"/>
  <c r="O37" i="41" s="1"/>
  <c r="K34" i="32"/>
  <c r="Q34" i="32"/>
  <c r="P37" i="41" s="1"/>
  <c r="L34" i="32"/>
  <c r="R34" i="32"/>
  <c r="Q37" i="41" s="1"/>
  <c r="T34" i="32"/>
  <c r="S37" i="41" s="1"/>
  <c r="S34" i="32"/>
  <c r="R37" i="41" s="1"/>
  <c r="M34" i="32"/>
  <c r="G34" i="32"/>
  <c r="K36" i="41"/>
  <c r="Y36" i="41" s="1"/>
  <c r="Z33" i="32"/>
  <c r="H36" i="41"/>
  <c r="V36" i="41" s="1"/>
  <c r="W33" i="32"/>
  <c r="AB32" i="32"/>
  <c r="J36" i="41"/>
  <c r="X36" i="41" s="1"/>
  <c r="Y33" i="32"/>
  <c r="AA35" i="41"/>
  <c r="G36" i="41"/>
  <c r="U36" i="41" s="1"/>
  <c r="V33" i="32"/>
  <c r="F36" i="41"/>
  <c r="T36" i="41" s="1"/>
  <c r="U33" i="32"/>
  <c r="L36" i="41"/>
  <c r="Z36" i="41" s="1"/>
  <c r="AA33" i="32"/>
  <c r="AM30" i="32"/>
  <c r="B28" i="33"/>
  <c r="AL30" i="32"/>
  <c r="AJ32" i="32"/>
  <c r="AI33" i="32"/>
  <c r="AK31" i="41"/>
  <c r="AL31" i="41"/>
  <c r="AE33" i="32"/>
  <c r="AI32" i="41"/>
  <c r="AJ32" i="41" s="1"/>
  <c r="AF33" i="32"/>
  <c r="AG33" i="32"/>
  <c r="AC33" i="32"/>
  <c r="AD33" i="32"/>
  <c r="AH33" i="32"/>
  <c r="L39" i="28"/>
  <c r="K39" i="28"/>
  <c r="D35" i="32"/>
  <c r="AM31" i="32" l="1"/>
  <c r="A34" i="31"/>
  <c r="AL31" i="32"/>
  <c r="J43" i="28"/>
  <c r="K40" i="35" s="1"/>
  <c r="H36" i="40"/>
  <c r="I44" i="28"/>
  <c r="B62" i="40"/>
  <c r="B45" i="28"/>
  <c r="B46" i="28" s="1"/>
  <c r="E44" i="28"/>
  <c r="C45" i="28"/>
  <c r="F42" i="28"/>
  <c r="G41" i="28"/>
  <c r="L42" i="28"/>
  <c r="K42" i="28"/>
  <c r="AK32" i="32"/>
  <c r="L18" i="35" s="1"/>
  <c r="K37" i="41"/>
  <c r="Y37" i="41" s="1"/>
  <c r="Z34" i="32"/>
  <c r="G37" i="41"/>
  <c r="U37" i="41" s="1"/>
  <c r="V34" i="32"/>
  <c r="N35" i="32"/>
  <c r="M38" i="41" s="1"/>
  <c r="AB38" i="41" s="1"/>
  <c r="I35" i="32"/>
  <c r="O35" i="32"/>
  <c r="N38" i="41" s="1"/>
  <c r="J35" i="32"/>
  <c r="P35" i="32"/>
  <c r="O38" i="41" s="1"/>
  <c r="K35" i="32"/>
  <c r="Q35" i="32"/>
  <c r="P38" i="41" s="1"/>
  <c r="L35" i="32"/>
  <c r="T35" i="32"/>
  <c r="S38" i="41" s="1"/>
  <c r="H35" i="32"/>
  <c r="M35" i="32"/>
  <c r="R35" i="32"/>
  <c r="Q38" i="41" s="1"/>
  <c r="G35" i="32"/>
  <c r="S35" i="32"/>
  <c r="R38" i="41" s="1"/>
  <c r="J37" i="41"/>
  <c r="X37" i="41" s="1"/>
  <c r="Y34" i="32"/>
  <c r="F37" i="41"/>
  <c r="T37" i="41" s="1"/>
  <c r="U34" i="32"/>
  <c r="AB33" i="32"/>
  <c r="L37" i="41"/>
  <c r="Z37" i="41" s="1"/>
  <c r="AA34" i="32"/>
  <c r="I37" i="41"/>
  <c r="W37" i="41" s="1"/>
  <c r="X34" i="32"/>
  <c r="AA36" i="41"/>
  <c r="H37" i="41"/>
  <c r="V37" i="41" s="1"/>
  <c r="W34" i="32"/>
  <c r="B29" i="33"/>
  <c r="AJ33" i="32"/>
  <c r="AL32" i="41"/>
  <c r="AK32" i="41"/>
  <c r="AH34" i="32"/>
  <c r="AE34" i="32"/>
  <c r="AC34" i="32"/>
  <c r="AI34" i="32"/>
  <c r="AF34" i="32"/>
  <c r="AG34" i="32"/>
  <c r="AD34" i="32"/>
  <c r="L40" i="28"/>
  <c r="K40" i="28"/>
  <c r="D36" i="32"/>
  <c r="AM32" i="32" l="1"/>
  <c r="B47" i="28"/>
  <c r="K46" i="28"/>
  <c r="L46" i="28"/>
  <c r="A35" i="31"/>
  <c r="L43" i="28"/>
  <c r="AL32" i="32"/>
  <c r="I45" i="28"/>
  <c r="J44" i="28"/>
  <c r="B63" i="40"/>
  <c r="K43" i="28"/>
  <c r="F43" i="28"/>
  <c r="G42" i="28"/>
  <c r="E45" i="28"/>
  <c r="E46" i="28" s="1"/>
  <c r="AK33" i="32"/>
  <c r="L19" i="35" s="1"/>
  <c r="O36" i="32"/>
  <c r="N39" i="41" s="1"/>
  <c r="J36" i="32"/>
  <c r="P36" i="32"/>
  <c r="O39" i="41" s="1"/>
  <c r="K36" i="32"/>
  <c r="Q36" i="32"/>
  <c r="P39" i="41" s="1"/>
  <c r="L36" i="32"/>
  <c r="R36" i="32"/>
  <c r="Q39" i="41" s="1"/>
  <c r="M36" i="32"/>
  <c r="H36" i="32"/>
  <c r="N36" i="32"/>
  <c r="M39" i="41" s="1"/>
  <c r="AB39" i="41" s="1"/>
  <c r="S36" i="32"/>
  <c r="R39" i="41" s="1"/>
  <c r="T36" i="32"/>
  <c r="S39" i="41" s="1"/>
  <c r="G36" i="32"/>
  <c r="I36" i="32"/>
  <c r="L38" i="41"/>
  <c r="Z38" i="41" s="1"/>
  <c r="AA35" i="32"/>
  <c r="AB34" i="32"/>
  <c r="G38" i="41"/>
  <c r="U38" i="41" s="1"/>
  <c r="V35" i="32"/>
  <c r="H38" i="41"/>
  <c r="V38" i="41" s="1"/>
  <c r="W35" i="32"/>
  <c r="AA37" i="41"/>
  <c r="K38" i="41"/>
  <c r="Y38" i="41" s="1"/>
  <c r="Z35" i="32"/>
  <c r="J38" i="41"/>
  <c r="X38" i="41" s="1"/>
  <c r="Y35" i="32"/>
  <c r="F38" i="41"/>
  <c r="T38" i="41" s="1"/>
  <c r="U35" i="32"/>
  <c r="I38" i="41"/>
  <c r="W38" i="41" s="1"/>
  <c r="X35" i="32"/>
  <c r="AI33" i="41"/>
  <c r="AJ33" i="41" s="1"/>
  <c r="B30" i="33"/>
  <c r="AM33" i="32"/>
  <c r="AJ34" i="32"/>
  <c r="AF35" i="32"/>
  <c r="AI35" i="32"/>
  <c r="AC35" i="32"/>
  <c r="AH35" i="32"/>
  <c r="AD35" i="32"/>
  <c r="AE35" i="32"/>
  <c r="AG35" i="32"/>
  <c r="AI34" i="41"/>
  <c r="AJ34" i="41" s="1"/>
  <c r="D37" i="32"/>
  <c r="E47" i="28" l="1"/>
  <c r="K47" i="28"/>
  <c r="L47" i="28"/>
  <c r="A36" i="31"/>
  <c r="AL33" i="32"/>
  <c r="AK34" i="32"/>
  <c r="L20" i="35" s="1"/>
  <c r="K41" i="35"/>
  <c r="H38" i="40"/>
  <c r="H37" i="40"/>
  <c r="L44" i="28"/>
  <c r="K44" i="28"/>
  <c r="J45" i="28"/>
  <c r="B64" i="40"/>
  <c r="F44" i="28"/>
  <c r="G43" i="28"/>
  <c r="AK33" i="41"/>
  <c r="AL33" i="41"/>
  <c r="AB35" i="32"/>
  <c r="AA38" i="41"/>
  <c r="L39" i="41"/>
  <c r="Z39" i="41" s="1"/>
  <c r="AA36" i="32"/>
  <c r="H39" i="41"/>
  <c r="V39" i="41" s="1"/>
  <c r="W36" i="32"/>
  <c r="K39" i="41"/>
  <c r="Y39" i="41" s="1"/>
  <c r="Z36" i="32"/>
  <c r="P37" i="32"/>
  <c r="O40" i="41" s="1"/>
  <c r="K37" i="32"/>
  <c r="Q37" i="32"/>
  <c r="P40" i="41" s="1"/>
  <c r="L37" i="32"/>
  <c r="R37" i="32"/>
  <c r="Q40" i="41" s="1"/>
  <c r="M37" i="32"/>
  <c r="S37" i="32"/>
  <c r="R40" i="41" s="1"/>
  <c r="G37" i="32"/>
  <c r="O37" i="32"/>
  <c r="N40" i="41" s="1"/>
  <c r="J37" i="32"/>
  <c r="T37" i="32"/>
  <c r="S40" i="41" s="1"/>
  <c r="H37" i="32"/>
  <c r="N37" i="32"/>
  <c r="M40" i="41" s="1"/>
  <c r="AB40" i="41" s="1"/>
  <c r="I37" i="32"/>
  <c r="F39" i="41"/>
  <c r="T39" i="41" s="1"/>
  <c r="U36" i="32"/>
  <c r="J39" i="41"/>
  <c r="X39" i="41" s="1"/>
  <c r="Y36" i="32"/>
  <c r="I39" i="41"/>
  <c r="W39" i="41" s="1"/>
  <c r="X36" i="32"/>
  <c r="G39" i="41"/>
  <c r="U39" i="41" s="1"/>
  <c r="V36" i="32"/>
  <c r="B31" i="33"/>
  <c r="AJ35" i="32"/>
  <c r="AD36" i="32"/>
  <c r="AC36" i="41"/>
  <c r="AI36" i="32"/>
  <c r="AH36" i="41"/>
  <c r="AC36" i="32"/>
  <c r="AE36" i="32"/>
  <c r="AD36" i="41"/>
  <c r="AG36" i="32"/>
  <c r="AF36" i="41"/>
  <c r="AL34" i="41"/>
  <c r="AK34" i="41"/>
  <c r="AI35" i="41"/>
  <c r="AJ35" i="41" s="1"/>
  <c r="AH36" i="32"/>
  <c r="AG36" i="41"/>
  <c r="AF36" i="32"/>
  <c r="AE36" i="41"/>
  <c r="D38" i="32"/>
  <c r="AK35" i="32" l="1"/>
  <c r="L21" i="35" s="1"/>
  <c r="A37" i="31"/>
  <c r="AM34" i="32"/>
  <c r="AL34" i="32"/>
  <c r="K42" i="35"/>
  <c r="K45" i="28"/>
  <c r="H39" i="40"/>
  <c r="L45" i="28"/>
  <c r="B65" i="40"/>
  <c r="F45" i="28"/>
  <c r="F46" i="28" s="1"/>
  <c r="G46" i="28" s="1"/>
  <c r="G44" i="28"/>
  <c r="I40" i="41"/>
  <c r="W40" i="41" s="1"/>
  <c r="X37" i="32"/>
  <c r="J40" i="41"/>
  <c r="X40" i="41" s="1"/>
  <c r="Y37" i="32"/>
  <c r="AB36" i="32"/>
  <c r="F40" i="41"/>
  <c r="T40" i="41" s="1"/>
  <c r="U37" i="32"/>
  <c r="AA39" i="41"/>
  <c r="H40" i="41"/>
  <c r="V40" i="41" s="1"/>
  <c r="W37" i="32"/>
  <c r="L40" i="41"/>
  <c r="Z40" i="41" s="1"/>
  <c r="AA37" i="32"/>
  <c r="Q38" i="32"/>
  <c r="P41" i="41" s="1"/>
  <c r="L38" i="32"/>
  <c r="R38" i="32"/>
  <c r="Q41" i="41" s="1"/>
  <c r="M38" i="32"/>
  <c r="S38" i="32"/>
  <c r="R41" i="41" s="1"/>
  <c r="T38" i="32"/>
  <c r="S41" i="41" s="1"/>
  <c r="G38" i="32"/>
  <c r="O38" i="32"/>
  <c r="N41" i="41" s="1"/>
  <c r="J38" i="32"/>
  <c r="P38" i="32"/>
  <c r="O41" i="41" s="1"/>
  <c r="N38" i="32"/>
  <c r="M41" i="41" s="1"/>
  <c r="AB41" i="41" s="1"/>
  <c r="I38" i="32"/>
  <c r="K38" i="32"/>
  <c r="H38" i="32"/>
  <c r="G40" i="41"/>
  <c r="U40" i="41" s="1"/>
  <c r="V37" i="32"/>
  <c r="K40" i="41"/>
  <c r="Y40" i="41" s="1"/>
  <c r="Z37" i="32"/>
  <c r="B32" i="33"/>
  <c r="AL35" i="32"/>
  <c r="AJ36" i="32"/>
  <c r="AG37" i="32"/>
  <c r="AF37" i="41"/>
  <c r="AI36" i="41"/>
  <c r="AJ36" i="41" s="1"/>
  <c r="AF37" i="32"/>
  <c r="AE37" i="41"/>
  <c r="AH37" i="32"/>
  <c r="AG37" i="41"/>
  <c r="AD37" i="32"/>
  <c r="AC37" i="41"/>
  <c r="AC37" i="32"/>
  <c r="AI37" i="32"/>
  <c r="AH37" i="41"/>
  <c r="AE37" i="32"/>
  <c r="AD37" i="41"/>
  <c r="AK35" i="41"/>
  <c r="AL35" i="41"/>
  <c r="D39" i="32"/>
  <c r="AM35" i="32" l="1"/>
  <c r="F47" i="28"/>
  <c r="G47" i="28" s="1"/>
  <c r="A38" i="31"/>
  <c r="AK36" i="32"/>
  <c r="L22" i="35" s="1"/>
  <c r="H40" i="40"/>
  <c r="G45" i="28"/>
  <c r="H41" i="41"/>
  <c r="V41" i="41" s="1"/>
  <c r="W38" i="32"/>
  <c r="L41" i="41"/>
  <c r="Z41" i="41" s="1"/>
  <c r="AA38" i="32"/>
  <c r="AB37" i="32"/>
  <c r="K41" i="41"/>
  <c r="Y41" i="41" s="1"/>
  <c r="Z38" i="32"/>
  <c r="AA40" i="41"/>
  <c r="I41" i="41"/>
  <c r="W41" i="41" s="1"/>
  <c r="X38" i="32"/>
  <c r="F41" i="41"/>
  <c r="T41" i="41" s="1"/>
  <c r="U38" i="32"/>
  <c r="R39" i="32"/>
  <c r="Q42" i="41" s="1"/>
  <c r="M39" i="32"/>
  <c r="S39" i="32"/>
  <c r="R42" i="41" s="1"/>
  <c r="T39" i="32"/>
  <c r="S42" i="41" s="1"/>
  <c r="G39" i="32"/>
  <c r="H39" i="32"/>
  <c r="N39" i="32"/>
  <c r="M42" i="41" s="1"/>
  <c r="AB42" i="41" s="1"/>
  <c r="I39" i="32"/>
  <c r="O39" i="32"/>
  <c r="N42" i="41" s="1"/>
  <c r="P39" i="32"/>
  <c r="O42" i="41" s="1"/>
  <c r="Q39" i="32"/>
  <c r="P42" i="41" s="1"/>
  <c r="J39" i="32"/>
  <c r="K39" i="32"/>
  <c r="L39" i="32"/>
  <c r="G41" i="41"/>
  <c r="U41" i="41" s="1"/>
  <c r="V38" i="32"/>
  <c r="J41" i="41"/>
  <c r="X41" i="41" s="1"/>
  <c r="Y38" i="32"/>
  <c r="B33" i="33"/>
  <c r="AJ37" i="32"/>
  <c r="AH38" i="32"/>
  <c r="AG38" i="41"/>
  <c r="AL36" i="41"/>
  <c r="AK36" i="41"/>
  <c r="AG38" i="32"/>
  <c r="AF38" i="41"/>
  <c r="AC38" i="32"/>
  <c r="AI38" i="32"/>
  <c r="AH38" i="41"/>
  <c r="AE38" i="32"/>
  <c r="AD38" i="41"/>
  <c r="AF38" i="32"/>
  <c r="AE38" i="41"/>
  <c r="AD38" i="32"/>
  <c r="AC38" i="41"/>
  <c r="AI37" i="41"/>
  <c r="AJ37" i="41" s="1"/>
  <c r="D40" i="32"/>
  <c r="AK37" i="32" l="1"/>
  <c r="L23" i="35" s="1"/>
  <c r="AM36" i="32"/>
  <c r="AL36" i="32"/>
  <c r="A39" i="31"/>
  <c r="H41" i="40"/>
  <c r="I42" i="41"/>
  <c r="W42" i="41" s="1"/>
  <c r="X39" i="32"/>
  <c r="L42" i="41"/>
  <c r="Z42" i="41" s="1"/>
  <c r="AA39" i="32"/>
  <c r="H42" i="41"/>
  <c r="V42" i="41" s="1"/>
  <c r="W39" i="32"/>
  <c r="AB38" i="32"/>
  <c r="AA41" i="41"/>
  <c r="K42" i="41"/>
  <c r="Y42" i="41" s="1"/>
  <c r="Z39" i="32"/>
  <c r="G42" i="41"/>
  <c r="U42" i="41" s="1"/>
  <c r="V39" i="32"/>
  <c r="S40" i="32"/>
  <c r="R43" i="41" s="1"/>
  <c r="T40" i="32"/>
  <c r="S43" i="41" s="1"/>
  <c r="G40" i="32"/>
  <c r="H40" i="32"/>
  <c r="N40" i="32"/>
  <c r="M43" i="41" s="1"/>
  <c r="AB43" i="41" s="1"/>
  <c r="I40" i="32"/>
  <c r="Q40" i="32"/>
  <c r="P43" i="41" s="1"/>
  <c r="L40" i="32"/>
  <c r="R40" i="32"/>
  <c r="Q43" i="41" s="1"/>
  <c r="O40" i="32"/>
  <c r="N43" i="41" s="1"/>
  <c r="K40" i="32"/>
  <c r="M40" i="32"/>
  <c r="P40" i="32"/>
  <c r="O43" i="41" s="1"/>
  <c r="J40" i="32"/>
  <c r="J42" i="41"/>
  <c r="X42" i="41" s="1"/>
  <c r="Y39" i="32"/>
  <c r="F42" i="41"/>
  <c r="T42" i="41" s="1"/>
  <c r="U39" i="32"/>
  <c r="B34" i="33"/>
  <c r="AL37" i="32"/>
  <c r="AJ38" i="32"/>
  <c r="AI39" i="32"/>
  <c r="AH39" i="41"/>
  <c r="AK37" i="41"/>
  <c r="AL37" i="41"/>
  <c r="AH39" i="32"/>
  <c r="AG39" i="41"/>
  <c r="AD39" i="32"/>
  <c r="AC39" i="41"/>
  <c r="AC39" i="32"/>
  <c r="AI38" i="41"/>
  <c r="AJ38" i="41" s="1"/>
  <c r="AG39" i="32"/>
  <c r="AF39" i="41"/>
  <c r="AE39" i="32"/>
  <c r="AD39" i="41"/>
  <c r="AF39" i="32"/>
  <c r="AE39" i="41"/>
  <c r="D41" i="32"/>
  <c r="AM37" i="32" l="1"/>
  <c r="AK38" i="32"/>
  <c r="L24" i="35" s="1"/>
  <c r="H42" i="40"/>
  <c r="AA42" i="41"/>
  <c r="AB39" i="32"/>
  <c r="L43" i="41"/>
  <c r="Z43" i="41" s="1"/>
  <c r="AA40" i="32"/>
  <c r="G43" i="41"/>
  <c r="U43" i="41" s="1"/>
  <c r="V40" i="32"/>
  <c r="J43" i="41"/>
  <c r="X43" i="41" s="1"/>
  <c r="Y40" i="32"/>
  <c r="F43" i="41"/>
  <c r="T43" i="41" s="1"/>
  <c r="U40" i="32"/>
  <c r="K43" i="41"/>
  <c r="Y43" i="41" s="1"/>
  <c r="Z40" i="32"/>
  <c r="I43" i="41"/>
  <c r="W43" i="41" s="1"/>
  <c r="X40" i="32"/>
  <c r="H43" i="41"/>
  <c r="V43" i="41" s="1"/>
  <c r="W40" i="32"/>
  <c r="T41" i="32"/>
  <c r="S44" i="41" s="1"/>
  <c r="G41" i="32"/>
  <c r="H41" i="32"/>
  <c r="N41" i="32"/>
  <c r="M44" i="41" s="1"/>
  <c r="AB44" i="41" s="1"/>
  <c r="I41" i="32"/>
  <c r="O41" i="32"/>
  <c r="N44" i="41" s="1"/>
  <c r="J41" i="32"/>
  <c r="P41" i="32"/>
  <c r="O44" i="41" s="1"/>
  <c r="K41" i="32"/>
  <c r="Q41" i="32"/>
  <c r="P44" i="41" s="1"/>
  <c r="L41" i="32"/>
  <c r="M41" i="32"/>
  <c r="S41" i="32"/>
  <c r="R44" i="41" s="1"/>
  <c r="R41" i="32"/>
  <c r="Q44" i="41" s="1"/>
  <c r="B35" i="33"/>
  <c r="AJ39" i="32"/>
  <c r="AI39" i="41"/>
  <c r="AJ39" i="41" s="1"/>
  <c r="AG40" i="32"/>
  <c r="AF40" i="41"/>
  <c r="AI40" i="32"/>
  <c r="AH40" i="41"/>
  <c r="AD40" i="32"/>
  <c r="AC40" i="41"/>
  <c r="AE40" i="32"/>
  <c r="AD40" i="41"/>
  <c r="AC40" i="32"/>
  <c r="AF40" i="32"/>
  <c r="AE40" i="41"/>
  <c r="AL38" i="41"/>
  <c r="AK38" i="41"/>
  <c r="AH40" i="32"/>
  <c r="AG40" i="41"/>
  <c r="D42" i="32"/>
  <c r="AK39" i="32" l="1"/>
  <c r="L25" i="35" s="1"/>
  <c r="AL38" i="32"/>
  <c r="AM38" i="32"/>
  <c r="H43" i="40"/>
  <c r="AA43" i="41"/>
  <c r="AB40" i="32"/>
  <c r="F44" i="41"/>
  <c r="T44" i="41" s="1"/>
  <c r="U41" i="32"/>
  <c r="J44" i="41"/>
  <c r="X44" i="41" s="1"/>
  <c r="Y41" i="32"/>
  <c r="I44" i="41"/>
  <c r="W44" i="41" s="1"/>
  <c r="X41" i="32"/>
  <c r="H44" i="41"/>
  <c r="V44" i="41" s="1"/>
  <c r="W41" i="32"/>
  <c r="L44" i="41"/>
  <c r="Z44" i="41" s="1"/>
  <c r="AA41" i="32"/>
  <c r="H42" i="32"/>
  <c r="N42" i="32"/>
  <c r="M45" i="41" s="1"/>
  <c r="AB45" i="41" s="1"/>
  <c r="I42" i="32"/>
  <c r="O42" i="32"/>
  <c r="N45" i="41" s="1"/>
  <c r="J42" i="32"/>
  <c r="P42" i="32"/>
  <c r="O45" i="41" s="1"/>
  <c r="K42" i="32"/>
  <c r="S42" i="32"/>
  <c r="R45" i="41" s="1"/>
  <c r="R42" i="32"/>
  <c r="Q45" i="41" s="1"/>
  <c r="G42" i="32"/>
  <c r="T42" i="32"/>
  <c r="S45" i="41" s="1"/>
  <c r="M42" i="32"/>
  <c r="L42" i="32"/>
  <c r="Q42" i="32"/>
  <c r="P45" i="41" s="1"/>
  <c r="K44" i="41"/>
  <c r="Y44" i="41" s="1"/>
  <c r="Z41" i="32"/>
  <c r="G44" i="41"/>
  <c r="U44" i="41" s="1"/>
  <c r="V41" i="32"/>
  <c r="B36" i="33"/>
  <c r="AJ40" i="32"/>
  <c r="AD41" i="32"/>
  <c r="AC41" i="41"/>
  <c r="AH41" i="32"/>
  <c r="AG41" i="41"/>
  <c r="AG41" i="32"/>
  <c r="AF41" i="41"/>
  <c r="AI41" i="32"/>
  <c r="AH41" i="41"/>
  <c r="AF41" i="32"/>
  <c r="AE41" i="41"/>
  <c r="AC41" i="32"/>
  <c r="AE41" i="32"/>
  <c r="AD41" i="41"/>
  <c r="AI40" i="41"/>
  <c r="AK39" i="41"/>
  <c r="AL39" i="41"/>
  <c r="D43" i="32"/>
  <c r="AK40" i="32" l="1"/>
  <c r="L26" i="35" s="1"/>
  <c r="AM39" i="32"/>
  <c r="AL39" i="32"/>
  <c r="K45" i="41"/>
  <c r="Y45" i="41" s="1"/>
  <c r="Z42" i="32"/>
  <c r="I45" i="41"/>
  <c r="W45" i="41" s="1"/>
  <c r="X42" i="32"/>
  <c r="L45" i="41"/>
  <c r="Z45" i="41" s="1"/>
  <c r="AA42" i="32"/>
  <c r="N43" i="32"/>
  <c r="M46" i="41" s="1"/>
  <c r="AB46" i="41" s="1"/>
  <c r="I43" i="32"/>
  <c r="O43" i="32"/>
  <c r="N46" i="41" s="1"/>
  <c r="J43" i="32"/>
  <c r="P43" i="32"/>
  <c r="O46" i="41" s="1"/>
  <c r="K43" i="32"/>
  <c r="Q43" i="32"/>
  <c r="P46" i="41" s="1"/>
  <c r="L43" i="32"/>
  <c r="G43" i="32"/>
  <c r="R43" i="32"/>
  <c r="Q46" i="41" s="1"/>
  <c r="M43" i="32"/>
  <c r="S43" i="32"/>
  <c r="R46" i="41" s="1"/>
  <c r="T43" i="32"/>
  <c r="S46" i="41" s="1"/>
  <c r="H43" i="32"/>
  <c r="H45" i="41"/>
  <c r="V45" i="41" s="1"/>
  <c r="W42" i="32"/>
  <c r="F45" i="41"/>
  <c r="T45" i="41" s="1"/>
  <c r="U42" i="32"/>
  <c r="G45" i="41"/>
  <c r="U45" i="41" s="1"/>
  <c r="V42" i="32"/>
  <c r="AB41" i="32"/>
  <c r="J45" i="41"/>
  <c r="X45" i="41" s="1"/>
  <c r="Y42" i="32"/>
  <c r="AA44" i="41"/>
  <c r="AL40" i="32"/>
  <c r="B37" i="33"/>
  <c r="C37" i="33" s="1"/>
  <c r="AJ41" i="32"/>
  <c r="AM40" i="32"/>
  <c r="AC42" i="32"/>
  <c r="AD42" i="32"/>
  <c r="AC42" i="41"/>
  <c r="AE42" i="32"/>
  <c r="AD42" i="41"/>
  <c r="AH42" i="32"/>
  <c r="AG42" i="41"/>
  <c r="AI42" i="32"/>
  <c r="AH42" i="41"/>
  <c r="AI41" i="41"/>
  <c r="AJ41" i="41" s="1"/>
  <c r="AG42" i="32"/>
  <c r="AF42" i="41"/>
  <c r="AF42" i="32"/>
  <c r="AE42" i="41"/>
  <c r="AJ40" i="41"/>
  <c r="D44" i="32"/>
  <c r="H45" i="40" l="1"/>
  <c r="H44" i="40"/>
  <c r="AB42" i="32"/>
  <c r="AA45" i="41"/>
  <c r="AK41" i="32"/>
  <c r="L27" i="35" s="1"/>
  <c r="H46" i="41"/>
  <c r="V46" i="41" s="1"/>
  <c r="W43" i="32"/>
  <c r="F46" i="41"/>
  <c r="T46" i="41" s="1"/>
  <c r="U43" i="32"/>
  <c r="O44" i="32"/>
  <c r="N47" i="41" s="1"/>
  <c r="J44" i="32"/>
  <c r="P44" i="32"/>
  <c r="O47" i="41" s="1"/>
  <c r="K44" i="32"/>
  <c r="Q44" i="32"/>
  <c r="P47" i="41" s="1"/>
  <c r="L44" i="32"/>
  <c r="R44" i="32"/>
  <c r="Q47" i="41" s="1"/>
  <c r="M44" i="32"/>
  <c r="I44" i="32"/>
  <c r="T44" i="32"/>
  <c r="S47" i="41" s="1"/>
  <c r="N44" i="32"/>
  <c r="M47" i="41" s="1"/>
  <c r="AB47" i="41" s="1"/>
  <c r="G44" i="32"/>
  <c r="H44" i="32"/>
  <c r="S44" i="32"/>
  <c r="R47" i="41" s="1"/>
  <c r="K46" i="41"/>
  <c r="Y46" i="41" s="1"/>
  <c r="Z43" i="32"/>
  <c r="G46" i="41"/>
  <c r="U46" i="41" s="1"/>
  <c r="V43" i="32"/>
  <c r="J46" i="41"/>
  <c r="X46" i="41" s="1"/>
  <c r="Y43" i="32"/>
  <c r="I46" i="41"/>
  <c r="W46" i="41" s="1"/>
  <c r="X43" i="32"/>
  <c r="L46" i="41"/>
  <c r="Z46" i="41" s="1"/>
  <c r="AA43" i="32"/>
  <c r="B38" i="33"/>
  <c r="C38" i="33" s="1"/>
  <c r="E37" i="33"/>
  <c r="D37" i="33"/>
  <c r="F37" i="33" s="1"/>
  <c r="AJ42" i="32"/>
  <c r="AI43" i="32"/>
  <c r="AH43" i="41"/>
  <c r="AD43" i="32"/>
  <c r="AC43" i="41"/>
  <c r="AE43" i="32"/>
  <c r="AD43" i="41"/>
  <c r="AL40" i="41"/>
  <c r="AK40" i="41"/>
  <c r="AI42" i="41"/>
  <c r="AG43" i="32"/>
  <c r="AF43" i="41"/>
  <c r="AL41" i="41"/>
  <c r="AK41" i="41"/>
  <c r="AC43" i="32"/>
  <c r="AF43" i="32"/>
  <c r="AE43" i="41"/>
  <c r="AH43" i="32"/>
  <c r="AG43" i="41"/>
  <c r="D45" i="32"/>
  <c r="AK42" i="32" l="1"/>
  <c r="L28" i="35" s="1"/>
  <c r="AM41" i="32"/>
  <c r="AL41" i="32"/>
  <c r="F47" i="41"/>
  <c r="T47" i="41" s="1"/>
  <c r="U44" i="32"/>
  <c r="J47" i="41"/>
  <c r="X47" i="41" s="1"/>
  <c r="Y44" i="32"/>
  <c r="I47" i="41"/>
  <c r="W47" i="41" s="1"/>
  <c r="X44" i="32"/>
  <c r="H47" i="41"/>
  <c r="V47" i="41" s="1"/>
  <c r="W44" i="32"/>
  <c r="L47" i="41"/>
  <c r="Z47" i="41" s="1"/>
  <c r="AA44" i="32"/>
  <c r="AB43" i="32"/>
  <c r="AA46" i="41"/>
  <c r="P45" i="32"/>
  <c r="O48" i="41" s="1"/>
  <c r="K45" i="32"/>
  <c r="Q45" i="32"/>
  <c r="P48" i="41" s="1"/>
  <c r="L45" i="32"/>
  <c r="R45" i="32"/>
  <c r="Q48" i="41" s="1"/>
  <c r="M45" i="32"/>
  <c r="S45" i="32"/>
  <c r="R48" i="41" s="1"/>
  <c r="N45" i="32"/>
  <c r="M48" i="41" s="1"/>
  <c r="AB48" i="41" s="1"/>
  <c r="I45" i="32"/>
  <c r="T45" i="32"/>
  <c r="S48" i="41" s="1"/>
  <c r="G45" i="32"/>
  <c r="H45" i="32"/>
  <c r="J45" i="32"/>
  <c r="O45" i="32"/>
  <c r="N48" i="41" s="1"/>
  <c r="K47" i="41"/>
  <c r="Y47" i="41" s="1"/>
  <c r="Z44" i="32"/>
  <c r="G47" i="41"/>
  <c r="U47" i="41" s="1"/>
  <c r="V44" i="32"/>
  <c r="B39" i="33"/>
  <c r="E38" i="33"/>
  <c r="D38" i="33"/>
  <c r="F38" i="33" s="1"/>
  <c r="G37" i="33"/>
  <c r="K37" i="33" s="1"/>
  <c r="I37" i="33"/>
  <c r="M37" i="33" s="1"/>
  <c r="J37" i="33"/>
  <c r="N37" i="33" s="1"/>
  <c r="H37" i="33"/>
  <c r="L37" i="33" s="1"/>
  <c r="AL42" i="32"/>
  <c r="AM42" i="32"/>
  <c r="AJ43" i="32"/>
  <c r="AD44" i="32"/>
  <c r="AC44" i="41"/>
  <c r="AG44" i="32"/>
  <c r="AF44" i="41"/>
  <c r="AI44" i="32"/>
  <c r="AH44" i="41"/>
  <c r="AJ42" i="41"/>
  <c r="AE44" i="32"/>
  <c r="AD44" i="41"/>
  <c r="AC44" i="32"/>
  <c r="AF44" i="32"/>
  <c r="AE44" i="41"/>
  <c r="AI43" i="41"/>
  <c r="AJ43" i="41" s="1"/>
  <c r="AH44" i="32"/>
  <c r="AG44" i="41"/>
  <c r="D46" i="32"/>
  <c r="H46" i="40" l="1"/>
  <c r="H47" i="40"/>
  <c r="C39" i="33"/>
  <c r="E39" i="33" s="1"/>
  <c r="B40" i="33"/>
  <c r="AK43" i="32"/>
  <c r="AL43" i="32" s="1"/>
  <c r="P37" i="33"/>
  <c r="O37" i="33"/>
  <c r="G48" i="41"/>
  <c r="U48" i="41" s="1"/>
  <c r="V45" i="32"/>
  <c r="K48" i="41"/>
  <c r="Y48" i="41" s="1"/>
  <c r="Z45" i="32"/>
  <c r="F48" i="41"/>
  <c r="T48" i="41" s="1"/>
  <c r="U45" i="32"/>
  <c r="J48" i="41"/>
  <c r="X48" i="41" s="1"/>
  <c r="Y45" i="32"/>
  <c r="H48" i="41"/>
  <c r="V48" i="41" s="1"/>
  <c r="W45" i="32"/>
  <c r="Q46" i="32"/>
  <c r="P49" i="41" s="1"/>
  <c r="L46" i="32"/>
  <c r="R46" i="32"/>
  <c r="Q49" i="41" s="1"/>
  <c r="M46" i="32"/>
  <c r="S46" i="32"/>
  <c r="R49" i="41" s="1"/>
  <c r="T46" i="32"/>
  <c r="S49" i="41" s="1"/>
  <c r="G46" i="32"/>
  <c r="H46" i="32"/>
  <c r="N46" i="32"/>
  <c r="M49" i="41" s="1"/>
  <c r="AB49" i="41" s="1"/>
  <c r="O46" i="32"/>
  <c r="N49" i="41" s="1"/>
  <c r="P46" i="32"/>
  <c r="O49" i="41" s="1"/>
  <c r="I46" i="32"/>
  <c r="J46" i="32"/>
  <c r="K46" i="32"/>
  <c r="L48" i="41"/>
  <c r="Z48" i="41" s="1"/>
  <c r="AA45" i="32"/>
  <c r="AB44" i="32"/>
  <c r="I48" i="41"/>
  <c r="W48" i="41" s="1"/>
  <c r="X45" i="32"/>
  <c r="AA47" i="41"/>
  <c r="H38" i="33"/>
  <c r="L38" i="33" s="1"/>
  <c r="J38" i="33"/>
  <c r="N38" i="33" s="1"/>
  <c r="D39" i="33"/>
  <c r="F39" i="33" s="1"/>
  <c r="G38" i="33"/>
  <c r="K38" i="33" s="1"/>
  <c r="I38" i="33"/>
  <c r="AJ44" i="32"/>
  <c r="AI44" i="41"/>
  <c r="AJ44" i="41" s="1"/>
  <c r="H48" i="40" s="1"/>
  <c r="AC45" i="32"/>
  <c r="AL42" i="41"/>
  <c r="AK42" i="41"/>
  <c r="AE45" i="32"/>
  <c r="AD45" i="41"/>
  <c r="AG45" i="32"/>
  <c r="AF45" i="41"/>
  <c r="AD45" i="32"/>
  <c r="AC45" i="41"/>
  <c r="AI45" i="32"/>
  <c r="AH45" i="41"/>
  <c r="AF45" i="32"/>
  <c r="AE45" i="41"/>
  <c r="AK43" i="41"/>
  <c r="AL43" i="41"/>
  <c r="AH45" i="32"/>
  <c r="AG45" i="41"/>
  <c r="D47" i="32"/>
  <c r="AM43" i="32" l="1"/>
  <c r="L29" i="35"/>
  <c r="D40" i="33"/>
  <c r="F40" i="33" s="1"/>
  <c r="C40" i="33"/>
  <c r="E40" i="33" s="1"/>
  <c r="B41" i="33"/>
  <c r="AK44" i="32"/>
  <c r="L30" i="35" s="1"/>
  <c r="M38" i="33"/>
  <c r="P38" i="33" s="1"/>
  <c r="O38" i="33"/>
  <c r="J49" i="41"/>
  <c r="X49" i="41" s="1"/>
  <c r="Y46" i="32"/>
  <c r="I49" i="41"/>
  <c r="W49" i="41" s="1"/>
  <c r="X46" i="32"/>
  <c r="H49" i="41"/>
  <c r="V49" i="41" s="1"/>
  <c r="W46" i="32"/>
  <c r="L49" i="41"/>
  <c r="Z49" i="41" s="1"/>
  <c r="AA46" i="32"/>
  <c r="AB45" i="32"/>
  <c r="AA48" i="41"/>
  <c r="K49" i="41"/>
  <c r="Y49" i="41" s="1"/>
  <c r="Z46" i="32"/>
  <c r="R47" i="32"/>
  <c r="Q50" i="41" s="1"/>
  <c r="M47" i="32"/>
  <c r="S47" i="32"/>
  <c r="R50" i="41" s="1"/>
  <c r="T47" i="32"/>
  <c r="S50" i="41" s="1"/>
  <c r="G47" i="32"/>
  <c r="H47" i="32"/>
  <c r="P47" i="32"/>
  <c r="O50" i="41" s="1"/>
  <c r="K47" i="32"/>
  <c r="J47" i="32"/>
  <c r="L47" i="32"/>
  <c r="N47" i="32"/>
  <c r="M50" i="41" s="1"/>
  <c r="AB50" i="41" s="1"/>
  <c r="I47" i="32"/>
  <c r="O47" i="32"/>
  <c r="N50" i="41" s="1"/>
  <c r="Q47" i="32"/>
  <c r="P50" i="41" s="1"/>
  <c r="G49" i="41"/>
  <c r="U49" i="41" s="1"/>
  <c r="V46" i="32"/>
  <c r="F49" i="41"/>
  <c r="T49" i="41" s="1"/>
  <c r="U46" i="32"/>
  <c r="AL44" i="41"/>
  <c r="J39" i="33"/>
  <c r="N39" i="33" s="1"/>
  <c r="H39" i="33"/>
  <c r="L39" i="33" s="1"/>
  <c r="G39" i="33"/>
  <c r="K39" i="33" s="1"/>
  <c r="I39" i="33"/>
  <c r="M39" i="33" s="1"/>
  <c r="AK44" i="41"/>
  <c r="AJ45" i="32"/>
  <c r="AE46" i="32"/>
  <c r="AD46" i="41"/>
  <c r="AD46" i="32"/>
  <c r="AC46" i="41"/>
  <c r="AH46" i="32"/>
  <c r="AG46" i="41"/>
  <c r="AC46" i="32"/>
  <c r="AG46" i="32"/>
  <c r="AF46" i="41"/>
  <c r="AI45" i="41"/>
  <c r="AF46" i="32"/>
  <c r="AE46" i="41"/>
  <c r="AI46" i="32"/>
  <c r="AH46" i="41"/>
  <c r="D48" i="32"/>
  <c r="AK45" i="32" l="1"/>
  <c r="L31" i="35" s="1"/>
  <c r="G40" i="33"/>
  <c r="K40" i="33" s="1"/>
  <c r="I40" i="33"/>
  <c r="M40" i="33" s="1"/>
  <c r="J40" i="33"/>
  <c r="N40" i="33" s="1"/>
  <c r="H40" i="33"/>
  <c r="L40" i="33" s="1"/>
  <c r="C41" i="33"/>
  <c r="E41" i="33" s="1"/>
  <c r="B42" i="33"/>
  <c r="D41" i="33"/>
  <c r="F41" i="33" s="1"/>
  <c r="AL44" i="32"/>
  <c r="AM44" i="32"/>
  <c r="AB46" i="32"/>
  <c r="AA49" i="41"/>
  <c r="P39" i="33"/>
  <c r="O39" i="33"/>
  <c r="K50" i="41"/>
  <c r="Y50" i="41" s="1"/>
  <c r="Z47" i="32"/>
  <c r="L50" i="41"/>
  <c r="Z50" i="41" s="1"/>
  <c r="AA47" i="32"/>
  <c r="I50" i="41"/>
  <c r="W50" i="41" s="1"/>
  <c r="X47" i="32"/>
  <c r="J50" i="41"/>
  <c r="X50" i="41" s="1"/>
  <c r="Y47" i="32"/>
  <c r="G50" i="41"/>
  <c r="U50" i="41" s="1"/>
  <c r="V47" i="32"/>
  <c r="F50" i="41"/>
  <c r="T50" i="41" s="1"/>
  <c r="U47" i="32"/>
  <c r="S48" i="32"/>
  <c r="R51" i="41" s="1"/>
  <c r="T48" i="32"/>
  <c r="S51" i="41" s="1"/>
  <c r="G48" i="32"/>
  <c r="H48" i="32"/>
  <c r="N48" i="32"/>
  <c r="M51" i="41" s="1"/>
  <c r="AB51" i="41" s="1"/>
  <c r="I48" i="32"/>
  <c r="O48" i="32"/>
  <c r="N51" i="41" s="1"/>
  <c r="J48" i="32"/>
  <c r="R48" i="32"/>
  <c r="Q51" i="41" s="1"/>
  <c r="K48" i="32"/>
  <c r="M48" i="32"/>
  <c r="Q48" i="32"/>
  <c r="P51" i="41" s="1"/>
  <c r="L48" i="32"/>
  <c r="P48" i="32"/>
  <c r="O51" i="41" s="1"/>
  <c r="H50" i="41"/>
  <c r="V50" i="41" s="1"/>
  <c r="W47" i="32"/>
  <c r="AM45" i="32"/>
  <c r="AL45" i="32"/>
  <c r="AJ46" i="32"/>
  <c r="AG47" i="32"/>
  <c r="AF47" i="41"/>
  <c r="AF47" i="32"/>
  <c r="AE47" i="41"/>
  <c r="AC47" i="32"/>
  <c r="AE47" i="32"/>
  <c r="AD47" i="41"/>
  <c r="AI46" i="41"/>
  <c r="AJ46" i="41" s="1"/>
  <c r="AD47" i="32"/>
  <c r="AC47" i="41"/>
  <c r="AI47" i="32"/>
  <c r="AH47" i="41"/>
  <c r="AJ45" i="41"/>
  <c r="AH47" i="32"/>
  <c r="AG47" i="41"/>
  <c r="D49" i="32"/>
  <c r="H49" i="40" l="1"/>
  <c r="H50" i="40"/>
  <c r="G41" i="33"/>
  <c r="K41" i="33" s="1"/>
  <c r="I41" i="33"/>
  <c r="M41" i="33" s="1"/>
  <c r="C42" i="33"/>
  <c r="E42" i="33" s="1"/>
  <c r="B43" i="33"/>
  <c r="D42" i="33"/>
  <c r="F42" i="33" s="1"/>
  <c r="P40" i="33"/>
  <c r="H41" i="33"/>
  <c r="L41" i="33" s="1"/>
  <c r="J41" i="33"/>
  <c r="N41" i="33" s="1"/>
  <c r="O40" i="33"/>
  <c r="AK46" i="32"/>
  <c r="L32" i="35" s="1"/>
  <c r="L51" i="41"/>
  <c r="Z51" i="41" s="1"/>
  <c r="AA48" i="32"/>
  <c r="F51" i="41"/>
  <c r="T51" i="41" s="1"/>
  <c r="U48" i="32"/>
  <c r="J51" i="41"/>
  <c r="X51" i="41" s="1"/>
  <c r="Y48" i="32"/>
  <c r="I51" i="41"/>
  <c r="W51" i="41" s="1"/>
  <c r="X48" i="32"/>
  <c r="AB47" i="32"/>
  <c r="AA50" i="41"/>
  <c r="H51" i="41"/>
  <c r="V51" i="41" s="1"/>
  <c r="W48" i="32"/>
  <c r="T49" i="32"/>
  <c r="S52" i="41" s="1"/>
  <c r="G49" i="32"/>
  <c r="H49" i="32"/>
  <c r="N49" i="32"/>
  <c r="M52" i="41" s="1"/>
  <c r="AB52" i="41" s="1"/>
  <c r="I49" i="32"/>
  <c r="O49" i="32"/>
  <c r="N52" i="41" s="1"/>
  <c r="J49" i="32"/>
  <c r="R49" i="32"/>
  <c r="Q52" i="41" s="1"/>
  <c r="M49" i="32"/>
  <c r="Q49" i="32"/>
  <c r="P52" i="41" s="1"/>
  <c r="S49" i="32"/>
  <c r="R52" i="41" s="1"/>
  <c r="P49" i="32"/>
  <c r="O52" i="41" s="1"/>
  <c r="K49" i="32"/>
  <c r="L49" i="32"/>
  <c r="K51" i="41"/>
  <c r="Y51" i="41" s="1"/>
  <c r="Z48" i="32"/>
  <c r="G51" i="41"/>
  <c r="U51" i="41" s="1"/>
  <c r="V48" i="32"/>
  <c r="AJ47" i="32"/>
  <c r="AI48" i="32"/>
  <c r="AH48" i="41"/>
  <c r="AD48" i="32"/>
  <c r="AC48" i="41"/>
  <c r="AI47" i="41"/>
  <c r="AL46" i="41"/>
  <c r="AK46" i="41"/>
  <c r="AF48" i="32"/>
  <c r="AE48" i="41"/>
  <c r="AK45" i="41"/>
  <c r="AL45" i="41"/>
  <c r="AC48" i="32"/>
  <c r="AE48" i="32"/>
  <c r="AD48" i="41"/>
  <c r="AG48" i="32"/>
  <c r="AF48" i="41"/>
  <c r="AH48" i="32"/>
  <c r="AG48" i="41"/>
  <c r="D50" i="32"/>
  <c r="AM46" i="32" l="1"/>
  <c r="AL46" i="32"/>
  <c r="I42" i="33"/>
  <c r="M42" i="33" s="1"/>
  <c r="G42" i="33"/>
  <c r="K42" i="33" s="1"/>
  <c r="C43" i="33"/>
  <c r="E43" i="33" s="1"/>
  <c r="D43" i="33"/>
  <c r="F43" i="33" s="1"/>
  <c r="B44" i="33"/>
  <c r="P41" i="33"/>
  <c r="H42" i="33"/>
  <c r="L42" i="33" s="1"/>
  <c r="J42" i="33"/>
  <c r="N42" i="33" s="1"/>
  <c r="O41" i="33"/>
  <c r="AK47" i="32"/>
  <c r="L33" i="35" s="1"/>
  <c r="G52" i="41"/>
  <c r="U52" i="41" s="1"/>
  <c r="V49" i="32"/>
  <c r="F52" i="41"/>
  <c r="T52" i="41" s="1"/>
  <c r="U49" i="32"/>
  <c r="L52" i="41"/>
  <c r="Z52" i="41" s="1"/>
  <c r="AA49" i="32"/>
  <c r="AB48" i="32"/>
  <c r="I52" i="41"/>
  <c r="W52" i="41" s="1"/>
  <c r="X49" i="32"/>
  <c r="AA51" i="41"/>
  <c r="H50" i="32"/>
  <c r="N50" i="32"/>
  <c r="M53" i="41" s="1"/>
  <c r="I50" i="32"/>
  <c r="O50" i="32"/>
  <c r="N53" i="41" s="1"/>
  <c r="J50" i="32"/>
  <c r="P50" i="32"/>
  <c r="O53" i="41" s="1"/>
  <c r="K50" i="32"/>
  <c r="Q50" i="32"/>
  <c r="P53" i="41" s="1"/>
  <c r="L50" i="32"/>
  <c r="M50" i="32"/>
  <c r="T50" i="32"/>
  <c r="S53" i="41" s="1"/>
  <c r="G50" i="32"/>
  <c r="S50" i="32"/>
  <c r="R53" i="41" s="1"/>
  <c r="R50" i="32"/>
  <c r="Q53" i="41" s="1"/>
  <c r="K52" i="41"/>
  <c r="Y52" i="41" s="1"/>
  <c r="Z49" i="32"/>
  <c r="J52" i="41"/>
  <c r="X52" i="41" s="1"/>
  <c r="Y49" i="32"/>
  <c r="H52" i="41"/>
  <c r="V52" i="41" s="1"/>
  <c r="W49" i="32"/>
  <c r="AG49" i="32"/>
  <c r="AF49" i="41"/>
  <c r="AI49" i="32"/>
  <c r="AH49" i="41"/>
  <c r="AH49" i="32"/>
  <c r="AG49" i="41"/>
  <c r="AE49" i="32"/>
  <c r="AD49" i="41"/>
  <c r="AC49" i="32"/>
  <c r="AJ48" i="32"/>
  <c r="AF49" i="32"/>
  <c r="AE49" i="41"/>
  <c r="AD49" i="32"/>
  <c r="AC49" i="41"/>
  <c r="AI48" i="41"/>
  <c r="AJ48" i="41" s="1"/>
  <c r="AJ47" i="41"/>
  <c r="D51" i="32"/>
  <c r="AK48" i="32" l="1"/>
  <c r="L34" i="35" s="1"/>
  <c r="AM47" i="32"/>
  <c r="AL47" i="32"/>
  <c r="H51" i="40"/>
  <c r="O42" i="33"/>
  <c r="H52" i="40"/>
  <c r="G43" i="33"/>
  <c r="K43" i="33" s="1"/>
  <c r="I43" i="33"/>
  <c r="M43" i="33" s="1"/>
  <c r="H43" i="33"/>
  <c r="L43" i="33" s="1"/>
  <c r="J43" i="33"/>
  <c r="N43" i="33" s="1"/>
  <c r="C44" i="33"/>
  <c r="E44" i="33" s="1"/>
  <c r="D44" i="33"/>
  <c r="F44" i="33" s="1"/>
  <c r="B45" i="33"/>
  <c r="P42" i="33"/>
  <c r="I53" i="41"/>
  <c r="W53" i="41" s="1"/>
  <c r="X50" i="32"/>
  <c r="F53" i="41"/>
  <c r="T53" i="41" s="1"/>
  <c r="U50" i="32"/>
  <c r="H53" i="41"/>
  <c r="V53" i="41" s="1"/>
  <c r="W50" i="32"/>
  <c r="L53" i="41"/>
  <c r="Z53" i="41" s="1"/>
  <c r="AA50" i="32"/>
  <c r="AB49" i="32"/>
  <c r="K53" i="41"/>
  <c r="Y53" i="41" s="1"/>
  <c r="Z50" i="32"/>
  <c r="G53" i="41"/>
  <c r="U53" i="41" s="1"/>
  <c r="V50" i="32"/>
  <c r="AA52" i="41"/>
  <c r="N51" i="32"/>
  <c r="M54" i="41" s="1"/>
  <c r="I51" i="32"/>
  <c r="O51" i="32"/>
  <c r="N54" i="41" s="1"/>
  <c r="J51" i="32"/>
  <c r="P51" i="32"/>
  <c r="O54" i="41" s="1"/>
  <c r="K51" i="32"/>
  <c r="Q51" i="32"/>
  <c r="P54" i="41" s="1"/>
  <c r="L51" i="32"/>
  <c r="T51" i="32"/>
  <c r="S54" i="41" s="1"/>
  <c r="S51" i="32"/>
  <c r="R54" i="41" s="1"/>
  <c r="G51" i="32"/>
  <c r="H51" i="32"/>
  <c r="M51" i="32"/>
  <c r="R51" i="32"/>
  <c r="Q54" i="41" s="1"/>
  <c r="J53" i="41"/>
  <c r="X53" i="41" s="1"/>
  <c r="Y50" i="32"/>
  <c r="AJ49" i="32"/>
  <c r="AI49" i="41"/>
  <c r="AJ49" i="41" s="1"/>
  <c r="H53" i="40" s="1"/>
  <c r="AD50" i="32"/>
  <c r="AC50" i="41"/>
  <c r="AK47" i="41"/>
  <c r="AL47" i="41"/>
  <c r="AG50" i="32"/>
  <c r="AF50" i="41"/>
  <c r="AI50" i="32"/>
  <c r="AH50" i="41"/>
  <c r="AL48" i="41"/>
  <c r="AK48" i="41"/>
  <c r="AC50" i="32"/>
  <c r="AF50" i="32"/>
  <c r="AE50" i="41"/>
  <c r="AE50" i="32"/>
  <c r="AD50" i="41"/>
  <c r="AL48" i="32"/>
  <c r="AM48" i="32"/>
  <c r="AH50" i="32"/>
  <c r="AG50" i="41"/>
  <c r="D52" i="32"/>
  <c r="P43" i="33" l="1"/>
  <c r="AK49" i="32"/>
  <c r="L35" i="35" s="1"/>
  <c r="J44" i="33"/>
  <c r="N44" i="33" s="1"/>
  <c r="H44" i="33"/>
  <c r="L44" i="33" s="1"/>
  <c r="G44" i="33"/>
  <c r="K44" i="33" s="1"/>
  <c r="I44" i="33"/>
  <c r="M44" i="33" s="1"/>
  <c r="O43" i="33"/>
  <c r="C45" i="33"/>
  <c r="E45" i="33" s="1"/>
  <c r="B46" i="33"/>
  <c r="D45" i="33"/>
  <c r="F45" i="33" s="1"/>
  <c r="K54" i="41"/>
  <c r="Y54" i="41" s="1"/>
  <c r="Z51" i="32"/>
  <c r="J54" i="41"/>
  <c r="X54" i="41" s="1"/>
  <c r="Y51" i="32"/>
  <c r="O52" i="32"/>
  <c r="N55" i="41" s="1"/>
  <c r="AC55" i="41" s="1"/>
  <c r="J52" i="32"/>
  <c r="I55" i="41" s="1"/>
  <c r="W55" i="41" s="1"/>
  <c r="P52" i="32"/>
  <c r="O55" i="41" s="1"/>
  <c r="AD55" i="41" s="1"/>
  <c r="K52" i="32"/>
  <c r="J55" i="41" s="1"/>
  <c r="X55" i="41" s="1"/>
  <c r="Q52" i="32"/>
  <c r="P55" i="41" s="1"/>
  <c r="AE55" i="41" s="1"/>
  <c r="L52" i="32"/>
  <c r="K55" i="41" s="1"/>
  <c r="Y55" i="41" s="1"/>
  <c r="R52" i="32"/>
  <c r="Q55" i="41" s="1"/>
  <c r="AF55" i="41" s="1"/>
  <c r="M52" i="32"/>
  <c r="L55" i="41" s="1"/>
  <c r="Z55" i="41" s="1"/>
  <c r="H52" i="32"/>
  <c r="G55" i="41" s="1"/>
  <c r="U55" i="41" s="1"/>
  <c r="S52" i="32"/>
  <c r="R55" i="41" s="1"/>
  <c r="AG55" i="41" s="1"/>
  <c r="N52" i="32"/>
  <c r="M55" i="41" s="1"/>
  <c r="AB55" i="41" s="1"/>
  <c r="T52" i="32"/>
  <c r="S55" i="41" s="1"/>
  <c r="AH55" i="41" s="1"/>
  <c r="I52" i="32"/>
  <c r="H55" i="41" s="1"/>
  <c r="V55" i="41" s="1"/>
  <c r="G52" i="32"/>
  <c r="F55" i="41" s="1"/>
  <c r="T55" i="41" s="1"/>
  <c r="L54" i="41"/>
  <c r="Z54" i="41" s="1"/>
  <c r="AA51" i="32"/>
  <c r="G54" i="41"/>
  <c r="U54" i="41" s="1"/>
  <c r="V51" i="32"/>
  <c r="I54" i="41"/>
  <c r="W54" i="41" s="1"/>
  <c r="X51" i="32"/>
  <c r="AB50" i="32"/>
  <c r="F54" i="41"/>
  <c r="T54" i="41" s="1"/>
  <c r="U51" i="32"/>
  <c r="AA53" i="41"/>
  <c r="H54" i="41"/>
  <c r="V54" i="41" s="1"/>
  <c r="W51" i="32"/>
  <c r="AK49" i="41"/>
  <c r="AL49" i="41"/>
  <c r="AJ50" i="32"/>
  <c r="AI51" i="32"/>
  <c r="AH51" i="41"/>
  <c r="AE51" i="32"/>
  <c r="AD51" i="41"/>
  <c r="AI50" i="41"/>
  <c r="AJ50" i="41" s="1"/>
  <c r="AG51" i="32"/>
  <c r="AF51" i="41"/>
  <c r="AC51" i="32"/>
  <c r="AF51" i="32"/>
  <c r="AE51" i="41"/>
  <c r="AD51" i="32"/>
  <c r="AC51" i="41"/>
  <c r="AH51" i="32"/>
  <c r="AG51" i="41"/>
  <c r="D53" i="32"/>
  <c r="AM49" i="32" l="1"/>
  <c r="O44" i="33"/>
  <c r="AI55" i="41"/>
  <c r="AL49" i="32"/>
  <c r="AA55" i="41"/>
  <c r="H54" i="40"/>
  <c r="P44" i="33"/>
  <c r="H45" i="33"/>
  <c r="L45" i="33" s="1"/>
  <c r="J45" i="33"/>
  <c r="N45" i="33" s="1"/>
  <c r="C46" i="33"/>
  <c r="E46" i="33" s="1"/>
  <c r="D46" i="33"/>
  <c r="F46" i="33" s="1"/>
  <c r="G45" i="33"/>
  <c r="K45" i="33" s="1"/>
  <c r="I45" i="33"/>
  <c r="M45" i="33" s="1"/>
  <c r="P45" i="33" s="1"/>
  <c r="AK50" i="32"/>
  <c r="L36" i="35" s="1"/>
  <c r="Y52" i="32"/>
  <c r="X52" i="32"/>
  <c r="V52" i="32"/>
  <c r="AA52" i="32"/>
  <c r="AB51" i="32"/>
  <c r="U52" i="32"/>
  <c r="Z52" i="32"/>
  <c r="P53" i="32"/>
  <c r="O56" i="41" s="1"/>
  <c r="AD56" i="41" s="1"/>
  <c r="K53" i="32"/>
  <c r="Q53" i="32"/>
  <c r="P56" i="41" s="1"/>
  <c r="AE56" i="41" s="1"/>
  <c r="L53" i="32"/>
  <c r="R53" i="32"/>
  <c r="Q56" i="41" s="1"/>
  <c r="AF56" i="41" s="1"/>
  <c r="M53" i="32"/>
  <c r="S53" i="32"/>
  <c r="R56" i="41" s="1"/>
  <c r="AG56" i="41" s="1"/>
  <c r="G53" i="32"/>
  <c r="J53" i="32"/>
  <c r="N53" i="32"/>
  <c r="M56" i="41" s="1"/>
  <c r="AB56" i="41" s="1"/>
  <c r="T53" i="32"/>
  <c r="S56" i="41" s="1"/>
  <c r="AH56" i="41" s="1"/>
  <c r="H53" i="32"/>
  <c r="O53" i="32"/>
  <c r="N56" i="41" s="1"/>
  <c r="AC56" i="41" s="1"/>
  <c r="I53" i="32"/>
  <c r="W52" i="32"/>
  <c r="AA54" i="41"/>
  <c r="AJ51" i="32"/>
  <c r="AE52" i="32"/>
  <c r="AD52" i="41"/>
  <c r="AL50" i="41"/>
  <c r="AK50" i="41"/>
  <c r="AC52" i="32"/>
  <c r="AG52" i="32"/>
  <c r="AF52" i="41"/>
  <c r="AF52" i="32"/>
  <c r="AE52" i="41"/>
  <c r="AD52" i="32"/>
  <c r="AC52" i="41"/>
  <c r="AI52" i="32"/>
  <c r="AH52" i="41"/>
  <c r="AI51" i="41"/>
  <c r="AJ51" i="41" s="1"/>
  <c r="AH52" i="32"/>
  <c r="AG52" i="41"/>
  <c r="D54" i="32"/>
  <c r="AK51" i="32" l="1"/>
  <c r="L37" i="35" s="1"/>
  <c r="AJ55" i="41"/>
  <c r="H59" i="40" s="1"/>
  <c r="V53" i="32"/>
  <c r="G56" i="41"/>
  <c r="U56" i="41" s="1"/>
  <c r="U53" i="32"/>
  <c r="F56" i="41"/>
  <c r="T56" i="41" s="1"/>
  <c r="Z53" i="32"/>
  <c r="K56" i="41"/>
  <c r="Y56" i="41" s="1"/>
  <c r="AL50" i="32"/>
  <c r="H55" i="40"/>
  <c r="X53" i="32"/>
  <c r="I56" i="41"/>
  <c r="W56" i="41" s="1"/>
  <c r="AM50" i="32"/>
  <c r="W53" i="32"/>
  <c r="H56" i="41"/>
  <c r="V56" i="41" s="1"/>
  <c r="AI56" i="41"/>
  <c r="AA53" i="32"/>
  <c r="L56" i="41"/>
  <c r="Z56" i="41" s="1"/>
  <c r="Y53" i="32"/>
  <c r="J56" i="41"/>
  <c r="X56" i="41" s="1"/>
  <c r="I46" i="33"/>
  <c r="M46" i="33" s="1"/>
  <c r="G46" i="33"/>
  <c r="K46" i="33" s="1"/>
  <c r="J46" i="33"/>
  <c r="N46" i="33" s="1"/>
  <c r="H46" i="33"/>
  <c r="L46" i="33" s="1"/>
  <c r="O45" i="33"/>
  <c r="AB52" i="32"/>
  <c r="Q54" i="32"/>
  <c r="P57" i="41" s="1"/>
  <c r="AE57" i="41" s="1"/>
  <c r="L54" i="32"/>
  <c r="R54" i="32"/>
  <c r="Q57" i="41" s="1"/>
  <c r="AF57" i="41" s="1"/>
  <c r="M54" i="32"/>
  <c r="S54" i="32"/>
  <c r="R57" i="41" s="1"/>
  <c r="AG57" i="41" s="1"/>
  <c r="T54" i="32"/>
  <c r="S57" i="41" s="1"/>
  <c r="AH57" i="41" s="1"/>
  <c r="G54" i="32"/>
  <c r="O54" i="32"/>
  <c r="N57" i="41" s="1"/>
  <c r="AC57" i="41" s="1"/>
  <c r="J54" i="32"/>
  <c r="I54" i="32"/>
  <c r="H54" i="32"/>
  <c r="N54" i="32"/>
  <c r="M57" i="41" s="1"/>
  <c r="AB57" i="41" s="1"/>
  <c r="K54" i="32"/>
  <c r="P54" i="32"/>
  <c r="O57" i="41" s="1"/>
  <c r="AD57" i="41" s="1"/>
  <c r="AL51" i="32"/>
  <c r="AJ52" i="32"/>
  <c r="AF53" i="32"/>
  <c r="AE53" i="41"/>
  <c r="AK51" i="41"/>
  <c r="AL51" i="41"/>
  <c r="AH53" i="32"/>
  <c r="AG53" i="41"/>
  <c r="AD53" i="32"/>
  <c r="AC53" i="41"/>
  <c r="AI52" i="41"/>
  <c r="AJ52" i="41" s="1"/>
  <c r="AE53" i="32"/>
  <c r="AD53" i="41"/>
  <c r="AI53" i="32"/>
  <c r="AH53" i="41"/>
  <c r="AC53" i="32"/>
  <c r="AB53" i="41"/>
  <c r="AG53" i="32"/>
  <c r="AF53" i="41"/>
  <c r="D55" i="32"/>
  <c r="AM51" i="32" l="1"/>
  <c r="AK55" i="41"/>
  <c r="AL55" i="41"/>
  <c r="AA56" i="41"/>
  <c r="AJ56" i="41" s="1"/>
  <c r="AL56" i="41" s="1"/>
  <c r="AB53" i="32"/>
  <c r="Y54" i="32"/>
  <c r="J57" i="41"/>
  <c r="X57" i="41" s="1"/>
  <c r="V54" i="32"/>
  <c r="G57" i="41"/>
  <c r="U57" i="41" s="1"/>
  <c r="U54" i="32"/>
  <c r="F57" i="41"/>
  <c r="T57" i="41" s="1"/>
  <c r="X54" i="32"/>
  <c r="I57" i="41"/>
  <c r="W57" i="41" s="1"/>
  <c r="AI57" i="41"/>
  <c r="AA54" i="32"/>
  <c r="L57" i="41"/>
  <c r="Z57" i="41" s="1"/>
  <c r="H56" i="40"/>
  <c r="AK52" i="32"/>
  <c r="L38" i="35" s="1"/>
  <c r="W54" i="32"/>
  <c r="H57" i="41"/>
  <c r="V57" i="41" s="1"/>
  <c r="Z54" i="32"/>
  <c r="K57" i="41"/>
  <c r="Y57" i="41" s="1"/>
  <c r="O46" i="33"/>
  <c r="P46" i="33"/>
  <c r="R55" i="32"/>
  <c r="Q58" i="41" s="1"/>
  <c r="AF58" i="41" s="1"/>
  <c r="M55" i="32"/>
  <c r="S55" i="32"/>
  <c r="R58" i="41" s="1"/>
  <c r="AG58" i="41" s="1"/>
  <c r="T55" i="32"/>
  <c r="S58" i="41" s="1"/>
  <c r="AH58" i="41" s="1"/>
  <c r="G55" i="32"/>
  <c r="H55" i="32"/>
  <c r="N55" i="32"/>
  <c r="M58" i="41" s="1"/>
  <c r="AB58" i="41" s="1"/>
  <c r="I55" i="32"/>
  <c r="O55" i="32"/>
  <c r="N58" i="41" s="1"/>
  <c r="AC58" i="41" s="1"/>
  <c r="Q55" i="32"/>
  <c r="P58" i="41" s="1"/>
  <c r="AE58" i="41" s="1"/>
  <c r="P55" i="32"/>
  <c r="O58" i="41" s="1"/>
  <c r="AD58" i="41" s="1"/>
  <c r="J55" i="32"/>
  <c r="K55" i="32"/>
  <c r="L55" i="32"/>
  <c r="AJ53" i="32"/>
  <c r="AL52" i="41"/>
  <c r="AK52" i="41"/>
  <c r="AG54" i="32"/>
  <c r="AF54" i="41"/>
  <c r="AI54" i="32"/>
  <c r="AH54" i="41"/>
  <c r="AD54" i="32"/>
  <c r="AC54" i="41"/>
  <c r="AF54" i="32"/>
  <c r="AE54" i="41"/>
  <c r="AH54" i="32"/>
  <c r="AG54" i="41"/>
  <c r="AE54" i="32"/>
  <c r="AD54" i="41"/>
  <c r="AC54" i="32"/>
  <c r="AB54" i="41"/>
  <c r="AI53" i="41"/>
  <c r="AJ53" i="41" s="1"/>
  <c r="D56" i="32"/>
  <c r="C13" i="36"/>
  <c r="C14" i="36" s="1"/>
  <c r="C15" i="36" s="1"/>
  <c r="C16" i="36" s="1"/>
  <c r="C17" i="36" s="1"/>
  <c r="C18" i="36" s="1"/>
  <c r="C19" i="36" s="1"/>
  <c r="C20" i="36" s="1"/>
  <c r="C21" i="36" s="1"/>
  <c r="C22" i="36" s="1"/>
  <c r="C23" i="36" s="1"/>
  <c r="C24" i="36" s="1"/>
  <c r="C25" i="36" s="1"/>
  <c r="C26" i="36" s="1"/>
  <c r="C27" i="36" s="1"/>
  <c r="C28" i="36" s="1"/>
  <c r="C29" i="36" s="1"/>
  <c r="C30" i="36" s="1"/>
  <c r="C31" i="36" s="1"/>
  <c r="C32" i="36" s="1"/>
  <c r="C33" i="36" s="1"/>
  <c r="C34" i="36" s="1"/>
  <c r="C35" i="36" s="1"/>
  <c r="C36" i="36" s="1"/>
  <c r="C37" i="36" s="1"/>
  <c r="C38" i="36" s="1"/>
  <c r="B12" i="36"/>
  <c r="D12" i="36" s="1"/>
  <c r="F12" i="36" l="1"/>
  <c r="E12" i="36"/>
  <c r="C39" i="36"/>
  <c r="AL52" i="32"/>
  <c r="H60" i="40"/>
  <c r="AK56" i="41"/>
  <c r="AK53" i="32"/>
  <c r="L39" i="35" s="1"/>
  <c r="AB54" i="32"/>
  <c r="W55" i="32"/>
  <c r="H58" i="41"/>
  <c r="V58" i="41" s="1"/>
  <c r="Y55" i="32"/>
  <c r="J58" i="41"/>
  <c r="X58" i="41" s="1"/>
  <c r="U55" i="32"/>
  <c r="F58" i="41"/>
  <c r="T58" i="41" s="1"/>
  <c r="H57" i="40"/>
  <c r="X55" i="32"/>
  <c r="I58" i="41"/>
  <c r="W58" i="41" s="1"/>
  <c r="AA57" i="41"/>
  <c r="AI58" i="41"/>
  <c r="AM52" i="32"/>
  <c r="Z55" i="32"/>
  <c r="K58" i="41"/>
  <c r="Y58" i="41" s="1"/>
  <c r="V55" i="32"/>
  <c r="G58" i="41"/>
  <c r="U58" i="41" s="1"/>
  <c r="AA55" i="32"/>
  <c r="L58" i="41"/>
  <c r="Z58" i="41" s="1"/>
  <c r="D57" i="32"/>
  <c r="S56" i="32"/>
  <c r="R59" i="41" s="1"/>
  <c r="AG59" i="41" s="1"/>
  <c r="T56" i="32"/>
  <c r="G56" i="32"/>
  <c r="H56" i="32"/>
  <c r="N56" i="32"/>
  <c r="M59" i="41" s="1"/>
  <c r="AB59" i="41" s="1"/>
  <c r="I56" i="32"/>
  <c r="Q56" i="32"/>
  <c r="P59" i="41" s="1"/>
  <c r="AE59" i="41" s="1"/>
  <c r="L56" i="32"/>
  <c r="K56" i="32"/>
  <c r="O56" i="32"/>
  <c r="N59" i="41" s="1"/>
  <c r="AC59" i="41" s="1"/>
  <c r="M56" i="32"/>
  <c r="P56" i="32"/>
  <c r="R56" i="32"/>
  <c r="J56" i="32"/>
  <c r="AJ54" i="32"/>
  <c r="D58" i="32"/>
  <c r="AE55" i="32"/>
  <c r="AD55" i="32"/>
  <c r="AK53" i="41"/>
  <c r="AL53" i="41"/>
  <c r="AH55" i="32"/>
  <c r="AG55" i="32"/>
  <c r="AI54" i="41"/>
  <c r="AJ54" i="41" s="1"/>
  <c r="AF55" i="32"/>
  <c r="AC55" i="32"/>
  <c r="AI55" i="32"/>
  <c r="B13" i="36"/>
  <c r="D13" i="36" s="1"/>
  <c r="AL53" i="32" l="1"/>
  <c r="AM53" i="32"/>
  <c r="F13" i="36"/>
  <c r="E13" i="36"/>
  <c r="AF56" i="32"/>
  <c r="AD56" i="32"/>
  <c r="C40" i="36"/>
  <c r="AK54" i="32"/>
  <c r="AL54" i="32" s="1"/>
  <c r="AB55" i="32"/>
  <c r="AC56" i="32"/>
  <c r="AH56" i="32"/>
  <c r="H58" i="40"/>
  <c r="AE56" i="32"/>
  <c r="O59" i="41"/>
  <c r="AD59" i="41" s="1"/>
  <c r="Z56" i="32"/>
  <c r="K59" i="41"/>
  <c r="Y59" i="41" s="1"/>
  <c r="U56" i="32"/>
  <c r="F59" i="41"/>
  <c r="T59" i="41" s="1"/>
  <c r="X56" i="32"/>
  <c r="I59" i="41"/>
  <c r="W59" i="41" s="1"/>
  <c r="W56" i="32"/>
  <c r="H59" i="41"/>
  <c r="V59" i="41" s="1"/>
  <c r="AI56" i="32"/>
  <c r="S59" i="41"/>
  <c r="AH59" i="41" s="1"/>
  <c r="AA58" i="41"/>
  <c r="AJ58" i="41" s="1"/>
  <c r="AJ57" i="41"/>
  <c r="V56" i="32"/>
  <c r="G59" i="41"/>
  <c r="U59" i="41" s="1"/>
  <c r="AA56" i="32"/>
  <c r="L59" i="41"/>
  <c r="Z59" i="41" s="1"/>
  <c r="AG56" i="32"/>
  <c r="Q59" i="41"/>
  <c r="AF59" i="41" s="1"/>
  <c r="Y56" i="32"/>
  <c r="J59" i="41"/>
  <c r="X59" i="41" s="1"/>
  <c r="H58" i="32"/>
  <c r="N58" i="32"/>
  <c r="M61" i="41" s="1"/>
  <c r="AB61" i="41" s="1"/>
  <c r="I58" i="32"/>
  <c r="O58" i="32"/>
  <c r="N61" i="41" s="1"/>
  <c r="AC61" i="41" s="1"/>
  <c r="J58" i="32"/>
  <c r="P58" i="32"/>
  <c r="K58" i="32"/>
  <c r="S58" i="32"/>
  <c r="Q58" i="32"/>
  <c r="P61" i="41" s="1"/>
  <c r="AE61" i="41" s="1"/>
  <c r="R58" i="32"/>
  <c r="Q61" i="41" s="1"/>
  <c r="AF61" i="41" s="1"/>
  <c r="T58" i="32"/>
  <c r="L58" i="32"/>
  <c r="M58" i="32"/>
  <c r="G58" i="32"/>
  <c r="T57" i="32"/>
  <c r="G57" i="32"/>
  <c r="H57" i="32"/>
  <c r="N57" i="32"/>
  <c r="I57" i="32"/>
  <c r="O57" i="32"/>
  <c r="J57" i="32"/>
  <c r="P57" i="32"/>
  <c r="K57" i="32"/>
  <c r="S57" i="32"/>
  <c r="L57" i="32"/>
  <c r="Q57" i="32"/>
  <c r="M57" i="32"/>
  <c r="R57" i="32"/>
  <c r="AF58" i="32"/>
  <c r="AJ55" i="32"/>
  <c r="AL54" i="41"/>
  <c r="AK54" i="41"/>
  <c r="B14" i="36"/>
  <c r="D14" i="36" s="1"/>
  <c r="AK55" i="32" l="1"/>
  <c r="L41" i="35" s="1"/>
  <c r="F14" i="36"/>
  <c r="E14" i="36"/>
  <c r="AD58" i="32"/>
  <c r="L40" i="35"/>
  <c r="AM54" i="32"/>
  <c r="C41" i="36"/>
  <c r="AI59" i="41"/>
  <c r="AJ56" i="32"/>
  <c r="AB56" i="32"/>
  <c r="AG58" i="32"/>
  <c r="AE57" i="32"/>
  <c r="O60" i="41"/>
  <c r="AD60" i="41" s="1"/>
  <c r="W58" i="32"/>
  <c r="H61" i="41"/>
  <c r="V61" i="41" s="1"/>
  <c r="Z57" i="32"/>
  <c r="K60" i="41"/>
  <c r="Y60" i="41" s="1"/>
  <c r="U58" i="32"/>
  <c r="F61" i="41"/>
  <c r="T61" i="41" s="1"/>
  <c r="AC58" i="32"/>
  <c r="AG57" i="32"/>
  <c r="Q60" i="41"/>
  <c r="AF60" i="41" s="1"/>
  <c r="AH57" i="32"/>
  <c r="R60" i="41"/>
  <c r="AG60" i="41" s="1"/>
  <c r="AD57" i="32"/>
  <c r="N60" i="41"/>
  <c r="AC60" i="41" s="1"/>
  <c r="U57" i="32"/>
  <c r="F60" i="41"/>
  <c r="T60" i="41" s="1"/>
  <c r="AA58" i="32"/>
  <c r="L61" i="41"/>
  <c r="Z61" i="41" s="1"/>
  <c r="X58" i="32"/>
  <c r="I61" i="41"/>
  <c r="W61" i="41" s="1"/>
  <c r="V58" i="32"/>
  <c r="G61" i="41"/>
  <c r="U61" i="41" s="1"/>
  <c r="H61" i="40"/>
  <c r="AK57" i="41"/>
  <c r="AL57" i="41"/>
  <c r="AF57" i="32"/>
  <c r="P60" i="41"/>
  <c r="AE60" i="41" s="1"/>
  <c r="AC57" i="32"/>
  <c r="M60" i="41"/>
  <c r="AB60" i="41" s="1"/>
  <c r="AI58" i="32"/>
  <c r="S61" i="41"/>
  <c r="AH61" i="41" s="1"/>
  <c r="Y58" i="32"/>
  <c r="J61" i="41"/>
  <c r="X61" i="41" s="1"/>
  <c r="X57" i="32"/>
  <c r="I60" i="41"/>
  <c r="W60" i="41" s="1"/>
  <c r="V57" i="32"/>
  <c r="G60" i="41"/>
  <c r="U60" i="41" s="1"/>
  <c r="AE58" i="32"/>
  <c r="O61" i="41"/>
  <c r="AD61" i="41" s="1"/>
  <c r="AA57" i="32"/>
  <c r="L60" i="41"/>
  <c r="Z60" i="41" s="1"/>
  <c r="Y57" i="32"/>
  <c r="J60" i="41"/>
  <c r="X60" i="41" s="1"/>
  <c r="W57" i="32"/>
  <c r="H60" i="41"/>
  <c r="V60" i="41" s="1"/>
  <c r="AI57" i="32"/>
  <c r="S60" i="41"/>
  <c r="AH60" i="41" s="1"/>
  <c r="Z58" i="32"/>
  <c r="K61" i="41"/>
  <c r="Y61" i="41" s="1"/>
  <c r="AH58" i="32"/>
  <c r="R61" i="41"/>
  <c r="AG61" i="41" s="1"/>
  <c r="H62" i="40"/>
  <c r="AL58" i="41"/>
  <c r="AK58" i="41"/>
  <c r="AA59" i="41"/>
  <c r="AM55" i="32"/>
  <c r="B15" i="36"/>
  <c r="D15" i="36" s="1"/>
  <c r="AJ59" i="41" l="1"/>
  <c r="AL55" i="32"/>
  <c r="F15" i="36"/>
  <c r="E15" i="36"/>
  <c r="AK56" i="32"/>
  <c r="AL56" i="32" s="1"/>
  <c r="AJ58" i="32"/>
  <c r="C42" i="36"/>
  <c r="AA60" i="41"/>
  <c r="AI61" i="41"/>
  <c r="AB57" i="32"/>
  <c r="AJ57" i="32"/>
  <c r="AB58" i="32"/>
  <c r="AI60" i="41"/>
  <c r="AI62" i="41" s="1"/>
  <c r="L42" i="35"/>
  <c r="AA61" i="41"/>
  <c r="H63" i="40"/>
  <c r="AL59" i="41"/>
  <c r="AK59" i="41"/>
  <c r="B16" i="36"/>
  <c r="D16" i="36" s="1"/>
  <c r="AM56" i="32" l="1"/>
  <c r="AK58" i="32"/>
  <c r="AJ59" i="32"/>
  <c r="F16" i="36"/>
  <c r="E16" i="36"/>
  <c r="AB59" i="32"/>
  <c r="C43" i="36"/>
  <c r="AJ61" i="41"/>
  <c r="H65" i="40" s="1"/>
  <c r="AK57" i="32"/>
  <c r="AK59" i="32" s="1"/>
  <c r="C6" i="39" s="1"/>
  <c r="AA62" i="41"/>
  <c r="L44" i="35"/>
  <c r="AJ60" i="41"/>
  <c r="AM58" i="32"/>
  <c r="AL58" i="32"/>
  <c r="B17" i="36"/>
  <c r="D17" i="36" s="1"/>
  <c r="F17" i="36" l="1"/>
  <c r="E17" i="36"/>
  <c r="C44" i="36"/>
  <c r="AK61" i="41"/>
  <c r="AL61" i="41"/>
  <c r="L43" i="35"/>
  <c r="L45" i="35" s="1"/>
  <c r="AL57" i="32"/>
  <c r="AL59" i="32" s="1"/>
  <c r="D6" i="39" s="1"/>
  <c r="AM57" i="32"/>
  <c r="AM59" i="32" s="1"/>
  <c r="E6" i="39" s="1"/>
  <c r="H64" i="40"/>
  <c r="AL60" i="41"/>
  <c r="AK60" i="41"/>
  <c r="AJ62" i="41"/>
  <c r="B18" i="36"/>
  <c r="D18" i="36" s="1"/>
  <c r="AL62" i="41" l="1"/>
  <c r="F18" i="36"/>
  <c r="E18" i="36"/>
  <c r="C45" i="36"/>
  <c r="AK62" i="41"/>
  <c r="H66" i="40"/>
  <c r="B19" i="36"/>
  <c r="D19" i="36" s="1"/>
  <c r="F19" i="36" l="1"/>
  <c r="E19" i="36"/>
  <c r="C46" i="36"/>
  <c r="B20" i="36"/>
  <c r="D20" i="36" s="1"/>
  <c r="F20" i="36" l="1"/>
  <c r="E20" i="36"/>
  <c r="C47" i="36"/>
  <c r="B21" i="36"/>
  <c r="D21" i="36" s="1"/>
  <c r="F21" i="36" l="1"/>
  <c r="E21" i="36"/>
  <c r="B22" i="36"/>
  <c r="D22" i="36" s="1"/>
  <c r="F22" i="36" l="1"/>
  <c r="E22" i="36"/>
  <c r="B23" i="36"/>
  <c r="D23" i="36" s="1"/>
  <c r="F23" i="36" l="1"/>
  <c r="E23" i="36"/>
  <c r="B24" i="36"/>
  <c r="D24" i="36" s="1"/>
  <c r="F24" i="36" l="1"/>
  <c r="E24" i="36"/>
  <c r="B25" i="36"/>
  <c r="D25" i="36" s="1"/>
  <c r="F25" i="36" l="1"/>
  <c r="E25" i="36"/>
  <c r="B26" i="36"/>
  <c r="D26" i="36" s="1"/>
  <c r="F26" i="36" l="1"/>
  <c r="E26" i="36"/>
  <c r="B27" i="36"/>
  <c r="D27" i="36" s="1"/>
  <c r="F27" i="36" l="1"/>
  <c r="E27" i="36"/>
  <c r="B28" i="36"/>
  <c r="D28" i="36" s="1"/>
  <c r="F28" i="36" l="1"/>
  <c r="E28" i="36"/>
  <c r="B29" i="36"/>
  <c r="D29" i="36" s="1"/>
  <c r="F29" i="36" l="1"/>
  <c r="E29" i="36"/>
  <c r="B30" i="36"/>
  <c r="D30" i="36" s="1"/>
  <c r="F30" i="36" l="1"/>
  <c r="E30" i="36"/>
  <c r="B31" i="36"/>
  <c r="D31" i="36" s="1"/>
  <c r="F31" i="36" l="1"/>
  <c r="E31" i="36"/>
  <c r="B32" i="36"/>
  <c r="D32" i="36" s="1"/>
  <c r="F32" i="36" l="1"/>
  <c r="E32" i="36"/>
  <c r="B33" i="36"/>
  <c r="D33" i="36" s="1"/>
  <c r="F33" i="36" l="1"/>
  <c r="E33" i="36"/>
  <c r="B34" i="36"/>
  <c r="D34" i="36" s="1"/>
  <c r="F34" i="36" l="1"/>
  <c r="E34" i="36"/>
  <c r="B35" i="36"/>
  <c r="D35" i="36" s="1"/>
  <c r="F35" i="36" l="1"/>
  <c r="E35" i="36"/>
  <c r="B36" i="36"/>
  <c r="D36" i="36" s="1"/>
  <c r="F36" i="36" l="1"/>
  <c r="E36" i="36"/>
  <c r="B37" i="36"/>
  <c r="D37" i="36" s="1"/>
  <c r="E24" i="24"/>
  <c r="E23" i="24"/>
  <c r="F37" i="36" l="1"/>
  <c r="E37" i="36"/>
  <c r="B38" i="36"/>
  <c r="D38" i="36" s="1"/>
  <c r="F38" i="36" l="1"/>
  <c r="E38" i="36"/>
  <c r="B39" i="36"/>
  <c r="D39" i="36" s="1"/>
  <c r="F39" i="36" l="1"/>
  <c r="E39" i="36"/>
  <c r="B40" i="36"/>
  <c r="D40" i="36" s="1"/>
  <c r="K20" i="25"/>
  <c r="J20" i="25"/>
  <c r="C10" i="24"/>
  <c r="F40" i="36" l="1"/>
  <c r="E40" i="36"/>
  <c r="AL4" i="31"/>
  <c r="D4" i="31"/>
  <c r="L4" i="31" s="1"/>
  <c r="C4" i="31"/>
  <c r="K4" i="31" s="1"/>
  <c r="D12" i="28"/>
  <c r="F30" i="40"/>
  <c r="E30" i="40"/>
  <c r="G30" i="40"/>
  <c r="AL5" i="31"/>
  <c r="G31" i="40"/>
  <c r="C5" i="31"/>
  <c r="K5" i="31" s="1"/>
  <c r="E32" i="40"/>
  <c r="G32" i="40"/>
  <c r="F31" i="40"/>
  <c r="F32" i="40"/>
  <c r="E31" i="40"/>
  <c r="D5" i="31"/>
  <c r="L5" i="31" s="1"/>
  <c r="AL6" i="31"/>
  <c r="C6" i="31"/>
  <c r="K6" i="31" s="1"/>
  <c r="E33" i="40"/>
  <c r="D6" i="31"/>
  <c r="L6" i="31" s="1"/>
  <c r="F33" i="40"/>
  <c r="G33" i="40"/>
  <c r="AL7" i="31"/>
  <c r="D7" i="31"/>
  <c r="L7" i="31" s="1"/>
  <c r="C7" i="31"/>
  <c r="K7" i="31" s="1"/>
  <c r="F34" i="40"/>
  <c r="G34" i="40"/>
  <c r="E34" i="40"/>
  <c r="AL8" i="31"/>
  <c r="D8" i="31"/>
  <c r="L8" i="31" s="1"/>
  <c r="G35" i="40"/>
  <c r="C8" i="31"/>
  <c r="K8" i="31" s="1"/>
  <c r="F35" i="40"/>
  <c r="E35" i="40"/>
  <c r="AL9" i="31"/>
  <c r="C9" i="31"/>
  <c r="K9" i="31" s="1"/>
  <c r="E36" i="40"/>
  <c r="D9" i="31"/>
  <c r="L9" i="31" s="1"/>
  <c r="G36" i="40"/>
  <c r="F36" i="40"/>
  <c r="E37" i="40"/>
  <c r="D10" i="31"/>
  <c r="L10" i="31" s="1"/>
  <c r="C10" i="31"/>
  <c r="K10" i="31" s="1"/>
  <c r="G37" i="40"/>
  <c r="F37" i="40"/>
  <c r="F38" i="40"/>
  <c r="E38" i="40"/>
  <c r="G38" i="40"/>
  <c r="G39" i="40"/>
  <c r="E39" i="40"/>
  <c r="F39" i="40"/>
  <c r="G40" i="40"/>
  <c r="F40" i="40"/>
  <c r="E40" i="40"/>
  <c r="E41" i="40"/>
  <c r="G41" i="40"/>
  <c r="F41" i="40"/>
  <c r="F42" i="40"/>
  <c r="E42" i="40"/>
  <c r="G42" i="40"/>
  <c r="G43" i="40"/>
  <c r="F43" i="40"/>
  <c r="E43" i="40"/>
  <c r="G44" i="40"/>
  <c r="F44" i="40"/>
  <c r="E44" i="40"/>
  <c r="E45" i="40"/>
  <c r="G45" i="40"/>
  <c r="F45" i="40"/>
  <c r="G46" i="40"/>
  <c r="F46" i="40"/>
  <c r="E46" i="40"/>
  <c r="E47" i="40"/>
  <c r="G47" i="40"/>
  <c r="F47" i="40"/>
  <c r="G48" i="40"/>
  <c r="F48" i="40"/>
  <c r="E48" i="40"/>
  <c r="G49" i="40"/>
  <c r="F49" i="40"/>
  <c r="E49" i="40"/>
  <c r="E50" i="40"/>
  <c r="G50" i="40"/>
  <c r="F50" i="40"/>
  <c r="F51" i="40"/>
  <c r="G51" i="40"/>
  <c r="E51" i="40"/>
  <c r="E52" i="40"/>
  <c r="G52" i="40"/>
  <c r="F52" i="40"/>
  <c r="G53" i="40"/>
  <c r="F53" i="40"/>
  <c r="E53" i="40"/>
  <c r="G54" i="40"/>
  <c r="D55" i="40"/>
  <c r="F54" i="40"/>
  <c r="E54" i="40"/>
  <c r="G55" i="40"/>
  <c r="E56" i="40"/>
  <c r="G56" i="40"/>
  <c r="F55" i="40"/>
  <c r="F56" i="40"/>
  <c r="E55" i="40"/>
  <c r="D56" i="40"/>
  <c r="F57" i="40"/>
  <c r="E57" i="40"/>
  <c r="D57" i="40"/>
  <c r="G57" i="40"/>
  <c r="E58" i="40"/>
  <c r="D30" i="31"/>
  <c r="L30" i="31" s="1"/>
  <c r="G58" i="40"/>
  <c r="D58" i="40"/>
  <c r="AL30" i="31"/>
  <c r="F58" i="40"/>
  <c r="D41" i="28"/>
  <c r="C30" i="31"/>
  <c r="K30" i="31" s="1"/>
  <c r="AL31" i="31"/>
  <c r="G59" i="40"/>
  <c r="F59" i="40"/>
  <c r="D59" i="40"/>
  <c r="D42" i="28"/>
  <c r="E59" i="40"/>
  <c r="D31" i="31"/>
  <c r="L31" i="31" s="1"/>
  <c r="C31" i="31"/>
  <c r="K31" i="31" s="1"/>
  <c r="E60" i="40"/>
  <c r="AL32" i="31"/>
  <c r="D32" i="31"/>
  <c r="L32" i="31" s="1"/>
  <c r="G60" i="40"/>
  <c r="D43" i="28"/>
  <c r="C32" i="31"/>
  <c r="K32" i="31" s="1"/>
  <c r="F60" i="40"/>
  <c r="D60" i="40"/>
  <c r="D61" i="40"/>
  <c r="E61" i="40"/>
  <c r="D33" i="31"/>
  <c r="L33" i="31" s="1"/>
  <c r="D44" i="28"/>
  <c r="F61" i="40"/>
  <c r="G61" i="40"/>
  <c r="AL33" i="31"/>
  <c r="C33" i="31"/>
  <c r="K33" i="31" s="1"/>
  <c r="D46" i="28"/>
  <c r="E62" i="40"/>
  <c r="G62" i="40"/>
  <c r="C34" i="31"/>
  <c r="K34" i="31" s="1"/>
  <c r="D62" i="40"/>
  <c r="D45" i="28"/>
  <c r="D34" i="31"/>
  <c r="L34" i="31" s="1"/>
  <c r="F62" i="40"/>
  <c r="AL34" i="31"/>
  <c r="E63" i="40"/>
  <c r="D35" i="31"/>
  <c r="L35" i="31" s="1"/>
  <c r="D47" i="28"/>
  <c r="AL35" i="31"/>
  <c r="G63" i="40"/>
  <c r="D63" i="40"/>
  <c r="F63" i="40"/>
  <c r="C35" i="31"/>
  <c r="K35" i="31" s="1"/>
  <c r="G64" i="40"/>
  <c r="AL36" i="31"/>
  <c r="F64" i="40"/>
  <c r="D36" i="31"/>
  <c r="L36" i="31" s="1"/>
  <c r="E64" i="40"/>
  <c r="C36" i="31"/>
  <c r="K36" i="31" s="1"/>
  <c r="D64" i="40"/>
  <c r="G65" i="40"/>
  <c r="F65" i="40"/>
  <c r="D37" i="31"/>
  <c r="L37" i="31" s="1"/>
  <c r="C37" i="31"/>
  <c r="K37" i="31" s="1"/>
  <c r="E65" i="40"/>
  <c r="AL37" i="31"/>
  <c r="D65" i="40"/>
  <c r="C38" i="31"/>
  <c r="K38" i="31" s="1"/>
  <c r="AL38" i="31"/>
  <c r="D38" i="31"/>
  <c r="L38" i="31" s="1"/>
  <c r="D39" i="31"/>
  <c r="L39" i="31" s="1"/>
  <c r="AL39" i="31"/>
  <c r="C39" i="31"/>
  <c r="K39" i="31" s="1"/>
  <c r="G13" i="36"/>
  <c r="O10" i="35" s="1"/>
  <c r="B41" i="36"/>
  <c r="D41" i="36" s="1"/>
  <c r="F23" i="32"/>
  <c r="D31" i="40"/>
  <c r="D13" i="28"/>
  <c r="D30" i="40"/>
  <c r="D14" i="28"/>
  <c r="D32" i="40"/>
  <c r="D15" i="28"/>
  <c r="D33" i="40"/>
  <c r="D16" i="28"/>
  <c r="D17" i="28"/>
  <c r="D34" i="40"/>
  <c r="D35" i="40"/>
  <c r="D18" i="28"/>
  <c r="D36" i="40"/>
  <c r="D19" i="28"/>
  <c r="D20" i="28"/>
  <c r="D37" i="40"/>
  <c r="D38" i="40"/>
  <c r="D21" i="28"/>
  <c r="D22" i="28"/>
  <c r="D39" i="40"/>
  <c r="D40" i="40"/>
  <c r="D23" i="28"/>
  <c r="D41" i="40"/>
  <c r="D24" i="28"/>
  <c r="D42" i="40"/>
  <c r="D25" i="28"/>
  <c r="D26" i="28"/>
  <c r="D43" i="40"/>
  <c r="D27" i="28"/>
  <c r="D44" i="40"/>
  <c r="D28" i="28"/>
  <c r="D45" i="40"/>
  <c r="D46" i="40"/>
  <c r="D29" i="28"/>
  <c r="D47" i="40"/>
  <c r="D30" i="28"/>
  <c r="D31" i="28"/>
  <c r="D48" i="40"/>
  <c r="D32" i="28"/>
  <c r="F24" i="32"/>
  <c r="D49" i="40"/>
  <c r="D33" i="28"/>
  <c r="D50" i="40"/>
  <c r="F25" i="32"/>
  <c r="D51" i="40"/>
  <c r="F26" i="32"/>
  <c r="D34" i="28"/>
  <c r="F27" i="32"/>
  <c r="D35" i="28"/>
  <c r="D52" i="40"/>
  <c r="F28" i="32"/>
  <c r="D36" i="28"/>
  <c r="D53" i="40"/>
  <c r="D54" i="40"/>
  <c r="F29" i="32"/>
  <c r="D37" i="28"/>
  <c r="F30" i="32"/>
  <c r="D38" i="28"/>
  <c r="F31" i="32"/>
  <c r="D39" i="28"/>
  <c r="F32" i="32"/>
  <c r="D40" i="28"/>
  <c r="F33" i="32"/>
  <c r="F34" i="32"/>
  <c r="F35" i="32"/>
  <c r="F36" i="32"/>
  <c r="F37" i="32"/>
  <c r="F38" i="32"/>
  <c r="F39" i="32"/>
  <c r="F40" i="32"/>
  <c r="F41" i="32"/>
  <c r="F42" i="32"/>
  <c r="F43" i="32"/>
  <c r="F44" i="32"/>
  <c r="F45" i="32"/>
  <c r="F46" i="32"/>
  <c r="F47" i="32"/>
  <c r="F48" i="32"/>
  <c r="F49" i="32"/>
  <c r="F50" i="32"/>
  <c r="F51" i="32"/>
  <c r="F52" i="32"/>
  <c r="F53" i="32"/>
  <c r="F54" i="32"/>
  <c r="F55" i="32"/>
  <c r="F56" i="32"/>
  <c r="F57" i="32"/>
  <c r="F58" i="32"/>
  <c r="I10" i="35"/>
  <c r="I11" i="35" s="1"/>
  <c r="I12" i="35" s="1"/>
  <c r="I13" i="35" s="1"/>
  <c r="I14" i="35" s="1"/>
  <c r="I15" i="35" s="1"/>
  <c r="I16" i="35" s="1"/>
  <c r="I17" i="35" s="1"/>
  <c r="I18" i="35" s="1"/>
  <c r="I19" i="35" s="1"/>
  <c r="I20" i="35" s="1"/>
  <c r="I21" i="35" s="1"/>
  <c r="I22" i="35" s="1"/>
  <c r="I23" i="35" s="1"/>
  <c r="I24" i="35" s="1"/>
  <c r="I25" i="35" s="1"/>
  <c r="I26" i="35" s="1"/>
  <c r="I27" i="35" s="1"/>
  <c r="I28" i="35" s="1"/>
  <c r="I29" i="35" s="1"/>
  <c r="I30" i="35" s="1"/>
  <c r="I31" i="35" s="1"/>
  <c r="I32" i="35" s="1"/>
  <c r="I33" i="35" s="1"/>
  <c r="I34" i="35" s="1"/>
  <c r="I35" i="35" s="1"/>
  <c r="I36" i="35" s="1"/>
  <c r="I37" i="35" s="1"/>
  <c r="H9" i="35"/>
  <c r="H10" i="35" s="1"/>
  <c r="H11" i="35" s="1"/>
  <c r="H12" i="35" s="1"/>
  <c r="H13" i="35" s="1"/>
  <c r="H14" i="35" s="1"/>
  <c r="H15" i="35" s="1"/>
  <c r="H16" i="35" s="1"/>
  <c r="H17" i="35" s="1"/>
  <c r="H18" i="35" s="1"/>
  <c r="H19" i="35" s="1"/>
  <c r="H20" i="35" s="1"/>
  <c r="H21" i="35" s="1"/>
  <c r="H22" i="35" s="1"/>
  <c r="H23" i="35" s="1"/>
  <c r="H24" i="35" s="1"/>
  <c r="H25" i="35" s="1"/>
  <c r="H26" i="35" s="1"/>
  <c r="H27" i="35" s="1"/>
  <c r="H28" i="35" s="1"/>
  <c r="H29" i="35" s="1"/>
  <c r="H30" i="35" s="1"/>
  <c r="H31" i="35" s="1"/>
  <c r="H32" i="35" s="1"/>
  <c r="H33" i="35" s="1"/>
  <c r="H34" i="35" s="1"/>
  <c r="H35" i="35" s="1"/>
  <c r="H36" i="35" s="1"/>
  <c r="H37" i="35" s="1"/>
  <c r="H38" i="35" s="1"/>
  <c r="H39" i="35" s="1"/>
  <c r="H40" i="35" s="1"/>
  <c r="H41" i="35" s="1"/>
  <c r="H42" i="35" s="1"/>
  <c r="H43" i="35" s="1"/>
  <c r="H44" i="35" s="1"/>
  <c r="L20" i="25"/>
  <c r="B10" i="35"/>
  <c r="B11" i="35" s="1"/>
  <c r="B12" i="35" s="1"/>
  <c r="B13" i="35" s="1"/>
  <c r="B14" i="35" s="1"/>
  <c r="B15" i="35" s="1"/>
  <c r="B16" i="35" s="1"/>
  <c r="B17" i="35" s="1"/>
  <c r="B18" i="35" s="1"/>
  <c r="B19" i="35" s="1"/>
  <c r="B20" i="35" s="1"/>
  <c r="B21" i="35" s="1"/>
  <c r="B22" i="35" s="1"/>
  <c r="B23" i="35" s="1"/>
  <c r="B24" i="35" s="1"/>
  <c r="B25" i="35" s="1"/>
  <c r="B26" i="35" s="1"/>
  <c r="B27" i="35" s="1"/>
  <c r="B28" i="35" s="1"/>
  <c r="B29" i="35" s="1"/>
  <c r="B30" i="35" s="1"/>
  <c r="B31" i="35" s="1"/>
  <c r="B32" i="35" s="1"/>
  <c r="B33" i="35" s="1"/>
  <c r="B34" i="35" s="1"/>
  <c r="B35" i="35" s="1"/>
  <c r="B36" i="35" s="1"/>
  <c r="B37" i="35" s="1"/>
  <c r="A9" i="35"/>
  <c r="A10" i="35" s="1"/>
  <c r="A11" i="35" s="1"/>
  <c r="A12" i="35" s="1"/>
  <c r="A13" i="35" s="1"/>
  <c r="A14" i="35" s="1"/>
  <c r="A15" i="35" s="1"/>
  <c r="A16" i="35" s="1"/>
  <c r="A17" i="35" s="1"/>
  <c r="A18" i="35" s="1"/>
  <c r="A19" i="35" s="1"/>
  <c r="A20" i="35" s="1"/>
  <c r="A21" i="35" s="1"/>
  <c r="A22" i="35" s="1"/>
  <c r="A23" i="35" s="1"/>
  <c r="A24" i="35" s="1"/>
  <c r="A25" i="35" s="1"/>
  <c r="A26" i="35" s="1"/>
  <c r="A27" i="35" s="1"/>
  <c r="A28" i="35" s="1"/>
  <c r="A29" i="35" s="1"/>
  <c r="A30" i="35" s="1"/>
  <c r="A31" i="35" s="1"/>
  <c r="A32" i="35" s="1"/>
  <c r="A33" i="35" s="1"/>
  <c r="A34" i="35" s="1"/>
  <c r="A35" i="35" s="1"/>
  <c r="A36" i="35" s="1"/>
  <c r="A37" i="35" s="1"/>
  <c r="A38" i="35" s="1"/>
  <c r="A39" i="35" s="1"/>
  <c r="A40" i="35" s="1"/>
  <c r="A41" i="35" s="1"/>
  <c r="A42" i="35" s="1"/>
  <c r="A43" i="35" s="1"/>
  <c r="A44" i="35" s="1"/>
  <c r="E22" i="24"/>
  <c r="E21" i="24"/>
  <c r="M37" i="31" l="1"/>
  <c r="M33" i="31"/>
  <c r="M31" i="31"/>
  <c r="M9" i="31"/>
  <c r="M8" i="31"/>
  <c r="F41" i="36"/>
  <c r="E41" i="36"/>
  <c r="M4" i="31"/>
  <c r="G38" i="36"/>
  <c r="O35" i="35" s="1"/>
  <c r="G34" i="36"/>
  <c r="O31" i="35" s="1"/>
  <c r="G30" i="36"/>
  <c r="O27" i="35" s="1"/>
  <c r="G26" i="36"/>
  <c r="O23" i="35" s="1"/>
  <c r="G22" i="36"/>
  <c r="O19" i="35" s="1"/>
  <c r="G18" i="36"/>
  <c r="O15" i="35" s="1"/>
  <c r="G14" i="36"/>
  <c r="O11" i="35" s="1"/>
  <c r="I43" i="40"/>
  <c r="P22" i="35" s="1"/>
  <c r="I42" i="40"/>
  <c r="P21" i="35" s="1"/>
  <c r="I38" i="40"/>
  <c r="P17" i="35" s="1"/>
  <c r="I64" i="40"/>
  <c r="P43" i="35" s="1"/>
  <c r="I62" i="40"/>
  <c r="K62" i="40" s="1"/>
  <c r="M32" i="31"/>
  <c r="O32" i="31" s="1"/>
  <c r="I59" i="40"/>
  <c r="P38" i="35" s="1"/>
  <c r="I57" i="40"/>
  <c r="P36" i="35" s="1"/>
  <c r="I48" i="40"/>
  <c r="P27" i="35" s="1"/>
  <c r="I44" i="40"/>
  <c r="P23" i="35" s="1"/>
  <c r="I40" i="40"/>
  <c r="P19" i="35" s="1"/>
  <c r="G37" i="36"/>
  <c r="O34" i="35" s="1"/>
  <c r="G35" i="36"/>
  <c r="O32" i="35" s="1"/>
  <c r="G33" i="36"/>
  <c r="O30" i="35" s="1"/>
  <c r="G31" i="36"/>
  <c r="O28" i="35" s="1"/>
  <c r="G29" i="36"/>
  <c r="O26" i="35" s="1"/>
  <c r="G27" i="36"/>
  <c r="O24" i="35" s="1"/>
  <c r="G25" i="36"/>
  <c r="O22" i="35" s="1"/>
  <c r="G23" i="36"/>
  <c r="O20" i="35" s="1"/>
  <c r="G21" i="36"/>
  <c r="O18" i="35" s="1"/>
  <c r="G19" i="36"/>
  <c r="O16" i="35" s="1"/>
  <c r="G17" i="36"/>
  <c r="O14" i="35" s="1"/>
  <c r="M35" i="31"/>
  <c r="N35" i="31" s="1"/>
  <c r="I54" i="40"/>
  <c r="P33" i="35" s="1"/>
  <c r="I49" i="40"/>
  <c r="P28" i="35" s="1"/>
  <c r="G40" i="36"/>
  <c r="O37" i="35" s="1"/>
  <c r="G36" i="36"/>
  <c r="O33" i="35" s="1"/>
  <c r="G32" i="36"/>
  <c r="O29" i="35" s="1"/>
  <c r="G28" i="36"/>
  <c r="O25" i="35" s="1"/>
  <c r="G24" i="36"/>
  <c r="O21" i="35" s="1"/>
  <c r="G20" i="36"/>
  <c r="O17" i="35" s="1"/>
  <c r="G16" i="36"/>
  <c r="O13" i="35" s="1"/>
  <c r="G12" i="36"/>
  <c r="O9" i="35" s="1"/>
  <c r="N42" i="35"/>
  <c r="AN37" i="31"/>
  <c r="AM37" i="31"/>
  <c r="I63" i="40"/>
  <c r="I61" i="40"/>
  <c r="N32" i="31"/>
  <c r="N37" i="35"/>
  <c r="AN32" i="31"/>
  <c r="AM32" i="31"/>
  <c r="I52" i="40"/>
  <c r="P31" i="35" s="1"/>
  <c r="O9" i="31"/>
  <c r="N9" i="31"/>
  <c r="O8" i="31"/>
  <c r="N8" i="31"/>
  <c r="N10" i="35"/>
  <c r="AN5" i="31"/>
  <c r="AM5" i="31"/>
  <c r="G15" i="36"/>
  <c r="O12" i="35" s="1"/>
  <c r="AM38" i="31"/>
  <c r="AN38" i="31"/>
  <c r="N43" i="35"/>
  <c r="I65" i="40"/>
  <c r="M36" i="31"/>
  <c r="AN35" i="31"/>
  <c r="AM35" i="31"/>
  <c r="N40" i="35"/>
  <c r="N39" i="35"/>
  <c r="AN34" i="31"/>
  <c r="AM34" i="31"/>
  <c r="I60" i="40"/>
  <c r="N36" i="35"/>
  <c r="AM31" i="31"/>
  <c r="AN31" i="31"/>
  <c r="N35" i="35"/>
  <c r="AN30" i="31"/>
  <c r="AM30" i="31"/>
  <c r="I58" i="40"/>
  <c r="I55" i="40"/>
  <c r="I51" i="40"/>
  <c r="P30" i="35" s="1"/>
  <c r="I47" i="40"/>
  <c r="P26" i="35" s="1"/>
  <c r="M10" i="31"/>
  <c r="N14" i="35"/>
  <c r="AN9" i="31"/>
  <c r="AM9" i="31"/>
  <c r="N12" i="35"/>
  <c r="AN7" i="31"/>
  <c r="AM7" i="31"/>
  <c r="N4" i="31"/>
  <c r="O4" i="31"/>
  <c r="G39" i="36"/>
  <c r="O36" i="35" s="1"/>
  <c r="AM39" i="31"/>
  <c r="N44" i="35"/>
  <c r="AN39" i="31"/>
  <c r="M38" i="31"/>
  <c r="O37" i="31"/>
  <c r="N37" i="31"/>
  <c r="M34" i="31"/>
  <c r="N33" i="31"/>
  <c r="O33" i="31"/>
  <c r="O31" i="31"/>
  <c r="N31" i="31"/>
  <c r="M30" i="31"/>
  <c r="I56" i="40"/>
  <c r="I50" i="40"/>
  <c r="P29" i="35" s="1"/>
  <c r="M6" i="31"/>
  <c r="M5" i="31"/>
  <c r="I30" i="40"/>
  <c r="M39" i="31"/>
  <c r="AM36" i="31"/>
  <c r="N41" i="35"/>
  <c r="AN36" i="31"/>
  <c r="AN33" i="31"/>
  <c r="N38" i="35"/>
  <c r="AM33" i="31"/>
  <c r="I53" i="40"/>
  <c r="P32" i="35" s="1"/>
  <c r="I46" i="40"/>
  <c r="P25" i="35" s="1"/>
  <c r="I45" i="40"/>
  <c r="P24" i="35" s="1"/>
  <c r="I41" i="40"/>
  <c r="P20" i="35" s="1"/>
  <c r="I39" i="40"/>
  <c r="P18" i="35" s="1"/>
  <c r="I37" i="40"/>
  <c r="P16" i="35" s="1"/>
  <c r="I36" i="40"/>
  <c r="N13" i="35"/>
  <c r="AN8" i="31"/>
  <c r="AM8" i="31"/>
  <c r="M7" i="31"/>
  <c r="N11" i="35"/>
  <c r="AN6" i="31"/>
  <c r="AM6" i="31"/>
  <c r="N9" i="35"/>
  <c r="AM4" i="31"/>
  <c r="AN4" i="31"/>
  <c r="B42" i="36"/>
  <c r="D42" i="36" s="1"/>
  <c r="I35" i="40"/>
  <c r="P14" i="35" s="1"/>
  <c r="H18" i="36"/>
  <c r="I18" i="36"/>
  <c r="I13" i="36"/>
  <c r="H13" i="36"/>
  <c r="P41" i="35" l="1"/>
  <c r="I14" i="36"/>
  <c r="F42" i="36"/>
  <c r="E42" i="36"/>
  <c r="H17" i="36"/>
  <c r="H14" i="36"/>
  <c r="I17" i="36"/>
  <c r="O35" i="31"/>
  <c r="J59" i="40"/>
  <c r="K59" i="40"/>
  <c r="J57" i="40"/>
  <c r="I16" i="36"/>
  <c r="K57" i="40"/>
  <c r="J64" i="40"/>
  <c r="H15" i="36"/>
  <c r="J62" i="40"/>
  <c r="K64" i="40"/>
  <c r="H16" i="36"/>
  <c r="O7" i="31"/>
  <c r="N7" i="31"/>
  <c r="T31" i="31"/>
  <c r="Q31" i="31"/>
  <c r="P31" i="31"/>
  <c r="R31" i="31"/>
  <c r="S31" i="31"/>
  <c r="X4" i="31"/>
  <c r="U4" i="31"/>
  <c r="W4" i="31"/>
  <c r="Y4" i="31"/>
  <c r="V4" i="31"/>
  <c r="O10" i="31"/>
  <c r="N10" i="31"/>
  <c r="I15" i="36"/>
  <c r="N39" i="31"/>
  <c r="O39" i="31"/>
  <c r="Y31" i="31"/>
  <c r="U31" i="31"/>
  <c r="V31" i="31"/>
  <c r="X31" i="31"/>
  <c r="W31" i="31"/>
  <c r="Q37" i="31"/>
  <c r="P37" i="31"/>
  <c r="R37" i="31"/>
  <c r="T37" i="31"/>
  <c r="S37" i="31"/>
  <c r="P4" i="31"/>
  <c r="R4" i="31"/>
  <c r="T4" i="31"/>
  <c r="Q4" i="31"/>
  <c r="S4" i="31"/>
  <c r="AH4" i="31" s="1"/>
  <c r="U35" i="31"/>
  <c r="V35" i="31"/>
  <c r="W35" i="31"/>
  <c r="Y35" i="31"/>
  <c r="X35" i="31"/>
  <c r="V8" i="31"/>
  <c r="W8" i="31"/>
  <c r="Y8" i="31"/>
  <c r="X8" i="31"/>
  <c r="U8" i="31"/>
  <c r="P40" i="35"/>
  <c r="K61" i="40"/>
  <c r="J61" i="40"/>
  <c r="P42" i="35"/>
  <c r="K63" i="40"/>
  <c r="J63" i="40"/>
  <c r="O6" i="31"/>
  <c r="N6" i="31"/>
  <c r="O34" i="31"/>
  <c r="N34" i="31"/>
  <c r="Q8" i="31"/>
  <c r="S8" i="31"/>
  <c r="T8" i="31"/>
  <c r="P8" i="31"/>
  <c r="AE8" i="31" s="1"/>
  <c r="R8" i="31"/>
  <c r="T32" i="31"/>
  <c r="P32" i="31"/>
  <c r="Q32" i="31"/>
  <c r="R32" i="31"/>
  <c r="S32" i="31"/>
  <c r="K56" i="40"/>
  <c r="J56" i="40"/>
  <c r="P35" i="35"/>
  <c r="V33" i="31"/>
  <c r="U33" i="31"/>
  <c r="W33" i="31"/>
  <c r="Y33" i="31"/>
  <c r="X33" i="31"/>
  <c r="V37" i="31"/>
  <c r="W37" i="31"/>
  <c r="Y37" i="31"/>
  <c r="X37" i="31"/>
  <c r="U37" i="31"/>
  <c r="K60" i="40"/>
  <c r="J60" i="40"/>
  <c r="P39" i="35"/>
  <c r="P35" i="31"/>
  <c r="R35" i="31"/>
  <c r="S35" i="31"/>
  <c r="AH35" i="31" s="1"/>
  <c r="T35" i="31"/>
  <c r="Q35" i="31"/>
  <c r="AF35" i="31" s="1"/>
  <c r="T9" i="31"/>
  <c r="Q9" i="31"/>
  <c r="S9" i="31"/>
  <c r="R9" i="31"/>
  <c r="P9" i="31"/>
  <c r="J36" i="40"/>
  <c r="K36" i="40"/>
  <c r="P15" i="35"/>
  <c r="P44" i="35"/>
  <c r="J65" i="40"/>
  <c r="K65" i="40"/>
  <c r="O5" i="31"/>
  <c r="N5" i="31"/>
  <c r="O30" i="31"/>
  <c r="N30" i="31"/>
  <c r="S33" i="31"/>
  <c r="AH33" i="31" s="1"/>
  <c r="T33" i="31"/>
  <c r="Q33" i="31"/>
  <c r="AF33" i="31" s="1"/>
  <c r="R33" i="31"/>
  <c r="P33" i="31"/>
  <c r="AE33" i="31" s="1"/>
  <c r="O38" i="31"/>
  <c r="N38" i="31"/>
  <c r="P34" i="35"/>
  <c r="K55" i="40"/>
  <c r="J55" i="40"/>
  <c r="P37" i="35"/>
  <c r="J58" i="40"/>
  <c r="K58" i="40"/>
  <c r="O36" i="31"/>
  <c r="N36" i="31"/>
  <c r="V9" i="31"/>
  <c r="X9" i="31"/>
  <c r="Y9" i="31"/>
  <c r="W9" i="31"/>
  <c r="U9" i="31"/>
  <c r="X32" i="31"/>
  <c r="V32" i="31"/>
  <c r="W32" i="31"/>
  <c r="AG32" i="31" s="1"/>
  <c r="Y32" i="31"/>
  <c r="AI32" i="31" s="1"/>
  <c r="U32" i="31"/>
  <c r="G41" i="36"/>
  <c r="B43" i="36"/>
  <c r="D43" i="36" s="1"/>
  <c r="H20" i="36"/>
  <c r="I32" i="40"/>
  <c r="P11" i="35" s="1"/>
  <c r="I33" i="40"/>
  <c r="P12" i="35" s="1"/>
  <c r="I31" i="40"/>
  <c r="I34" i="40"/>
  <c r="P13" i="35" s="1"/>
  <c r="K35" i="40"/>
  <c r="E66" i="40"/>
  <c r="I48" i="28"/>
  <c r="L17" i="28"/>
  <c r="K17" i="28"/>
  <c r="K13" i="28"/>
  <c r="L13" i="28"/>
  <c r="K16" i="28"/>
  <c r="L16" i="28"/>
  <c r="K14" i="28"/>
  <c r="L14" i="28"/>
  <c r="K15" i="28"/>
  <c r="L15" i="28"/>
  <c r="I19" i="36"/>
  <c r="H19" i="36"/>
  <c r="F43" i="36" l="1"/>
  <c r="E43" i="36"/>
  <c r="AE9" i="31"/>
  <c r="AG35" i="31"/>
  <c r="AI33" i="31"/>
  <c r="AE35" i="31"/>
  <c r="AE4" i="31"/>
  <c r="AH8" i="31"/>
  <c r="AE37" i="31"/>
  <c r="AG9" i="31"/>
  <c r="AH31" i="31"/>
  <c r="AI4" i="31"/>
  <c r="AI31" i="31"/>
  <c r="AF8" i="31"/>
  <c r="AG4" i="31"/>
  <c r="V36" i="31"/>
  <c r="W36" i="31"/>
  <c r="Y36" i="31"/>
  <c r="X36" i="31"/>
  <c r="U36" i="31"/>
  <c r="X38" i="31"/>
  <c r="V38" i="31"/>
  <c r="U38" i="31"/>
  <c r="Y38" i="31"/>
  <c r="W38" i="31"/>
  <c r="P34" i="31"/>
  <c r="T34" i="31"/>
  <c r="Q34" i="31"/>
  <c r="R34" i="31"/>
  <c r="S34" i="31"/>
  <c r="T39" i="31"/>
  <c r="S39" i="31"/>
  <c r="Q39" i="31"/>
  <c r="P39" i="31"/>
  <c r="R39" i="31"/>
  <c r="U5" i="31"/>
  <c r="V5" i="31"/>
  <c r="W5" i="31"/>
  <c r="X5" i="31"/>
  <c r="Y5" i="31"/>
  <c r="AE32" i="31"/>
  <c r="AI8" i="31"/>
  <c r="Y34" i="31"/>
  <c r="X34" i="31"/>
  <c r="V34" i="31"/>
  <c r="U34" i="31"/>
  <c r="W34" i="31"/>
  <c r="AF4" i="31"/>
  <c r="AH37" i="31"/>
  <c r="AF37" i="31"/>
  <c r="AI9" i="31"/>
  <c r="AG33" i="31"/>
  <c r="AJ33" i="31" s="1"/>
  <c r="T30" i="31"/>
  <c r="P30" i="31"/>
  <c r="Q30" i="31"/>
  <c r="R30" i="31"/>
  <c r="S30" i="31"/>
  <c r="AH9" i="31"/>
  <c r="AI35" i="31"/>
  <c r="AH32" i="31"/>
  <c r="T6" i="31"/>
  <c r="S6" i="31"/>
  <c r="Q6" i="31"/>
  <c r="R6" i="31"/>
  <c r="P6" i="31"/>
  <c r="AI37" i="31"/>
  <c r="T10" i="31"/>
  <c r="S10" i="31"/>
  <c r="Q10" i="31"/>
  <c r="P10" i="31"/>
  <c r="R10" i="31"/>
  <c r="AG31" i="31"/>
  <c r="T7" i="31"/>
  <c r="S7" i="31"/>
  <c r="Q7" i="31"/>
  <c r="P7" i="31"/>
  <c r="R7" i="31"/>
  <c r="P5" i="31"/>
  <c r="S5" i="31"/>
  <c r="Q5" i="31"/>
  <c r="AF5" i="31" s="1"/>
  <c r="T5" i="31"/>
  <c r="R5" i="31"/>
  <c r="AF32" i="31"/>
  <c r="AF31" i="31"/>
  <c r="G42" i="36"/>
  <c r="O39" i="35" s="1"/>
  <c r="P36" i="31"/>
  <c r="R36" i="31"/>
  <c r="T36" i="31"/>
  <c r="S36" i="31"/>
  <c r="Q36" i="31"/>
  <c r="T38" i="31"/>
  <c r="S38" i="31"/>
  <c r="AH38" i="31" s="1"/>
  <c r="Q38" i="31"/>
  <c r="AF38" i="31" s="1"/>
  <c r="P38" i="31"/>
  <c r="R38" i="31"/>
  <c r="V30" i="31"/>
  <c r="W30" i="31"/>
  <c r="Y30" i="31"/>
  <c r="X30" i="31"/>
  <c r="U30" i="31"/>
  <c r="AF9" i="31"/>
  <c r="AG8" i="31"/>
  <c r="X6" i="31"/>
  <c r="Y6" i="31"/>
  <c r="V6" i="31"/>
  <c r="W6" i="31"/>
  <c r="U6" i="31"/>
  <c r="AG37" i="31"/>
  <c r="Y39" i="31"/>
  <c r="W39" i="31"/>
  <c r="X39" i="31"/>
  <c r="V39" i="31"/>
  <c r="U39" i="31"/>
  <c r="X10" i="31"/>
  <c r="V10" i="31"/>
  <c r="W10" i="31"/>
  <c r="U10" i="31"/>
  <c r="Y10" i="31"/>
  <c r="AE31" i="31"/>
  <c r="Y7" i="31"/>
  <c r="U7" i="31"/>
  <c r="V7" i="31"/>
  <c r="X7" i="31"/>
  <c r="W7" i="31"/>
  <c r="H42" i="36"/>
  <c r="O38" i="35"/>
  <c r="H41" i="36"/>
  <c r="I41" i="36"/>
  <c r="I20" i="36"/>
  <c r="B44" i="36"/>
  <c r="D44" i="36" s="1"/>
  <c r="K31" i="40"/>
  <c r="P10" i="35"/>
  <c r="J31" i="40"/>
  <c r="J35" i="40"/>
  <c r="P9" i="35"/>
  <c r="J30" i="40"/>
  <c r="K30" i="40"/>
  <c r="K18" i="28"/>
  <c r="L18" i="28"/>
  <c r="K32" i="40"/>
  <c r="J32" i="40"/>
  <c r="J34" i="40"/>
  <c r="K34" i="40"/>
  <c r="K9" i="35"/>
  <c r="L12" i="28"/>
  <c r="K12" i="28"/>
  <c r="J33" i="40"/>
  <c r="K33" i="40"/>
  <c r="I21" i="36"/>
  <c r="H21" i="36"/>
  <c r="AJ35" i="31" l="1"/>
  <c r="F44" i="36"/>
  <c r="E44" i="36"/>
  <c r="AI38" i="31"/>
  <c r="AI34" i="31"/>
  <c r="AF36" i="31"/>
  <c r="AE36" i="31"/>
  <c r="AE5" i="31"/>
  <c r="AI5" i="31"/>
  <c r="AE6" i="31"/>
  <c r="AH30" i="31"/>
  <c r="AJ32" i="31"/>
  <c r="AJ9" i="31"/>
  <c r="AH36" i="31"/>
  <c r="AI6" i="31"/>
  <c r="I42" i="36"/>
  <c r="AG34" i="31"/>
  <c r="AJ4" i="31"/>
  <c r="AJ8" i="31"/>
  <c r="AE38" i="31"/>
  <c r="AG5" i="31"/>
  <c r="AH7" i="31"/>
  <c r="AH6" i="31"/>
  <c r="AE30" i="31"/>
  <c r="AJ37" i="31"/>
  <c r="AH39" i="31"/>
  <c r="AI10" i="31"/>
  <c r="AE10" i="31"/>
  <c r="AI36" i="31"/>
  <c r="AG7" i="31"/>
  <c r="AI7" i="31"/>
  <c r="AF10" i="31"/>
  <c r="AI30" i="31"/>
  <c r="AG39" i="31"/>
  <c r="AI39" i="31"/>
  <c r="AF34" i="31"/>
  <c r="G43" i="36"/>
  <c r="AJ31" i="31"/>
  <c r="AG38" i="31"/>
  <c r="AG36" i="31"/>
  <c r="AE7" i="31"/>
  <c r="AH10" i="31"/>
  <c r="AG6" i="31"/>
  <c r="AG30" i="31"/>
  <c r="AE39" i="31"/>
  <c r="AH5" i="31"/>
  <c r="AF7" i="31"/>
  <c r="AG10" i="31"/>
  <c r="AF6" i="31"/>
  <c r="AF30" i="31"/>
  <c r="AF39" i="31"/>
  <c r="AH34" i="31"/>
  <c r="AE34" i="31"/>
  <c r="B45" i="36"/>
  <c r="D45" i="36" s="1"/>
  <c r="K19" i="28"/>
  <c r="L19" i="28"/>
  <c r="H22" i="36"/>
  <c r="I22" i="36"/>
  <c r="F45" i="36" l="1"/>
  <c r="E45" i="36"/>
  <c r="AJ5" i="31"/>
  <c r="AJ34" i="31"/>
  <c r="AJ6" i="31"/>
  <c r="AJ39" i="31"/>
  <c r="AJ36" i="31"/>
  <c r="AJ38" i="31"/>
  <c r="AJ7" i="31"/>
  <c r="G44" i="36"/>
  <c r="O41" i="35" s="1"/>
  <c r="AJ30" i="31"/>
  <c r="O40" i="35"/>
  <c r="I43" i="36"/>
  <c r="H43" i="36"/>
  <c r="AJ10" i="31"/>
  <c r="B46" i="36"/>
  <c r="D46" i="36" s="1"/>
  <c r="K20" i="28"/>
  <c r="L20" i="28"/>
  <c r="H23" i="36"/>
  <c r="I23" i="36"/>
  <c r="F46" i="36" l="1"/>
  <c r="E46" i="36"/>
  <c r="I44" i="36"/>
  <c r="H44" i="36"/>
  <c r="G45" i="36"/>
  <c r="O42" i="35" s="1"/>
  <c r="B47" i="36"/>
  <c r="D47" i="36" s="1"/>
  <c r="K21" i="28"/>
  <c r="L21" i="28"/>
  <c r="H24" i="36"/>
  <c r="I24" i="36"/>
  <c r="F47" i="36" l="1"/>
  <c r="E47" i="36"/>
  <c r="H45" i="36"/>
  <c r="I45" i="36"/>
  <c r="G46" i="36"/>
  <c r="H46" i="36" s="1"/>
  <c r="K22" i="28"/>
  <c r="L22" i="28"/>
  <c r="I25" i="36"/>
  <c r="H25" i="36"/>
  <c r="G47" i="36" l="1"/>
  <c r="O44" i="35" s="1"/>
  <c r="O43" i="35"/>
  <c r="I46" i="36"/>
  <c r="L23" i="28"/>
  <c r="K23" i="28"/>
  <c r="H26" i="36"/>
  <c r="I26" i="36"/>
  <c r="I47" i="36" l="1"/>
  <c r="H47" i="36"/>
  <c r="O45" i="35"/>
  <c r="L24" i="28"/>
  <c r="K24" i="28"/>
  <c r="H27" i="36"/>
  <c r="I27" i="36"/>
  <c r="L25" i="28" l="1"/>
  <c r="K25" i="28"/>
  <c r="I28" i="36"/>
  <c r="H28" i="36"/>
  <c r="K26" i="28" l="1"/>
  <c r="L26" i="28"/>
  <c r="H29" i="36"/>
  <c r="I29" i="36"/>
  <c r="K27" i="28" l="1"/>
  <c r="L27" i="28"/>
  <c r="I30" i="36"/>
  <c r="H30" i="36"/>
  <c r="K28" i="28" l="1"/>
  <c r="L28" i="28"/>
  <c r="H31" i="36"/>
  <c r="I31" i="36"/>
  <c r="L29" i="28" l="1"/>
  <c r="K29" i="28"/>
  <c r="I32" i="36"/>
  <c r="H32" i="36"/>
  <c r="K30" i="28" l="1"/>
  <c r="L30" i="28"/>
  <c r="I33" i="36"/>
  <c r="H33" i="36"/>
  <c r="K31" i="28" l="1"/>
  <c r="L31" i="28"/>
  <c r="H34" i="36"/>
  <c r="I34" i="36"/>
  <c r="K32" i="28" l="1"/>
  <c r="L32" i="28"/>
  <c r="I35" i="36"/>
  <c r="H35" i="36"/>
  <c r="L33" i="28" l="1"/>
  <c r="K33" i="28"/>
  <c r="I36" i="36"/>
  <c r="H36" i="36"/>
  <c r="L34" i="28" l="1"/>
  <c r="K34" i="28"/>
  <c r="I37" i="36"/>
  <c r="H37" i="36"/>
  <c r="K35" i="28" l="1"/>
  <c r="L35" i="28"/>
  <c r="H38" i="36"/>
  <c r="I38" i="36"/>
  <c r="H48" i="28" l="1"/>
  <c r="K36" i="28"/>
  <c r="L36" i="28"/>
  <c r="I39" i="36"/>
  <c r="H39" i="36"/>
  <c r="L37" i="28" l="1"/>
  <c r="L48" i="28" s="1"/>
  <c r="E12" i="39" s="1"/>
  <c r="K37" i="28"/>
  <c r="K48" i="28" s="1"/>
  <c r="D12" i="39" s="1"/>
  <c r="J48" i="28"/>
  <c r="I40" i="36"/>
  <c r="H40" i="36"/>
  <c r="C12" i="39" l="1"/>
  <c r="L2" i="26" l="1"/>
  <c r="L6" i="26" s="1"/>
  <c r="K45" i="35" l="1"/>
  <c r="I12" i="26" l="1"/>
  <c r="H11" i="26"/>
  <c r="J5" i="26"/>
  <c r="B11" i="26"/>
  <c r="C12" i="26"/>
  <c r="C13" i="26" s="1"/>
  <c r="C14" i="26" s="1"/>
  <c r="C15" i="26" s="1"/>
  <c r="C16" i="26" s="1"/>
  <c r="C17" i="26" s="1"/>
  <c r="C18" i="26" s="1"/>
  <c r="C19" i="26" s="1"/>
  <c r="C20" i="26" s="1"/>
  <c r="C21" i="26" s="1"/>
  <c r="C22" i="26" s="1"/>
  <c r="C23" i="26" s="1"/>
  <c r="C24" i="26" s="1"/>
  <c r="C25" i="26" s="1"/>
  <c r="C26" i="26" s="1"/>
  <c r="C27" i="26" s="1"/>
  <c r="C28" i="26" s="1"/>
  <c r="C29" i="26" s="1"/>
  <c r="C30" i="26" s="1"/>
  <c r="C31" i="26" s="1"/>
  <c r="C32" i="26" s="1"/>
  <c r="C33" i="26" s="1"/>
  <c r="C34" i="26" s="1"/>
  <c r="C35" i="26" s="1"/>
  <c r="C36" i="26" s="1"/>
  <c r="C37" i="26" s="1"/>
  <c r="C38" i="26" s="1"/>
  <c r="C39" i="26" s="1"/>
  <c r="C40" i="26" s="1"/>
  <c r="C41" i="26" s="1"/>
  <c r="C42" i="26" s="1"/>
  <c r="C43" i="26" s="1"/>
  <c r="C44" i="26" s="1"/>
  <c r="C45" i="26" s="1"/>
  <c r="C46" i="26" s="1"/>
  <c r="D49" i="24"/>
  <c r="D50" i="24" s="1"/>
  <c r="D51" i="24" s="1"/>
  <c r="D52" i="24" s="1"/>
  <c r="D53" i="24" s="1"/>
  <c r="D54" i="24" s="1"/>
  <c r="D55" i="24" s="1"/>
  <c r="D56" i="24" s="1"/>
  <c r="D57" i="24" s="1"/>
  <c r="D58" i="24" s="1"/>
  <c r="D59" i="24" s="1"/>
  <c r="D60" i="24" s="1"/>
  <c r="D61" i="24" s="1"/>
  <c r="D62" i="24" s="1"/>
  <c r="D63" i="24" s="1"/>
  <c r="D64" i="24" s="1"/>
  <c r="D65" i="24" s="1"/>
  <c r="D66" i="24" s="1"/>
  <c r="D67" i="24" s="1"/>
  <c r="D68" i="24" s="1"/>
  <c r="D69" i="24" s="1"/>
  <c r="D70" i="24" s="1"/>
  <c r="D71" i="24" s="1"/>
  <c r="D72" i="24" s="1"/>
  <c r="D73" i="24" s="1"/>
  <c r="D74" i="24" s="1"/>
  <c r="D75" i="24" s="1"/>
  <c r="D76" i="24" s="1"/>
  <c r="D77" i="24" s="1"/>
  <c r="D78" i="24" s="1"/>
  <c r="D79" i="24" s="1"/>
  <c r="D80" i="24" s="1"/>
  <c r="D81" i="24" s="1"/>
  <c r="D82" i="24" s="1"/>
  <c r="C47" i="24"/>
  <c r="J47" i="24" s="1"/>
  <c r="H15" i="25"/>
  <c r="J2" i="26"/>
  <c r="K2" i="26"/>
  <c r="Q11" i="33" l="1"/>
  <c r="AK4" i="31"/>
  <c r="J48" i="24"/>
  <c r="K11" i="26"/>
  <c r="J11" i="26"/>
  <c r="I13" i="26"/>
  <c r="L12" i="26"/>
  <c r="I15" i="25"/>
  <c r="H12" i="26"/>
  <c r="C48" i="24"/>
  <c r="E47" i="24"/>
  <c r="A11" i="33"/>
  <c r="H16" i="25"/>
  <c r="I16" i="25" s="1"/>
  <c r="B12" i="26"/>
  <c r="K6" i="26"/>
  <c r="J6" i="26"/>
  <c r="I14" i="26" l="1"/>
  <c r="L13" i="26"/>
  <c r="AK5" i="31"/>
  <c r="J49" i="24"/>
  <c r="Q12" i="33"/>
  <c r="R11" i="33"/>
  <c r="S11" i="33"/>
  <c r="T11" i="33" s="1"/>
  <c r="M9" i="35" s="1"/>
  <c r="M11" i="26"/>
  <c r="N11" i="26" s="1"/>
  <c r="C49" i="24"/>
  <c r="E48" i="24"/>
  <c r="A12" i="33"/>
  <c r="H13" i="26"/>
  <c r="J12" i="26"/>
  <c r="K12" i="26"/>
  <c r="H17" i="25"/>
  <c r="B13" i="26"/>
  <c r="U11" i="33" l="1"/>
  <c r="R12" i="33"/>
  <c r="S12" i="33"/>
  <c r="V11" i="33"/>
  <c r="AK6" i="31"/>
  <c r="J50" i="24"/>
  <c r="Q13" i="33"/>
  <c r="I15" i="26"/>
  <c r="L14" i="26"/>
  <c r="I17" i="25"/>
  <c r="J9" i="35"/>
  <c r="Q9" i="35" s="1"/>
  <c r="O11" i="26"/>
  <c r="A13" i="33"/>
  <c r="M12" i="26"/>
  <c r="J10" i="35" s="1"/>
  <c r="C50" i="24"/>
  <c r="E49" i="24"/>
  <c r="H14" i="26"/>
  <c r="J13" i="26"/>
  <c r="K13" i="26"/>
  <c r="D11" i="26"/>
  <c r="H18" i="25"/>
  <c r="I18" i="25" s="1"/>
  <c r="B14" i="26"/>
  <c r="I16" i="26" l="1"/>
  <c r="L15" i="26"/>
  <c r="T12" i="33"/>
  <c r="S13" i="33"/>
  <c r="R13" i="33"/>
  <c r="AK7" i="31"/>
  <c r="J51" i="24"/>
  <c r="Q14" i="33"/>
  <c r="R9" i="35"/>
  <c r="S9" i="35"/>
  <c r="C51" i="24"/>
  <c r="E50" i="24"/>
  <c r="N12" i="26"/>
  <c r="O12" i="26"/>
  <c r="M13" i="26"/>
  <c r="J11" i="35" s="1"/>
  <c r="A14" i="33"/>
  <c r="H15" i="26"/>
  <c r="K14" i="26"/>
  <c r="J14" i="26"/>
  <c r="C9" i="35"/>
  <c r="F11" i="26"/>
  <c r="E11" i="26"/>
  <c r="D12" i="26"/>
  <c r="C10" i="35" s="1"/>
  <c r="H19" i="25"/>
  <c r="I19" i="25" s="1"/>
  <c r="I20" i="25" s="1"/>
  <c r="B15" i="26"/>
  <c r="M10" i="35" l="1"/>
  <c r="Q10" i="35" s="1"/>
  <c r="R10" i="35" s="1"/>
  <c r="V12" i="33"/>
  <c r="U12" i="33"/>
  <c r="S14" i="33"/>
  <c r="R14" i="33"/>
  <c r="AK8" i="31"/>
  <c r="Q15" i="33"/>
  <c r="J52" i="24"/>
  <c r="T13" i="33"/>
  <c r="I17" i="26"/>
  <c r="L16" i="26"/>
  <c r="M14" i="26"/>
  <c r="N13" i="26"/>
  <c r="O13" i="26"/>
  <c r="A15" i="33"/>
  <c r="C52" i="24"/>
  <c r="E51" i="24"/>
  <c r="H16" i="26"/>
  <c r="K15" i="26"/>
  <c r="J15" i="26"/>
  <c r="F12" i="26"/>
  <c r="D10" i="35"/>
  <c r="E12" i="26"/>
  <c r="D13" i="26"/>
  <c r="C11" i="35" s="1"/>
  <c r="I21" i="25"/>
  <c r="B16" i="26"/>
  <c r="S10" i="35" l="1"/>
  <c r="I18" i="26"/>
  <c r="L17" i="26"/>
  <c r="M11" i="35"/>
  <c r="V13" i="33"/>
  <c r="U13" i="33"/>
  <c r="AK9" i="31"/>
  <c r="Q16" i="33"/>
  <c r="S15" i="33"/>
  <c r="R15" i="33"/>
  <c r="T14" i="33"/>
  <c r="J12" i="35"/>
  <c r="O14" i="26"/>
  <c r="N14" i="26"/>
  <c r="E52" i="24"/>
  <c r="C53" i="24"/>
  <c r="J53" i="24" s="1"/>
  <c r="H17" i="26"/>
  <c r="J16" i="26"/>
  <c r="K16" i="26"/>
  <c r="Q11" i="35"/>
  <c r="A16" i="33"/>
  <c r="M15" i="26"/>
  <c r="J13" i="35" s="1"/>
  <c r="F13" i="26"/>
  <c r="D11" i="35"/>
  <c r="E13" i="26"/>
  <c r="F10" i="35"/>
  <c r="E10" i="35"/>
  <c r="D14" i="26"/>
  <c r="C12" i="35" s="1"/>
  <c r="D15" i="26"/>
  <c r="D16" i="26"/>
  <c r="B17" i="26"/>
  <c r="T15" i="33" l="1"/>
  <c r="AK10" i="31"/>
  <c r="AL10" i="31" s="1"/>
  <c r="Q17" i="33"/>
  <c r="M12" i="35"/>
  <c r="Q12" i="35" s="1"/>
  <c r="V14" i="33"/>
  <c r="U14" i="33"/>
  <c r="S16" i="33"/>
  <c r="R16" i="33"/>
  <c r="I19" i="26"/>
  <c r="L18" i="26"/>
  <c r="C14" i="35"/>
  <c r="D14" i="35" s="1"/>
  <c r="C13" i="35"/>
  <c r="D13" i="35" s="1"/>
  <c r="A17" i="33"/>
  <c r="R11" i="35"/>
  <c r="S11" i="35"/>
  <c r="M16" i="26"/>
  <c r="J14" i="35" s="1"/>
  <c r="O15" i="26"/>
  <c r="N15" i="26"/>
  <c r="H18" i="26"/>
  <c r="K17" i="26"/>
  <c r="J17" i="26"/>
  <c r="E53" i="24"/>
  <c r="C54" i="24"/>
  <c r="D12" i="35"/>
  <c r="F14" i="26"/>
  <c r="E14" i="26"/>
  <c r="E11" i="35"/>
  <c r="F11" i="35"/>
  <c r="E15" i="26"/>
  <c r="F15" i="26"/>
  <c r="F16" i="26"/>
  <c r="D17" i="26"/>
  <c r="E16" i="26"/>
  <c r="B18" i="26"/>
  <c r="M13" i="35" l="1"/>
  <c r="U15" i="33"/>
  <c r="V15" i="33"/>
  <c r="R12" i="35"/>
  <c r="S12" i="35"/>
  <c r="T16" i="33"/>
  <c r="S17" i="33"/>
  <c r="R17" i="33"/>
  <c r="N15" i="35"/>
  <c r="AN10" i="31"/>
  <c r="AM10" i="31"/>
  <c r="I20" i="26"/>
  <c r="L19" i="26"/>
  <c r="F13" i="35"/>
  <c r="E13" i="35"/>
  <c r="E14" i="35"/>
  <c r="F14" i="35"/>
  <c r="C15" i="35"/>
  <c r="D15" i="35" s="1"/>
  <c r="M17" i="26"/>
  <c r="N17" i="26" s="1"/>
  <c r="E54" i="24"/>
  <c r="C55" i="24"/>
  <c r="Q13" i="35"/>
  <c r="O16" i="26"/>
  <c r="N16" i="26"/>
  <c r="H19" i="26"/>
  <c r="J18" i="26"/>
  <c r="K18" i="26"/>
  <c r="A18" i="33"/>
  <c r="A19" i="33" s="1"/>
  <c r="A20" i="33" s="1"/>
  <c r="A21" i="33" s="1"/>
  <c r="A22" i="33" s="1"/>
  <c r="A23" i="33" s="1"/>
  <c r="A24" i="33" s="1"/>
  <c r="A25" i="33" s="1"/>
  <c r="A26" i="33" s="1"/>
  <c r="A27" i="33" s="1"/>
  <c r="A28" i="33" s="1"/>
  <c r="A29" i="33" s="1"/>
  <c r="A30" i="33" s="1"/>
  <c r="A31" i="33" s="1"/>
  <c r="A32" i="33" s="1"/>
  <c r="A33" i="33" s="1"/>
  <c r="A34" i="33" s="1"/>
  <c r="A35" i="33" s="1"/>
  <c r="A36" i="33" s="1"/>
  <c r="A37" i="33" s="1"/>
  <c r="E12" i="35"/>
  <c r="F12" i="35"/>
  <c r="E17" i="26"/>
  <c r="F17" i="26"/>
  <c r="D18" i="26"/>
  <c r="B19" i="26"/>
  <c r="M14" i="35" l="1"/>
  <c r="Q14" i="35" s="1"/>
  <c r="U16" i="33"/>
  <c r="V16" i="33"/>
  <c r="T17" i="33"/>
  <c r="I21" i="26"/>
  <c r="L20" i="26"/>
  <c r="J55" i="24"/>
  <c r="J15" i="35"/>
  <c r="O17" i="26"/>
  <c r="F15" i="35"/>
  <c r="E15" i="35"/>
  <c r="E18" i="26"/>
  <c r="C16" i="35"/>
  <c r="D16" i="35" s="1"/>
  <c r="M18" i="26"/>
  <c r="J16" i="35" s="1"/>
  <c r="R13" i="35"/>
  <c r="S13" i="35"/>
  <c r="E55" i="24"/>
  <c r="C56" i="24"/>
  <c r="H20" i="26"/>
  <c r="J19" i="26"/>
  <c r="K19" i="26"/>
  <c r="A38" i="33"/>
  <c r="F18" i="26"/>
  <c r="D19" i="26"/>
  <c r="B20" i="26"/>
  <c r="M15" i="35" l="1"/>
  <c r="Q15" i="35" s="1"/>
  <c r="U17" i="33"/>
  <c r="V17" i="33"/>
  <c r="J56" i="24"/>
  <c r="AK12" i="31"/>
  <c r="Q19" i="33"/>
  <c r="J54" i="24"/>
  <c r="I22" i="26"/>
  <c r="L21" i="26"/>
  <c r="O18" i="26"/>
  <c r="E19" i="26"/>
  <c r="C17" i="35"/>
  <c r="D17" i="35" s="1"/>
  <c r="N18" i="26"/>
  <c r="E56" i="24"/>
  <c r="C57" i="24"/>
  <c r="A39" i="33"/>
  <c r="A40" i="33" s="1"/>
  <c r="M19" i="26"/>
  <c r="J17" i="35" s="1"/>
  <c r="H21" i="26"/>
  <c r="J20" i="26"/>
  <c r="K20" i="26"/>
  <c r="D20" i="26"/>
  <c r="F19" i="26"/>
  <c r="E16" i="35"/>
  <c r="F16" i="35"/>
  <c r="B21" i="26"/>
  <c r="AK11" i="31" l="1"/>
  <c r="Q18" i="33"/>
  <c r="I23" i="26"/>
  <c r="L22" i="26"/>
  <c r="Q20" i="33"/>
  <c r="AK13" i="31"/>
  <c r="J57" i="24"/>
  <c r="C18" i="35"/>
  <c r="D18" i="35" s="1"/>
  <c r="A41" i="33"/>
  <c r="M20" i="26"/>
  <c r="J18" i="35" s="1"/>
  <c r="E57" i="24"/>
  <c r="C58" i="24"/>
  <c r="O19" i="26"/>
  <c r="N19" i="26"/>
  <c r="H22" i="26"/>
  <c r="J21" i="26"/>
  <c r="K21" i="26"/>
  <c r="F20" i="26"/>
  <c r="E20" i="26"/>
  <c r="E17" i="35"/>
  <c r="F17" i="35"/>
  <c r="D21" i="26"/>
  <c r="B22" i="26"/>
  <c r="AK14" i="31" l="1"/>
  <c r="Q21" i="33"/>
  <c r="J58" i="24"/>
  <c r="I24" i="26"/>
  <c r="L23" i="26"/>
  <c r="E18" i="35"/>
  <c r="F18" i="35"/>
  <c r="F21" i="26"/>
  <c r="C19" i="35"/>
  <c r="D19" i="35" s="1"/>
  <c r="O20" i="26"/>
  <c r="A42" i="33"/>
  <c r="N20" i="26"/>
  <c r="M21" i="26"/>
  <c r="E58" i="24"/>
  <c r="C59" i="24"/>
  <c r="H23" i="26"/>
  <c r="K22" i="26"/>
  <c r="J22" i="26"/>
  <c r="E21" i="26"/>
  <c r="D22" i="26"/>
  <c r="B23" i="26"/>
  <c r="J59" i="24" l="1"/>
  <c r="AK15" i="31"/>
  <c r="Q22" i="33"/>
  <c r="I25" i="26"/>
  <c r="L24" i="26"/>
  <c r="E22" i="26"/>
  <c r="C20" i="35"/>
  <c r="D20" i="35" s="1"/>
  <c r="N21" i="26"/>
  <c r="J19" i="35"/>
  <c r="A43" i="33"/>
  <c r="O21" i="26"/>
  <c r="M22" i="26"/>
  <c r="J20" i="35" s="1"/>
  <c r="H24" i="26"/>
  <c r="J23" i="26"/>
  <c r="K23" i="26"/>
  <c r="E59" i="24"/>
  <c r="C60" i="24"/>
  <c r="D23" i="26"/>
  <c r="F22" i="26"/>
  <c r="E19" i="35"/>
  <c r="F19" i="35"/>
  <c r="B24" i="26"/>
  <c r="I26" i="26" l="1"/>
  <c r="L25" i="26"/>
  <c r="AK16" i="31"/>
  <c r="Q23" i="33"/>
  <c r="J60" i="24"/>
  <c r="C21" i="35"/>
  <c r="D21" i="35" s="1"/>
  <c r="A44" i="33"/>
  <c r="O22" i="26"/>
  <c r="N22" i="26"/>
  <c r="E60" i="24"/>
  <c r="C61" i="24"/>
  <c r="M23" i="26"/>
  <c r="J21" i="35" s="1"/>
  <c r="H25" i="26"/>
  <c r="J24" i="26"/>
  <c r="K24" i="26"/>
  <c r="F23" i="26"/>
  <c r="E23" i="26"/>
  <c r="D24" i="26"/>
  <c r="F20" i="35"/>
  <c r="E20" i="35"/>
  <c r="B25" i="26"/>
  <c r="AK17" i="31" l="1"/>
  <c r="J61" i="24"/>
  <c r="Q24" i="33"/>
  <c r="I27" i="26"/>
  <c r="L26" i="26"/>
  <c r="E21" i="35"/>
  <c r="F21" i="35"/>
  <c r="C22" i="35"/>
  <c r="D22" i="35" s="1"/>
  <c r="A45" i="33"/>
  <c r="M24" i="26"/>
  <c r="J22" i="35" s="1"/>
  <c r="H26" i="26"/>
  <c r="K25" i="26"/>
  <c r="J25" i="26"/>
  <c r="N23" i="26"/>
  <c r="O23" i="26"/>
  <c r="E61" i="24"/>
  <c r="C62" i="24"/>
  <c r="E24" i="26"/>
  <c r="D25" i="26"/>
  <c r="F24" i="26"/>
  <c r="B26" i="26"/>
  <c r="I28" i="26" l="1"/>
  <c r="L27" i="26"/>
  <c r="AK18" i="31"/>
  <c r="J62" i="24"/>
  <c r="Q25" i="33"/>
  <c r="F22" i="35"/>
  <c r="E22" i="35"/>
  <c r="C23" i="35"/>
  <c r="D23" i="35" s="1"/>
  <c r="A46" i="33"/>
  <c r="M25" i="26"/>
  <c r="J23" i="35" s="1"/>
  <c r="E62" i="24"/>
  <c r="C63" i="24"/>
  <c r="H27" i="26"/>
  <c r="J26" i="26"/>
  <c r="K26" i="26"/>
  <c r="O24" i="26"/>
  <c r="N24" i="26"/>
  <c r="F25" i="26"/>
  <c r="E25" i="26"/>
  <c r="D26" i="26"/>
  <c r="B27" i="26"/>
  <c r="I29" i="26" l="1"/>
  <c r="L28" i="26"/>
  <c r="AK19" i="31"/>
  <c r="J63" i="24"/>
  <c r="Q26" i="33"/>
  <c r="F23" i="35"/>
  <c r="E23" i="35"/>
  <c r="E26" i="26"/>
  <c r="C24" i="35"/>
  <c r="D24" i="35" s="1"/>
  <c r="O25" i="26"/>
  <c r="N25" i="26"/>
  <c r="M26" i="26"/>
  <c r="J24" i="35" s="1"/>
  <c r="E63" i="24"/>
  <c r="C64" i="24"/>
  <c r="H28" i="26"/>
  <c r="K27" i="26"/>
  <c r="J27" i="26"/>
  <c r="F26" i="26"/>
  <c r="D27" i="26"/>
  <c r="B28" i="26"/>
  <c r="AK20" i="31" l="1"/>
  <c r="J64" i="24"/>
  <c r="Q27" i="33"/>
  <c r="I30" i="26"/>
  <c r="L29" i="26"/>
  <c r="E27" i="26"/>
  <c r="C25" i="35"/>
  <c r="D25" i="35" s="1"/>
  <c r="M27" i="26"/>
  <c r="J25" i="35" s="1"/>
  <c r="O26" i="26"/>
  <c r="N26" i="26"/>
  <c r="H29" i="26"/>
  <c r="J28" i="26"/>
  <c r="K28" i="26"/>
  <c r="E64" i="24"/>
  <c r="C65" i="24"/>
  <c r="D28" i="26"/>
  <c r="F27" i="26"/>
  <c r="E24" i="35"/>
  <c r="F24" i="35"/>
  <c r="B29" i="26"/>
  <c r="AK21" i="31" l="1"/>
  <c r="J65" i="24"/>
  <c r="Q28" i="33"/>
  <c r="I31" i="26"/>
  <c r="L30" i="26"/>
  <c r="O27" i="26"/>
  <c r="N27" i="26"/>
  <c r="C26" i="35"/>
  <c r="D26" i="35" s="1"/>
  <c r="M28" i="26"/>
  <c r="J26" i="35" s="1"/>
  <c r="E65" i="24"/>
  <c r="C66" i="24"/>
  <c r="H30" i="26"/>
  <c r="J29" i="26"/>
  <c r="K29" i="26"/>
  <c r="F28" i="26"/>
  <c r="E28" i="26"/>
  <c r="F25" i="35"/>
  <c r="E25" i="35"/>
  <c r="D29" i="26"/>
  <c r="B30" i="26"/>
  <c r="AK22" i="31" l="1"/>
  <c r="J66" i="24"/>
  <c r="Q29" i="33"/>
  <c r="I32" i="26"/>
  <c r="L31" i="26"/>
  <c r="E26" i="35"/>
  <c r="F26" i="35"/>
  <c r="E29" i="26"/>
  <c r="C27" i="35"/>
  <c r="D27" i="35" s="1"/>
  <c r="H31" i="26"/>
  <c r="K30" i="26"/>
  <c r="J30" i="26"/>
  <c r="E66" i="24"/>
  <c r="C67" i="24"/>
  <c r="M29" i="26"/>
  <c r="J27" i="35" s="1"/>
  <c r="O28" i="26"/>
  <c r="N28" i="26"/>
  <c r="F29" i="26"/>
  <c r="D30" i="26"/>
  <c r="B31" i="26"/>
  <c r="AK23" i="31" l="1"/>
  <c r="Q30" i="33"/>
  <c r="J67" i="24"/>
  <c r="I33" i="26"/>
  <c r="L32" i="26"/>
  <c r="C28" i="35"/>
  <c r="D28" i="35" s="1"/>
  <c r="M30" i="26"/>
  <c r="J28" i="35" s="1"/>
  <c r="N29" i="26"/>
  <c r="O29" i="26"/>
  <c r="E67" i="24"/>
  <c r="C68" i="24"/>
  <c r="H32" i="26"/>
  <c r="K31" i="26"/>
  <c r="J31" i="26"/>
  <c r="F30" i="26"/>
  <c r="E30" i="26"/>
  <c r="D31" i="26"/>
  <c r="F27" i="35"/>
  <c r="E27" i="35"/>
  <c r="B32" i="26"/>
  <c r="AK24" i="31" l="1"/>
  <c r="J68" i="24"/>
  <c r="Q31" i="33"/>
  <c r="I34" i="26"/>
  <c r="L33" i="26"/>
  <c r="F28" i="35"/>
  <c r="E28" i="35"/>
  <c r="C29" i="35"/>
  <c r="D29" i="35" s="1"/>
  <c r="N30" i="26"/>
  <c r="O30" i="26"/>
  <c r="M31" i="26"/>
  <c r="J29" i="35" s="1"/>
  <c r="H33" i="26"/>
  <c r="J32" i="26"/>
  <c r="K32" i="26"/>
  <c r="E68" i="24"/>
  <c r="C69" i="24"/>
  <c r="E31" i="26"/>
  <c r="F31" i="26"/>
  <c r="D32" i="26"/>
  <c r="B33" i="26"/>
  <c r="I35" i="26" l="1"/>
  <c r="L34" i="26"/>
  <c r="AK25" i="31"/>
  <c r="Q32" i="33"/>
  <c r="J69" i="24"/>
  <c r="F29" i="35"/>
  <c r="E29" i="35"/>
  <c r="C30" i="35"/>
  <c r="D30" i="35" s="1"/>
  <c r="O31" i="26"/>
  <c r="N31" i="26"/>
  <c r="M32" i="26"/>
  <c r="J30" i="35" s="1"/>
  <c r="E69" i="24"/>
  <c r="C70" i="24"/>
  <c r="H34" i="26"/>
  <c r="J33" i="26"/>
  <c r="K33" i="26"/>
  <c r="E32" i="26"/>
  <c r="F32" i="26"/>
  <c r="D33" i="26"/>
  <c r="B34" i="26"/>
  <c r="I36" i="26" l="1"/>
  <c r="I37" i="26" s="1"/>
  <c r="L35" i="26"/>
  <c r="AK26" i="31"/>
  <c r="J70" i="24"/>
  <c r="Q33" i="33"/>
  <c r="E30" i="35"/>
  <c r="F30" i="35"/>
  <c r="C31" i="35"/>
  <c r="D31" i="35" s="1"/>
  <c r="O32" i="26"/>
  <c r="N32" i="26"/>
  <c r="M33" i="26"/>
  <c r="J31" i="35" s="1"/>
  <c r="H35" i="26"/>
  <c r="J34" i="26"/>
  <c r="K34" i="26"/>
  <c r="E70" i="24"/>
  <c r="C71" i="24"/>
  <c r="F33" i="26"/>
  <c r="E33" i="26"/>
  <c r="D34" i="26"/>
  <c r="B35" i="26"/>
  <c r="AK27" i="31" l="1"/>
  <c r="Q34" i="33"/>
  <c r="J71" i="24"/>
  <c r="I38" i="26"/>
  <c r="L37" i="26"/>
  <c r="E31" i="35"/>
  <c r="F31" i="35"/>
  <c r="C32" i="35"/>
  <c r="D32" i="35" s="1"/>
  <c r="O33" i="26"/>
  <c r="N33" i="26"/>
  <c r="M34" i="26"/>
  <c r="J32" i="35" s="1"/>
  <c r="E71" i="24"/>
  <c r="C72" i="24"/>
  <c r="H36" i="26"/>
  <c r="L36" i="26" s="1"/>
  <c r="J35" i="26"/>
  <c r="K35" i="26"/>
  <c r="F34" i="26"/>
  <c r="E34" i="26"/>
  <c r="D35" i="26"/>
  <c r="B36" i="26"/>
  <c r="AK28" i="31" l="1"/>
  <c r="Q35" i="33"/>
  <c r="J72" i="24"/>
  <c r="I39" i="26"/>
  <c r="L38" i="26"/>
  <c r="F32" i="35"/>
  <c r="E32" i="35"/>
  <c r="C33" i="35"/>
  <c r="D33" i="35" s="1"/>
  <c r="H37" i="26"/>
  <c r="K36" i="26"/>
  <c r="J36" i="26"/>
  <c r="E72" i="24"/>
  <c r="C73" i="24"/>
  <c r="M35" i="26"/>
  <c r="J33" i="35" s="1"/>
  <c r="N34" i="26"/>
  <c r="O34" i="26"/>
  <c r="F35" i="26"/>
  <c r="E35" i="26"/>
  <c r="D36" i="26"/>
  <c r="B37" i="26"/>
  <c r="F72" i="24" l="1"/>
  <c r="C36" i="33" s="1"/>
  <c r="G72" i="24"/>
  <c r="D36" i="33" s="1"/>
  <c r="F36" i="33" s="1"/>
  <c r="AK29" i="31"/>
  <c r="J73" i="24"/>
  <c r="Q36" i="33"/>
  <c r="L72" i="24"/>
  <c r="N54" i="24"/>
  <c r="M54" i="24"/>
  <c r="L54" i="24"/>
  <c r="O54" i="24"/>
  <c r="M55" i="24"/>
  <c r="O55" i="24"/>
  <c r="L55" i="24"/>
  <c r="N55" i="24"/>
  <c r="N56" i="24"/>
  <c r="O56" i="24"/>
  <c r="L56" i="24"/>
  <c r="M56" i="24"/>
  <c r="N57" i="24"/>
  <c r="O57" i="24"/>
  <c r="M57" i="24"/>
  <c r="L57" i="24"/>
  <c r="N58" i="24"/>
  <c r="O58" i="24"/>
  <c r="M58" i="24"/>
  <c r="L58" i="24"/>
  <c r="N59" i="24"/>
  <c r="L59" i="24"/>
  <c r="O59" i="24"/>
  <c r="M59" i="24"/>
  <c r="O60" i="24"/>
  <c r="L60" i="24"/>
  <c r="M60" i="24"/>
  <c r="N60" i="24"/>
  <c r="O61" i="24"/>
  <c r="N61" i="24"/>
  <c r="L61" i="24"/>
  <c r="M61" i="24"/>
  <c r="N62" i="24"/>
  <c r="O62" i="24"/>
  <c r="M62" i="24"/>
  <c r="L62" i="24"/>
  <c r="N63" i="24"/>
  <c r="O63" i="24"/>
  <c r="L63" i="24"/>
  <c r="M63" i="24"/>
  <c r="M64" i="24"/>
  <c r="N64" i="24"/>
  <c r="L64" i="24"/>
  <c r="O64" i="24"/>
  <c r="N65" i="24"/>
  <c r="L65" i="24"/>
  <c r="O65" i="24"/>
  <c r="M65" i="24"/>
  <c r="L66" i="24"/>
  <c r="N66" i="24"/>
  <c r="O66" i="24"/>
  <c r="D23" i="31" s="1"/>
  <c r="M66" i="24"/>
  <c r="N67" i="24"/>
  <c r="L67" i="24"/>
  <c r="O67" i="24"/>
  <c r="M67" i="24"/>
  <c r="N68" i="24"/>
  <c r="M68" i="24"/>
  <c r="L68" i="24"/>
  <c r="O68" i="24"/>
  <c r="M69" i="24"/>
  <c r="O69" i="24"/>
  <c r="N69" i="24"/>
  <c r="L69" i="24"/>
  <c r="N70" i="24"/>
  <c r="L70" i="24"/>
  <c r="O70" i="24"/>
  <c r="M70" i="24"/>
  <c r="M71" i="24"/>
  <c r="N71" i="24"/>
  <c r="O71" i="24"/>
  <c r="L71" i="24"/>
  <c r="O72" i="24"/>
  <c r="L39" i="26"/>
  <c r="I40" i="26"/>
  <c r="N72" i="24"/>
  <c r="M72" i="24"/>
  <c r="F33" i="35"/>
  <c r="E33" i="35"/>
  <c r="C34" i="35"/>
  <c r="D34" i="35" s="1"/>
  <c r="M36" i="26"/>
  <c r="J34" i="35" s="1"/>
  <c r="E36" i="33"/>
  <c r="H72" i="24"/>
  <c r="H36" i="33"/>
  <c r="L36" i="33" s="1"/>
  <c r="J36" i="33"/>
  <c r="N36" i="33" s="1"/>
  <c r="N35" i="26"/>
  <c r="O35" i="26"/>
  <c r="C74" i="24"/>
  <c r="E73" i="24"/>
  <c r="F54" i="24"/>
  <c r="C18" i="33" s="1"/>
  <c r="G54" i="24"/>
  <c r="D18" i="33" s="1"/>
  <c r="G55" i="24"/>
  <c r="D19" i="33" s="1"/>
  <c r="F19" i="33" s="1"/>
  <c r="F55" i="24"/>
  <c r="C19" i="33" s="1"/>
  <c r="G56" i="24"/>
  <c r="D20" i="33" s="1"/>
  <c r="F20" i="33" s="1"/>
  <c r="F56" i="24"/>
  <c r="C20" i="33" s="1"/>
  <c r="F57" i="24"/>
  <c r="C21" i="33" s="1"/>
  <c r="G57" i="24"/>
  <c r="D21" i="33" s="1"/>
  <c r="F21" i="33" s="1"/>
  <c r="F58" i="24"/>
  <c r="C22" i="33" s="1"/>
  <c r="G58" i="24"/>
  <c r="D22" i="33" s="1"/>
  <c r="F22" i="33" s="1"/>
  <c r="F59" i="24"/>
  <c r="C23" i="33" s="1"/>
  <c r="G59" i="24"/>
  <c r="D23" i="33" s="1"/>
  <c r="F23" i="33" s="1"/>
  <c r="F60" i="24"/>
  <c r="C24" i="33" s="1"/>
  <c r="G60" i="24"/>
  <c r="D24" i="33" s="1"/>
  <c r="F24" i="33" s="1"/>
  <c r="G61" i="24"/>
  <c r="D25" i="33" s="1"/>
  <c r="F25" i="33" s="1"/>
  <c r="F61" i="24"/>
  <c r="C25" i="33" s="1"/>
  <c r="F62" i="24"/>
  <c r="C26" i="33" s="1"/>
  <c r="G62" i="24"/>
  <c r="D26" i="33" s="1"/>
  <c r="F26" i="33" s="1"/>
  <c r="G63" i="24"/>
  <c r="D27" i="33" s="1"/>
  <c r="F27" i="33" s="1"/>
  <c r="F63" i="24"/>
  <c r="C27" i="33" s="1"/>
  <c r="G64" i="24"/>
  <c r="D28" i="33" s="1"/>
  <c r="F28" i="33" s="1"/>
  <c r="F64" i="24"/>
  <c r="C28" i="33" s="1"/>
  <c r="F65" i="24"/>
  <c r="C29" i="33" s="1"/>
  <c r="G65" i="24"/>
  <c r="D29" i="33" s="1"/>
  <c r="F29" i="33" s="1"/>
  <c r="L23" i="31"/>
  <c r="G66" i="24"/>
  <c r="D30" i="33" s="1"/>
  <c r="F30" i="33" s="1"/>
  <c r="F66" i="24"/>
  <c r="C30" i="33" s="1"/>
  <c r="F67" i="24"/>
  <c r="C31" i="33" s="1"/>
  <c r="G67" i="24"/>
  <c r="D31" i="33" s="1"/>
  <c r="F31" i="33" s="1"/>
  <c r="G68" i="24"/>
  <c r="D32" i="33" s="1"/>
  <c r="F32" i="33" s="1"/>
  <c r="F68" i="24"/>
  <c r="C32" i="33" s="1"/>
  <c r="G69" i="24"/>
  <c r="D33" i="33" s="1"/>
  <c r="F33" i="33" s="1"/>
  <c r="F69" i="24"/>
  <c r="C33" i="33" s="1"/>
  <c r="G70" i="24"/>
  <c r="D34" i="33" s="1"/>
  <c r="F34" i="33" s="1"/>
  <c r="F70" i="24"/>
  <c r="C34" i="33" s="1"/>
  <c r="F71" i="24"/>
  <c r="C35" i="33" s="1"/>
  <c r="G71" i="24"/>
  <c r="D35" i="33" s="1"/>
  <c r="F35" i="33" s="1"/>
  <c r="H38" i="26"/>
  <c r="K37" i="26"/>
  <c r="J37" i="26"/>
  <c r="E36" i="26"/>
  <c r="F36" i="26"/>
  <c r="D37" i="26"/>
  <c r="B38" i="26"/>
  <c r="C29" i="31" l="1"/>
  <c r="K29" i="31" s="1"/>
  <c r="C27" i="31"/>
  <c r="K27" i="31" s="1"/>
  <c r="C25" i="31"/>
  <c r="K25" i="31" s="1"/>
  <c r="C23" i="31"/>
  <c r="K23" i="31" s="1"/>
  <c r="M23" i="31" s="1"/>
  <c r="D21" i="31"/>
  <c r="L21" i="31" s="1"/>
  <c r="C21" i="31"/>
  <c r="K21" i="31" s="1"/>
  <c r="D20" i="31"/>
  <c r="L20" i="31" s="1"/>
  <c r="C14" i="31"/>
  <c r="K14" i="31" s="1"/>
  <c r="D13" i="31"/>
  <c r="L13" i="31" s="1"/>
  <c r="D12" i="31"/>
  <c r="L12" i="31" s="1"/>
  <c r="D11" i="31"/>
  <c r="L11" i="31" s="1"/>
  <c r="D47" i="33"/>
  <c r="D29" i="31"/>
  <c r="L29" i="31" s="1"/>
  <c r="D27" i="31"/>
  <c r="L27" i="31" s="1"/>
  <c r="D25" i="31"/>
  <c r="L25" i="31" s="1"/>
  <c r="C19" i="31"/>
  <c r="K19" i="31" s="1"/>
  <c r="D17" i="31"/>
  <c r="L17" i="31" s="1"/>
  <c r="D16" i="31"/>
  <c r="L16" i="31" s="1"/>
  <c r="D14" i="31"/>
  <c r="L14" i="31" s="1"/>
  <c r="C13" i="31"/>
  <c r="K13" i="31" s="1"/>
  <c r="C12" i="31"/>
  <c r="K12" i="31" s="1"/>
  <c r="M12" i="31" s="1"/>
  <c r="C47" i="33"/>
  <c r="L40" i="26"/>
  <c r="I41" i="26"/>
  <c r="C28" i="31"/>
  <c r="K28" i="31" s="1"/>
  <c r="D26" i="31"/>
  <c r="L26" i="31" s="1"/>
  <c r="C24" i="31"/>
  <c r="K24" i="31" s="1"/>
  <c r="C22" i="31"/>
  <c r="K22" i="31" s="1"/>
  <c r="C20" i="31"/>
  <c r="K20" i="31" s="1"/>
  <c r="M20" i="31" s="1"/>
  <c r="N20" i="31" s="1"/>
  <c r="T20" i="31" s="1"/>
  <c r="D19" i="31"/>
  <c r="L19" i="31" s="1"/>
  <c r="C18" i="31"/>
  <c r="K18" i="31" s="1"/>
  <c r="C15" i="31"/>
  <c r="K15" i="31" s="1"/>
  <c r="D28" i="31"/>
  <c r="L28" i="31" s="1"/>
  <c r="M28" i="31" s="1"/>
  <c r="C26" i="31"/>
  <c r="K26" i="31" s="1"/>
  <c r="M26" i="31" s="1"/>
  <c r="N26" i="31" s="1"/>
  <c r="T26" i="31" s="1"/>
  <c r="D24" i="31"/>
  <c r="L24" i="31" s="1"/>
  <c r="D22" i="31"/>
  <c r="L22" i="31" s="1"/>
  <c r="M22" i="31" s="1"/>
  <c r="N22" i="31" s="1"/>
  <c r="T22" i="31" s="1"/>
  <c r="D18" i="31"/>
  <c r="L18" i="31" s="1"/>
  <c r="C17" i="31"/>
  <c r="K17" i="31" s="1"/>
  <c r="M17" i="31" s="1"/>
  <c r="N17" i="31" s="1"/>
  <c r="T17" i="31" s="1"/>
  <c r="C16" i="31"/>
  <c r="K16" i="31" s="1"/>
  <c r="D15" i="31"/>
  <c r="L15" i="31" s="1"/>
  <c r="C11" i="31"/>
  <c r="K11" i="31" s="1"/>
  <c r="AK30" i="31"/>
  <c r="J74" i="24"/>
  <c r="Q37" i="33"/>
  <c r="F34" i="35"/>
  <c r="E34" i="35"/>
  <c r="C35" i="35"/>
  <c r="D35" i="35" s="1"/>
  <c r="O36" i="26"/>
  <c r="N36" i="26"/>
  <c r="E35" i="33"/>
  <c r="H71" i="24"/>
  <c r="J33" i="33"/>
  <c r="N33" i="33" s="1"/>
  <c r="H33" i="33"/>
  <c r="L33" i="33" s="1"/>
  <c r="E31" i="33"/>
  <c r="H67" i="24"/>
  <c r="E29" i="33"/>
  <c r="H65" i="24"/>
  <c r="J27" i="33"/>
  <c r="N27" i="33" s="1"/>
  <c r="H27" i="33"/>
  <c r="L27" i="33" s="1"/>
  <c r="J25" i="33"/>
  <c r="N25" i="33" s="1"/>
  <c r="H25" i="33"/>
  <c r="L25" i="33" s="1"/>
  <c r="E23" i="33"/>
  <c r="H59" i="24"/>
  <c r="E21" i="33"/>
  <c r="H57" i="24"/>
  <c r="H19" i="33"/>
  <c r="L19" i="33" s="1"/>
  <c r="J19" i="33"/>
  <c r="N19" i="33" s="1"/>
  <c r="F18" i="33"/>
  <c r="H54" i="24"/>
  <c r="E34" i="33"/>
  <c r="H70" i="24"/>
  <c r="E30" i="33"/>
  <c r="H66" i="24"/>
  <c r="E28" i="33"/>
  <c r="H64" i="24"/>
  <c r="H26" i="33"/>
  <c r="L26" i="33" s="1"/>
  <c r="J26" i="33"/>
  <c r="N26" i="33" s="1"/>
  <c r="J24" i="33"/>
  <c r="N24" i="33" s="1"/>
  <c r="H24" i="33"/>
  <c r="L24" i="33" s="1"/>
  <c r="J22" i="33"/>
  <c r="N22" i="33" s="1"/>
  <c r="H22" i="33"/>
  <c r="L22" i="33" s="1"/>
  <c r="E20" i="33"/>
  <c r="H56" i="24"/>
  <c r="M37" i="26"/>
  <c r="J35" i="35" s="1"/>
  <c r="H30" i="33"/>
  <c r="L30" i="33" s="1"/>
  <c r="J30" i="33"/>
  <c r="N30" i="33" s="1"/>
  <c r="E26" i="33"/>
  <c r="H62" i="24"/>
  <c r="E22" i="33"/>
  <c r="H58" i="24"/>
  <c r="H20" i="33"/>
  <c r="L20" i="33" s="1"/>
  <c r="J20" i="33"/>
  <c r="N20" i="33" s="1"/>
  <c r="M27" i="31"/>
  <c r="E32" i="33"/>
  <c r="H68" i="24"/>
  <c r="J28" i="33"/>
  <c r="N28" i="33" s="1"/>
  <c r="H28" i="33"/>
  <c r="L28" i="33" s="1"/>
  <c r="H39" i="26"/>
  <c r="H40" i="26" s="1"/>
  <c r="K38" i="26"/>
  <c r="J38" i="26"/>
  <c r="H34" i="33"/>
  <c r="L34" i="33" s="1"/>
  <c r="J34" i="33"/>
  <c r="N34" i="33" s="1"/>
  <c r="H32" i="33"/>
  <c r="L32" i="33" s="1"/>
  <c r="J32" i="33"/>
  <c r="N32" i="33" s="1"/>
  <c r="E24" i="33"/>
  <c r="H60" i="24"/>
  <c r="C75" i="24"/>
  <c r="E74" i="24"/>
  <c r="H35" i="33"/>
  <c r="L35" i="33" s="1"/>
  <c r="J35" i="33"/>
  <c r="N35" i="33" s="1"/>
  <c r="E33" i="33"/>
  <c r="H69" i="24"/>
  <c r="H31" i="33"/>
  <c r="L31" i="33" s="1"/>
  <c r="J31" i="33"/>
  <c r="N31" i="33" s="1"/>
  <c r="H29" i="33"/>
  <c r="L29" i="33" s="1"/>
  <c r="J29" i="33"/>
  <c r="N29" i="33" s="1"/>
  <c r="E27" i="33"/>
  <c r="H63" i="24"/>
  <c r="E25" i="33"/>
  <c r="H61" i="24"/>
  <c r="H23" i="33"/>
  <c r="L23" i="33" s="1"/>
  <c r="J23" i="33"/>
  <c r="N23" i="33" s="1"/>
  <c r="J21" i="33"/>
  <c r="N21" i="33" s="1"/>
  <c r="H21" i="33"/>
  <c r="L21" i="33" s="1"/>
  <c r="E19" i="33"/>
  <c r="H55" i="24"/>
  <c r="I36" i="33"/>
  <c r="G36" i="33"/>
  <c r="K36" i="33" s="1"/>
  <c r="E37" i="26"/>
  <c r="F37" i="26"/>
  <c r="D38" i="26"/>
  <c r="B39" i="26"/>
  <c r="B40" i="26" s="1"/>
  <c r="M14" i="31" l="1"/>
  <c r="N14" i="31" s="1"/>
  <c r="T14" i="31" s="1"/>
  <c r="M15" i="31"/>
  <c r="M21" i="31"/>
  <c r="O21" i="31" s="1"/>
  <c r="M13" i="31"/>
  <c r="M24" i="31"/>
  <c r="N24" i="31" s="1"/>
  <c r="T24" i="31" s="1"/>
  <c r="M16" i="31"/>
  <c r="O16" i="31" s="1"/>
  <c r="M19" i="31"/>
  <c r="N19" i="31" s="1"/>
  <c r="T19" i="31" s="1"/>
  <c r="M18" i="31"/>
  <c r="O18" i="31" s="1"/>
  <c r="M25" i="31"/>
  <c r="N25" i="31" s="1"/>
  <c r="T25" i="31" s="1"/>
  <c r="K40" i="26"/>
  <c r="J40" i="26"/>
  <c r="H41" i="26"/>
  <c r="L41" i="26"/>
  <c r="I42" i="26"/>
  <c r="M11" i="31"/>
  <c r="M29" i="31"/>
  <c r="B41" i="26"/>
  <c r="D40" i="26"/>
  <c r="R37" i="33"/>
  <c r="S37" i="33"/>
  <c r="AK31" i="31"/>
  <c r="J75" i="24"/>
  <c r="Q38" i="33"/>
  <c r="N12" i="31"/>
  <c r="O12" i="31"/>
  <c r="F35" i="35"/>
  <c r="E35" i="35"/>
  <c r="C36" i="35"/>
  <c r="D36" i="35" s="1"/>
  <c r="V21" i="31"/>
  <c r="Y21" i="31"/>
  <c r="V16" i="31"/>
  <c r="Y16" i="31"/>
  <c r="Y18" i="31"/>
  <c r="V18" i="31"/>
  <c r="O17" i="31"/>
  <c r="O26" i="31"/>
  <c r="O14" i="31"/>
  <c r="O22" i="31"/>
  <c r="O20" i="31"/>
  <c r="M36" i="33"/>
  <c r="P36" i="33" s="1"/>
  <c r="S36" i="33" s="1"/>
  <c r="O36" i="33"/>
  <c r="R36" i="33" s="1"/>
  <c r="N21" i="31"/>
  <c r="N18" i="31"/>
  <c r="N16" i="31"/>
  <c r="I24" i="33"/>
  <c r="G24" i="33"/>
  <c r="K24" i="33" s="1"/>
  <c r="N27" i="31"/>
  <c r="T27" i="31" s="1"/>
  <c r="O27" i="31"/>
  <c r="U21" i="31"/>
  <c r="X21" i="31"/>
  <c r="W21" i="31"/>
  <c r="Q20" i="31"/>
  <c r="R20" i="31"/>
  <c r="P20" i="31"/>
  <c r="S20" i="31"/>
  <c r="O19" i="31"/>
  <c r="J39" i="26"/>
  <c r="K39" i="26"/>
  <c r="J18" i="33"/>
  <c r="H18" i="33"/>
  <c r="G21" i="33"/>
  <c r="K21" i="33" s="1"/>
  <c r="I21" i="33"/>
  <c r="M21" i="33" s="1"/>
  <c r="G29" i="33"/>
  <c r="K29" i="33" s="1"/>
  <c r="I29" i="33"/>
  <c r="M29" i="33" s="1"/>
  <c r="N23" i="31"/>
  <c r="T23" i="31" s="1"/>
  <c r="O23" i="31"/>
  <c r="Q17" i="31"/>
  <c r="S17" i="31"/>
  <c r="P17" i="31"/>
  <c r="R17" i="31"/>
  <c r="G20" i="33"/>
  <c r="K20" i="33" s="1"/>
  <c r="I20" i="33"/>
  <c r="I28" i="33"/>
  <c r="G28" i="33"/>
  <c r="K28" i="33" s="1"/>
  <c r="Q14" i="31"/>
  <c r="P14" i="31"/>
  <c r="S14" i="31"/>
  <c r="R14" i="31"/>
  <c r="Q22" i="31"/>
  <c r="S22" i="31"/>
  <c r="P22" i="31"/>
  <c r="R22" i="31"/>
  <c r="I23" i="33"/>
  <c r="M23" i="33" s="1"/>
  <c r="G23" i="33"/>
  <c r="K23" i="33" s="1"/>
  <c r="G31" i="33"/>
  <c r="K31" i="33" s="1"/>
  <c r="I31" i="33"/>
  <c r="M31" i="33" s="1"/>
  <c r="I19" i="33"/>
  <c r="M19" i="33" s="1"/>
  <c r="G19" i="33"/>
  <c r="K19" i="33" s="1"/>
  <c r="C76" i="24"/>
  <c r="E75" i="24"/>
  <c r="I22" i="33"/>
  <c r="G22" i="33"/>
  <c r="K22" i="33" s="1"/>
  <c r="P25" i="31"/>
  <c r="X26" i="31"/>
  <c r="I27" i="33"/>
  <c r="M27" i="33" s="1"/>
  <c r="G27" i="33"/>
  <c r="K27" i="33" s="1"/>
  <c r="O13" i="31"/>
  <c r="N13" i="31"/>
  <c r="T13" i="31" s="1"/>
  <c r="O37" i="26"/>
  <c r="N37" i="26"/>
  <c r="G30" i="33"/>
  <c r="K30" i="33" s="1"/>
  <c r="I30" i="33"/>
  <c r="E18" i="33"/>
  <c r="X16" i="31"/>
  <c r="U16" i="31"/>
  <c r="W16" i="31"/>
  <c r="Q26" i="31"/>
  <c r="S26" i="31"/>
  <c r="P26" i="31"/>
  <c r="R26" i="31"/>
  <c r="I25" i="33"/>
  <c r="M25" i="33" s="1"/>
  <c r="G25" i="33"/>
  <c r="K25" i="33" s="1"/>
  <c r="I33" i="33"/>
  <c r="M33" i="33" s="1"/>
  <c r="G33" i="33"/>
  <c r="K33" i="33" s="1"/>
  <c r="O15" i="31"/>
  <c r="N15" i="31"/>
  <c r="T15" i="31" s="1"/>
  <c r="I26" i="33"/>
  <c r="G26" i="33"/>
  <c r="K26" i="33" s="1"/>
  <c r="U18" i="31"/>
  <c r="X18" i="31"/>
  <c r="W18" i="31"/>
  <c r="M38" i="26"/>
  <c r="J36" i="35" s="1"/>
  <c r="I32" i="33"/>
  <c r="G32" i="33"/>
  <c r="K32" i="33" s="1"/>
  <c r="G34" i="33"/>
  <c r="K34" i="33" s="1"/>
  <c r="I34" i="33"/>
  <c r="O28" i="31"/>
  <c r="N28" i="31"/>
  <c r="T28" i="31" s="1"/>
  <c r="G35" i="33"/>
  <c r="K35" i="33" s="1"/>
  <c r="I35" i="33"/>
  <c r="M35" i="33" s="1"/>
  <c r="F38" i="26"/>
  <c r="E38" i="26"/>
  <c r="D39" i="26"/>
  <c r="O24" i="31" l="1"/>
  <c r="R25" i="31"/>
  <c r="O25" i="31"/>
  <c r="S25" i="31"/>
  <c r="Q25" i="31"/>
  <c r="M40" i="26"/>
  <c r="O40" i="26" s="1"/>
  <c r="T37" i="33"/>
  <c r="V37" i="33" s="1"/>
  <c r="T12" i="31"/>
  <c r="P12" i="31"/>
  <c r="S12" i="31"/>
  <c r="Q12" i="31"/>
  <c r="R12" i="31"/>
  <c r="AK32" i="31"/>
  <c r="Q39" i="33"/>
  <c r="J76" i="24"/>
  <c r="M35" i="35"/>
  <c r="L18" i="33"/>
  <c r="L47" i="33" s="1"/>
  <c r="H47" i="33"/>
  <c r="C38" i="35"/>
  <c r="D38" i="35" s="1"/>
  <c r="F40" i="26"/>
  <c r="E40" i="26"/>
  <c r="K41" i="26"/>
  <c r="H42" i="26"/>
  <c r="J41" i="26"/>
  <c r="N18" i="33"/>
  <c r="N47" i="33" s="1"/>
  <c r="J47" i="33"/>
  <c r="B42" i="26"/>
  <c r="D41" i="26"/>
  <c r="O11" i="31"/>
  <c r="N11" i="31"/>
  <c r="J38" i="35"/>
  <c r="W12" i="31"/>
  <c r="U12" i="31"/>
  <c r="V12" i="31"/>
  <c r="X12" i="31"/>
  <c r="Y12" i="31"/>
  <c r="R38" i="33"/>
  <c r="S38" i="33"/>
  <c r="N29" i="31"/>
  <c r="O29" i="31"/>
  <c r="L42" i="26"/>
  <c r="I43" i="26"/>
  <c r="E36" i="35"/>
  <c r="F36" i="35"/>
  <c r="C37" i="35"/>
  <c r="D37" i="35" s="1"/>
  <c r="V23" i="31"/>
  <c r="Y23" i="31"/>
  <c r="AI23" i="31" s="1"/>
  <c r="Y26" i="31"/>
  <c r="AI26" i="31" s="1"/>
  <c r="V26" i="31"/>
  <c r="AF26" i="31" s="1"/>
  <c r="U14" i="31"/>
  <c r="AE14" i="31" s="1"/>
  <c r="V14" i="31"/>
  <c r="AF14" i="31" s="1"/>
  <c r="Y14" i="31"/>
  <c r="AI14" i="31" s="1"/>
  <c r="Y17" i="31"/>
  <c r="AI17" i="31" s="1"/>
  <c r="V17" i="31"/>
  <c r="AF17" i="31" s="1"/>
  <c r="V19" i="31"/>
  <c r="Y19" i="31"/>
  <c r="AI19" i="31" s="1"/>
  <c r="V15" i="31"/>
  <c r="Y15" i="31"/>
  <c r="V27" i="31"/>
  <c r="Y27" i="31"/>
  <c r="AI27" i="31" s="1"/>
  <c r="Y25" i="31"/>
  <c r="AI25" i="31" s="1"/>
  <c r="V25" i="31"/>
  <c r="AF25" i="31" s="1"/>
  <c r="V28" i="31"/>
  <c r="Y28" i="31"/>
  <c r="AI28" i="31" s="1"/>
  <c r="U20" i="31"/>
  <c r="V20" i="31"/>
  <c r="AF20" i="31" s="1"/>
  <c r="Y20" i="31"/>
  <c r="AI20" i="31" s="1"/>
  <c r="AI15" i="31"/>
  <c r="V24" i="31"/>
  <c r="Y24" i="31"/>
  <c r="AI24" i="31" s="1"/>
  <c r="V13" i="31"/>
  <c r="Y13" i="31"/>
  <c r="AI13" i="31" s="1"/>
  <c r="U22" i="31"/>
  <c r="AE22" i="31" s="1"/>
  <c r="V22" i="31"/>
  <c r="AF22" i="31" s="1"/>
  <c r="Y22" i="31"/>
  <c r="AI22" i="31" s="1"/>
  <c r="S18" i="31"/>
  <c r="AH18" i="31" s="1"/>
  <c r="T18" i="31"/>
  <c r="AI18" i="31" s="1"/>
  <c r="W14" i="31"/>
  <c r="AG14" i="31" s="1"/>
  <c r="P21" i="31"/>
  <c r="AE21" i="31" s="1"/>
  <c r="T21" i="31"/>
  <c r="AI21" i="31" s="1"/>
  <c r="P16" i="31"/>
  <c r="AE16" i="31" s="1"/>
  <c r="T16" i="31"/>
  <c r="AI16" i="31" s="1"/>
  <c r="X14" i="31"/>
  <c r="AH14" i="31" s="1"/>
  <c r="S21" i="31"/>
  <c r="AH21" i="31" s="1"/>
  <c r="AE20" i="31"/>
  <c r="M39" i="26"/>
  <c r="W26" i="31"/>
  <c r="AG26" i="31" s="1"/>
  <c r="U26" i="31"/>
  <c r="AE26" i="31" s="1"/>
  <c r="W17" i="31"/>
  <c r="AG17" i="31" s="1"/>
  <c r="AH26" i="31"/>
  <c r="U17" i="31"/>
  <c r="AE17" i="31" s="1"/>
  <c r="X17" i="31"/>
  <c r="AH17" i="31" s="1"/>
  <c r="P18" i="31"/>
  <c r="AE18" i="31" s="1"/>
  <c r="R18" i="31"/>
  <c r="AG18" i="31" s="1"/>
  <c r="Q18" i="31"/>
  <c r="AF18" i="31" s="1"/>
  <c r="X22" i="31"/>
  <c r="AH22" i="31" s="1"/>
  <c r="W22" i="31"/>
  <c r="Q16" i="31"/>
  <c r="AF16" i="31" s="1"/>
  <c r="W20" i="31"/>
  <c r="AG20" i="31" s="1"/>
  <c r="X20" i="31"/>
  <c r="AH20" i="31" s="1"/>
  <c r="W25" i="31"/>
  <c r="AG25" i="31" s="1"/>
  <c r="X25" i="31"/>
  <c r="AH25" i="31" s="1"/>
  <c r="Q21" i="31"/>
  <c r="AF21" i="31" s="1"/>
  <c r="R21" i="31"/>
  <c r="AG21" i="31" s="1"/>
  <c r="U25" i="31"/>
  <c r="AE25" i="31" s="1"/>
  <c r="S16" i="31"/>
  <c r="AH16" i="31" s="1"/>
  <c r="R16" i="31"/>
  <c r="AG16" i="31" s="1"/>
  <c r="M22" i="33"/>
  <c r="P22" i="33" s="1"/>
  <c r="S22" i="33" s="1"/>
  <c r="M34" i="33"/>
  <c r="M26" i="33"/>
  <c r="P26" i="33" s="1"/>
  <c r="S26" i="33" s="1"/>
  <c r="M24" i="33"/>
  <c r="M30" i="33"/>
  <c r="P30" i="33" s="1"/>
  <c r="S30" i="33" s="1"/>
  <c r="M28" i="33"/>
  <c r="M32" i="33"/>
  <c r="M20" i="33"/>
  <c r="T36" i="33"/>
  <c r="M34" i="35" s="1"/>
  <c r="P31" i="33"/>
  <c r="S31" i="33" s="1"/>
  <c r="O32" i="33"/>
  <c r="R32" i="33" s="1"/>
  <c r="O25" i="33"/>
  <c r="R25" i="33" s="1"/>
  <c r="O27" i="33"/>
  <c r="R27" i="33" s="1"/>
  <c r="P35" i="33"/>
  <c r="S35" i="33" s="1"/>
  <c r="P25" i="33"/>
  <c r="S25" i="33" s="1"/>
  <c r="P27" i="33"/>
  <c r="S27" i="33" s="1"/>
  <c r="O35" i="33"/>
  <c r="R35" i="33" s="1"/>
  <c r="O26" i="33"/>
  <c r="R26" i="33" s="1"/>
  <c r="O33" i="33"/>
  <c r="R33" i="33" s="1"/>
  <c r="O22" i="33"/>
  <c r="R22" i="33" s="1"/>
  <c r="O19" i="33"/>
  <c r="R19" i="33" s="1"/>
  <c r="O23" i="33"/>
  <c r="R23" i="33" s="1"/>
  <c r="O28" i="33"/>
  <c r="R28" i="33" s="1"/>
  <c r="P21" i="33"/>
  <c r="S21" i="33" s="1"/>
  <c r="O30" i="33"/>
  <c r="R30" i="33" s="1"/>
  <c r="O31" i="33"/>
  <c r="R31" i="33" s="1"/>
  <c r="O34" i="33"/>
  <c r="R34" i="33" s="1"/>
  <c r="P33" i="33"/>
  <c r="S33" i="33" s="1"/>
  <c r="P19" i="33"/>
  <c r="S19" i="33" s="1"/>
  <c r="P23" i="33"/>
  <c r="S23" i="33" s="1"/>
  <c r="O20" i="33"/>
  <c r="R20" i="33" s="1"/>
  <c r="O29" i="33"/>
  <c r="R29" i="33" s="1"/>
  <c r="E76" i="24"/>
  <c r="C77" i="24"/>
  <c r="U24" i="31"/>
  <c r="W24" i="31"/>
  <c r="X24" i="31"/>
  <c r="P15" i="31"/>
  <c r="Q15" i="31"/>
  <c r="AF15" i="31" s="1"/>
  <c r="R15" i="31"/>
  <c r="S15" i="31"/>
  <c r="I18" i="33"/>
  <c r="G18" i="33"/>
  <c r="W28" i="31"/>
  <c r="X28" i="31"/>
  <c r="U28" i="31"/>
  <c r="Q24" i="31"/>
  <c r="R24" i="31"/>
  <c r="S24" i="31"/>
  <c r="P24" i="31"/>
  <c r="W15" i="31"/>
  <c r="U15" i="31"/>
  <c r="X15" i="31"/>
  <c r="S13" i="31"/>
  <c r="P13" i="31"/>
  <c r="R13" i="31"/>
  <c r="Q13" i="31"/>
  <c r="W19" i="31"/>
  <c r="U19" i="31"/>
  <c r="X19" i="31"/>
  <c r="N38" i="26"/>
  <c r="O38" i="26"/>
  <c r="X13" i="31"/>
  <c r="U13" i="31"/>
  <c r="W13" i="31"/>
  <c r="U23" i="31"/>
  <c r="X23" i="31"/>
  <c r="W23" i="31"/>
  <c r="S19" i="31"/>
  <c r="P19" i="31"/>
  <c r="R19" i="31"/>
  <c r="Q19" i="31"/>
  <c r="U27" i="31"/>
  <c r="X27" i="31"/>
  <c r="W27" i="31"/>
  <c r="Q28" i="31"/>
  <c r="S28" i="31"/>
  <c r="P28" i="31"/>
  <c r="R28" i="31"/>
  <c r="Q23" i="31"/>
  <c r="AF23" i="31" s="1"/>
  <c r="P23" i="31"/>
  <c r="R23" i="31"/>
  <c r="S23" i="31"/>
  <c r="Q27" i="31"/>
  <c r="S27" i="31"/>
  <c r="R27" i="31"/>
  <c r="P27" i="31"/>
  <c r="F39" i="26"/>
  <c r="E39" i="26"/>
  <c r="N40" i="26" l="1"/>
  <c r="T35" i="33"/>
  <c r="AF13" i="31"/>
  <c r="U37" i="33"/>
  <c r="AF27" i="31"/>
  <c r="M41" i="26"/>
  <c r="J39" i="35" s="1"/>
  <c r="U29" i="31"/>
  <c r="X29" i="31"/>
  <c r="V29" i="31"/>
  <c r="Y29" i="31"/>
  <c r="W29" i="31"/>
  <c r="T11" i="31"/>
  <c r="S11" i="31"/>
  <c r="Q11" i="31"/>
  <c r="R11" i="31"/>
  <c r="P11" i="31"/>
  <c r="AF12" i="31"/>
  <c r="K18" i="33"/>
  <c r="G47" i="33"/>
  <c r="M18" i="33"/>
  <c r="M47" i="33" s="1"/>
  <c r="I47" i="33"/>
  <c r="T29" i="31"/>
  <c r="S29" i="31"/>
  <c r="Q29" i="31"/>
  <c r="P29" i="31"/>
  <c r="R29" i="31"/>
  <c r="W11" i="31"/>
  <c r="X11" i="31"/>
  <c r="X40" i="31" s="1"/>
  <c r="V11" i="31"/>
  <c r="V40" i="31" s="1"/>
  <c r="U11" i="31"/>
  <c r="Y11" i="31"/>
  <c r="AK33" i="31"/>
  <c r="Q40" i="33"/>
  <c r="J77" i="24"/>
  <c r="AH12" i="31"/>
  <c r="L43" i="26"/>
  <c r="I44" i="26"/>
  <c r="C39" i="35"/>
  <c r="D39" i="35" s="1"/>
  <c r="E41" i="26"/>
  <c r="F41" i="26"/>
  <c r="S39" i="33"/>
  <c r="R39" i="33"/>
  <c r="AE12" i="31"/>
  <c r="T38" i="33"/>
  <c r="B43" i="26"/>
  <c r="D42" i="26"/>
  <c r="K42" i="26"/>
  <c r="H43" i="26"/>
  <c r="J42" i="26"/>
  <c r="F38" i="35"/>
  <c r="E38" i="35"/>
  <c r="AG12" i="31"/>
  <c r="AI12" i="31"/>
  <c r="W40" i="31"/>
  <c r="T30" i="33"/>
  <c r="M28" i="35" s="1"/>
  <c r="F37" i="35"/>
  <c r="E37" i="35"/>
  <c r="AE23" i="31"/>
  <c r="AF19" i="31"/>
  <c r="AH24" i="31"/>
  <c r="AH23" i="31"/>
  <c r="AF24" i="31"/>
  <c r="AF28" i="31"/>
  <c r="AH19" i="31"/>
  <c r="AE24" i="31"/>
  <c r="AE27" i="31"/>
  <c r="AG28" i="31"/>
  <c r="V35" i="33"/>
  <c r="M33" i="35"/>
  <c r="J37" i="35"/>
  <c r="T31" i="33"/>
  <c r="M29" i="35" s="1"/>
  <c r="AG24" i="31"/>
  <c r="AJ26" i="31"/>
  <c r="AL26" i="31" s="1"/>
  <c r="N31" i="35" s="1"/>
  <c r="AJ21" i="31"/>
  <c r="AL21" i="31" s="1"/>
  <c r="N26" i="35" s="1"/>
  <c r="O39" i="26"/>
  <c r="N39" i="26"/>
  <c r="V36" i="33"/>
  <c r="U36" i="33"/>
  <c r="AJ20" i="31"/>
  <c r="AL20" i="31" s="1"/>
  <c r="N25" i="35" s="1"/>
  <c r="AH27" i="31"/>
  <c r="AH28" i="31"/>
  <c r="AE19" i="31"/>
  <c r="AG27" i="31"/>
  <c r="AG23" i="31"/>
  <c r="AE28" i="31"/>
  <c r="AG19" i="31"/>
  <c r="AE13" i="31"/>
  <c r="AG15" i="31"/>
  <c r="AJ16" i="31"/>
  <c r="AL16" i="31" s="1"/>
  <c r="N21" i="35" s="1"/>
  <c r="AH13" i="31"/>
  <c r="AJ14" i="31"/>
  <c r="AL14" i="31" s="1"/>
  <c r="AJ17" i="31"/>
  <c r="AL17" i="31" s="1"/>
  <c r="AN17" i="31" s="1"/>
  <c r="AG22" i="31"/>
  <c r="AJ22" i="31" s="1"/>
  <c r="AL22" i="31" s="1"/>
  <c r="N27" i="35" s="1"/>
  <c r="AE15" i="31"/>
  <c r="AJ25" i="31"/>
  <c r="AL25" i="31" s="1"/>
  <c r="AG13" i="31"/>
  <c r="AH15" i="31"/>
  <c r="AJ18" i="31"/>
  <c r="AL18" i="31" s="1"/>
  <c r="N23" i="35" s="1"/>
  <c r="AN20" i="31"/>
  <c r="T26" i="33"/>
  <c r="T27" i="33"/>
  <c r="M25" i="35" s="1"/>
  <c r="T25" i="33"/>
  <c r="M23" i="35" s="1"/>
  <c r="T22" i="33"/>
  <c r="M20" i="35" s="1"/>
  <c r="P20" i="33"/>
  <c r="S20" i="33" s="1"/>
  <c r="P28" i="33"/>
  <c r="S28" i="33" s="1"/>
  <c r="T28" i="33" s="1"/>
  <c r="M26" i="35" s="1"/>
  <c r="P24" i="33"/>
  <c r="S24" i="33" s="1"/>
  <c r="P34" i="33"/>
  <c r="S34" i="33" s="1"/>
  <c r="T34" i="33" s="1"/>
  <c r="P32" i="33"/>
  <c r="S32" i="33" s="1"/>
  <c r="T32" i="33" s="1"/>
  <c r="M30" i="35" s="1"/>
  <c r="T23" i="33"/>
  <c r="M21" i="35" s="1"/>
  <c r="T19" i="33"/>
  <c r="M17" i="35" s="1"/>
  <c r="T33" i="33"/>
  <c r="M31" i="35" s="1"/>
  <c r="T20" i="33"/>
  <c r="M18" i="35" s="1"/>
  <c r="U30" i="33"/>
  <c r="V30" i="33"/>
  <c r="O24" i="33"/>
  <c r="R24" i="33" s="1"/>
  <c r="O21" i="33"/>
  <c r="R21" i="33" s="1"/>
  <c r="T21" i="33" s="1"/>
  <c r="M19" i="35" s="1"/>
  <c r="U35" i="33"/>
  <c r="P29" i="33"/>
  <c r="S29" i="33" s="1"/>
  <c r="T29" i="33" s="1"/>
  <c r="M27" i="35" s="1"/>
  <c r="E77" i="24"/>
  <c r="C78" i="24"/>
  <c r="U31" i="33"/>
  <c r="O41" i="26" l="1"/>
  <c r="AE11" i="31"/>
  <c r="T40" i="31"/>
  <c r="N41" i="26"/>
  <c r="AF29" i="31"/>
  <c r="P18" i="33"/>
  <c r="P40" i="31"/>
  <c r="U40" i="31"/>
  <c r="AG29" i="31"/>
  <c r="AH29" i="31"/>
  <c r="M42" i="26"/>
  <c r="N42" i="26" s="1"/>
  <c r="B44" i="26"/>
  <c r="D43" i="26"/>
  <c r="L44" i="26"/>
  <c r="I45" i="26"/>
  <c r="AH11" i="31"/>
  <c r="K43" i="26"/>
  <c r="H44" i="26"/>
  <c r="J43" i="26"/>
  <c r="M36" i="35"/>
  <c r="Q36" i="35" s="1"/>
  <c r="U38" i="33"/>
  <c r="V38" i="33"/>
  <c r="AI11" i="31"/>
  <c r="Y40" i="31"/>
  <c r="AJ12" i="31"/>
  <c r="AL12" i="31" s="1"/>
  <c r="F39" i="35"/>
  <c r="E39" i="35"/>
  <c r="S40" i="33"/>
  <c r="R40" i="33"/>
  <c r="O18" i="33"/>
  <c r="K47" i="33"/>
  <c r="AG11" i="31"/>
  <c r="AE29" i="31"/>
  <c r="S18" i="33"/>
  <c r="P47" i="33"/>
  <c r="C40" i="35"/>
  <c r="F42" i="26"/>
  <c r="E42" i="26"/>
  <c r="T39" i="33"/>
  <c r="Q41" i="33"/>
  <c r="AK34" i="31"/>
  <c r="J78" i="24"/>
  <c r="S40" i="31"/>
  <c r="AF11" i="31"/>
  <c r="Q40" i="31"/>
  <c r="AI29" i="31"/>
  <c r="R40" i="31"/>
  <c r="AJ23" i="31"/>
  <c r="AL23" i="31" s="1"/>
  <c r="N28" i="35" s="1"/>
  <c r="AJ24" i="31"/>
  <c r="AL24" i="31" s="1"/>
  <c r="N29" i="35" s="1"/>
  <c r="AN16" i="31"/>
  <c r="AM26" i="31"/>
  <c r="AN18" i="31"/>
  <c r="AN26" i="31"/>
  <c r="AJ27" i="31"/>
  <c r="AL27" i="31" s="1"/>
  <c r="N32" i="35" s="1"/>
  <c r="V31" i="33"/>
  <c r="V22" i="33"/>
  <c r="AM16" i="31"/>
  <c r="AM17" i="31"/>
  <c r="N22" i="35"/>
  <c r="V34" i="33"/>
  <c r="M32" i="35"/>
  <c r="AN25" i="31"/>
  <c r="N30" i="35"/>
  <c r="AN14" i="31"/>
  <c r="N19" i="35"/>
  <c r="AN22" i="31"/>
  <c r="AM22" i="31"/>
  <c r="T24" i="33"/>
  <c r="M22" i="35" s="1"/>
  <c r="U26" i="33"/>
  <c r="M24" i="35"/>
  <c r="AN21" i="31"/>
  <c r="AM21" i="31"/>
  <c r="AM18" i="31"/>
  <c r="V32" i="33"/>
  <c r="U32" i="33"/>
  <c r="V27" i="33"/>
  <c r="U25" i="33"/>
  <c r="U34" i="33"/>
  <c r="U27" i="33"/>
  <c r="V25" i="33"/>
  <c r="U28" i="33"/>
  <c r="V33" i="33"/>
  <c r="V28" i="33"/>
  <c r="U33" i="33"/>
  <c r="U20" i="33"/>
  <c r="AM20" i="31"/>
  <c r="AM14" i="31"/>
  <c r="AJ19" i="31"/>
  <c r="AL19" i="31" s="1"/>
  <c r="AN19" i="31" s="1"/>
  <c r="AJ28" i="31"/>
  <c r="AL28" i="31" s="1"/>
  <c r="N33" i="35" s="1"/>
  <c r="AJ13" i="31"/>
  <c r="AL13" i="31" s="1"/>
  <c r="N18" i="35" s="1"/>
  <c r="AJ15" i="31"/>
  <c r="AL15" i="31" s="1"/>
  <c r="AM15" i="31" s="1"/>
  <c r="AM25" i="31"/>
  <c r="U22" i="33"/>
  <c r="V19" i="33"/>
  <c r="U19" i="33"/>
  <c r="U23" i="33"/>
  <c r="V23" i="33"/>
  <c r="V26" i="33"/>
  <c r="V20" i="33"/>
  <c r="V29" i="33"/>
  <c r="U29" i="33"/>
  <c r="U21" i="33"/>
  <c r="V21" i="33"/>
  <c r="U24" i="33"/>
  <c r="AN24" i="31"/>
  <c r="E78" i="24"/>
  <c r="C79" i="24"/>
  <c r="AN23" i="31"/>
  <c r="J40" i="35" l="1"/>
  <c r="O42" i="26"/>
  <c r="AJ11" i="31"/>
  <c r="AL11" i="31" s="1"/>
  <c r="AN11" i="31" s="1"/>
  <c r="T40" i="33"/>
  <c r="V40" i="33" s="1"/>
  <c r="AM23" i="31"/>
  <c r="AM24" i="31"/>
  <c r="N16" i="35"/>
  <c r="O47" i="33"/>
  <c r="R18" i="33"/>
  <c r="T18" i="33" s="1"/>
  <c r="M16" i="35" s="1"/>
  <c r="S36" i="35"/>
  <c r="R36" i="35"/>
  <c r="B45" i="26"/>
  <c r="D44" i="26"/>
  <c r="M37" i="35"/>
  <c r="Q37" i="35" s="1"/>
  <c r="U39" i="33"/>
  <c r="V39" i="33"/>
  <c r="D40" i="35"/>
  <c r="AJ29" i="31"/>
  <c r="AL29" i="31" s="1"/>
  <c r="AL40" i="31" s="1"/>
  <c r="C8" i="39" s="1"/>
  <c r="M38" i="35"/>
  <c r="Q38" i="35" s="1"/>
  <c r="AM12" i="31"/>
  <c r="AN12" i="31"/>
  <c r="N17" i="35"/>
  <c r="M43" i="26"/>
  <c r="L45" i="26"/>
  <c r="I46" i="26"/>
  <c r="L46" i="26" s="1"/>
  <c r="K44" i="26"/>
  <c r="J44" i="26"/>
  <c r="H45" i="26"/>
  <c r="Q42" i="33"/>
  <c r="AK35" i="31"/>
  <c r="J79" i="24"/>
  <c r="S41" i="33"/>
  <c r="R41" i="33"/>
  <c r="T41" i="33" s="1"/>
  <c r="C41" i="35"/>
  <c r="D41" i="35" s="1"/>
  <c r="F43" i="26"/>
  <c r="E43" i="26"/>
  <c r="AN27" i="31"/>
  <c r="AM27" i="31"/>
  <c r="AM13" i="31"/>
  <c r="AN13" i="31"/>
  <c r="V24" i="33"/>
  <c r="AM19" i="31"/>
  <c r="N24" i="35"/>
  <c r="AN28" i="31"/>
  <c r="AN15" i="31"/>
  <c r="N20" i="35"/>
  <c r="AM28" i="31"/>
  <c r="E79" i="24"/>
  <c r="C80" i="24"/>
  <c r="D9" i="35"/>
  <c r="AM11" i="31" l="1"/>
  <c r="U40" i="33"/>
  <c r="M44" i="26"/>
  <c r="O44" i="26" s="1"/>
  <c r="L47" i="26"/>
  <c r="N43" i="26"/>
  <c r="J41" i="35"/>
  <c r="O43" i="26"/>
  <c r="R37" i="35"/>
  <c r="S37" i="35"/>
  <c r="E41" i="35"/>
  <c r="F41" i="35"/>
  <c r="AK36" i="31"/>
  <c r="Q43" i="33"/>
  <c r="J80" i="24"/>
  <c r="S42" i="33"/>
  <c r="R42" i="33"/>
  <c r="E40" i="35"/>
  <c r="F40" i="35"/>
  <c r="C42" i="35"/>
  <c r="D42" i="35" s="1"/>
  <c r="F44" i="26"/>
  <c r="E44" i="26"/>
  <c r="K45" i="26"/>
  <c r="J45" i="26"/>
  <c r="H46" i="26"/>
  <c r="R38" i="35"/>
  <c r="S38" i="35"/>
  <c r="B46" i="26"/>
  <c r="D46" i="26" s="1"/>
  <c r="D45" i="26"/>
  <c r="M39" i="35"/>
  <c r="Q39" i="35" s="1"/>
  <c r="V41" i="33"/>
  <c r="U41" i="33"/>
  <c r="J42" i="35"/>
  <c r="N34" i="35"/>
  <c r="N45" i="35" s="1"/>
  <c r="AN29" i="31"/>
  <c r="AN40" i="31" s="1"/>
  <c r="E8" i="39" s="1"/>
  <c r="AM29" i="31"/>
  <c r="AM40" i="31" s="1"/>
  <c r="E80" i="24"/>
  <c r="C81" i="24"/>
  <c r="U18" i="33"/>
  <c r="V18" i="33"/>
  <c r="E9" i="35"/>
  <c r="F9" i="35"/>
  <c r="N44" i="26" l="1"/>
  <c r="D47" i="26"/>
  <c r="M45" i="26"/>
  <c r="O45" i="26" s="1"/>
  <c r="C44" i="35"/>
  <c r="D44" i="35" s="1"/>
  <c r="E46" i="26"/>
  <c r="F46" i="26"/>
  <c r="T42" i="33"/>
  <c r="F42" i="35"/>
  <c r="E42" i="35"/>
  <c r="R43" i="33"/>
  <c r="S43" i="33"/>
  <c r="R39" i="35"/>
  <c r="S39" i="35"/>
  <c r="AK37" i="31"/>
  <c r="Q44" i="33"/>
  <c r="J81" i="24"/>
  <c r="C43" i="35"/>
  <c r="D43" i="35" s="1"/>
  <c r="E45" i="26"/>
  <c r="F45" i="26"/>
  <c r="J46" i="26"/>
  <c r="K46" i="26"/>
  <c r="K47" i="26" s="1"/>
  <c r="E81" i="24"/>
  <c r="C82" i="24"/>
  <c r="E82" i="24" s="1"/>
  <c r="J43" i="35" l="1"/>
  <c r="F47" i="26"/>
  <c r="C45" i="35"/>
  <c r="N45" i="26"/>
  <c r="T43" i="33"/>
  <c r="U43" i="33" s="1"/>
  <c r="E47" i="26"/>
  <c r="E44" i="35"/>
  <c r="F44" i="35"/>
  <c r="E43" i="35"/>
  <c r="F43" i="35"/>
  <c r="D45" i="35"/>
  <c r="S44" i="33"/>
  <c r="R44" i="33"/>
  <c r="M46" i="26"/>
  <c r="J47" i="26"/>
  <c r="Q45" i="33"/>
  <c r="AK38" i="31"/>
  <c r="J82" i="24"/>
  <c r="M40" i="35"/>
  <c r="U42" i="33"/>
  <c r="V42" i="33"/>
  <c r="V43" i="33" l="1"/>
  <c r="M41" i="35"/>
  <c r="Q41" i="35" s="1"/>
  <c r="R41" i="35" s="1"/>
  <c r="E45" i="35"/>
  <c r="D14" i="39" s="1"/>
  <c r="F45" i="35"/>
  <c r="D3" i="35" s="1"/>
  <c r="Q46" i="33"/>
  <c r="AK39" i="31"/>
  <c r="J44" i="35"/>
  <c r="O46" i="26"/>
  <c r="O47" i="26" s="1"/>
  <c r="E11" i="39" s="1"/>
  <c r="N46" i="26"/>
  <c r="N47" i="26" s="1"/>
  <c r="D11" i="39" s="1"/>
  <c r="M47" i="26"/>
  <c r="C11" i="39" s="1"/>
  <c r="T44" i="33"/>
  <c r="S41" i="35"/>
  <c r="S45" i="33"/>
  <c r="R45" i="33"/>
  <c r="Q40" i="35"/>
  <c r="C14" i="39"/>
  <c r="C3" i="35"/>
  <c r="E14" i="39" l="1"/>
  <c r="S40" i="35"/>
  <c r="R40" i="35"/>
  <c r="T45" i="33"/>
  <c r="M42" i="35"/>
  <c r="V44" i="33"/>
  <c r="U44" i="33"/>
  <c r="J45" i="35"/>
  <c r="R46" i="33"/>
  <c r="S46" i="33"/>
  <c r="S47" i="33" s="1"/>
  <c r="S15" i="35"/>
  <c r="S14" i="35"/>
  <c r="R14" i="35"/>
  <c r="T46" i="33" l="1"/>
  <c r="M44" i="35" s="1"/>
  <c r="Q44" i="35" s="1"/>
  <c r="T47" i="33"/>
  <c r="C3" i="39" s="1"/>
  <c r="R47" i="33"/>
  <c r="M43" i="35"/>
  <c r="Q43" i="35" s="1"/>
  <c r="U45" i="33"/>
  <c r="V45" i="33"/>
  <c r="V46" i="33"/>
  <c r="Q42" i="35"/>
  <c r="R15" i="35"/>
  <c r="U46" i="33" l="1"/>
  <c r="U47" i="33" s="1"/>
  <c r="V47" i="33"/>
  <c r="E3" i="39" s="1"/>
  <c r="M45" i="35"/>
  <c r="R43" i="35"/>
  <c r="S43" i="35"/>
  <c r="S44" i="35"/>
  <c r="R44" i="35"/>
  <c r="R42" i="35"/>
  <c r="S42" i="35"/>
  <c r="J37" i="40"/>
  <c r="K37" i="40"/>
  <c r="F66" i="40"/>
  <c r="Q16" i="35" l="1"/>
  <c r="S16" i="35" l="1"/>
  <c r="R16" i="35"/>
  <c r="Q18" i="35" l="1"/>
  <c r="K38" i="40"/>
  <c r="J40" i="40"/>
  <c r="J38" i="40"/>
  <c r="J39" i="40"/>
  <c r="K39" i="40"/>
  <c r="R18" i="35" l="1"/>
  <c r="S18" i="35"/>
  <c r="K40" i="40"/>
  <c r="Q19" i="35"/>
  <c r="R19" i="35" s="1"/>
  <c r="Q17" i="35"/>
  <c r="Q20" i="35"/>
  <c r="K41" i="40"/>
  <c r="J41" i="40"/>
  <c r="S19" i="35" l="1"/>
  <c r="R17" i="35"/>
  <c r="S17" i="35"/>
  <c r="J42" i="40"/>
  <c r="K42" i="40"/>
  <c r="R20" i="35"/>
  <c r="S20" i="35"/>
  <c r="Q22" i="35" l="1"/>
  <c r="K43" i="40"/>
  <c r="J43" i="40"/>
  <c r="Q21" i="35"/>
  <c r="R21" i="35" l="1"/>
  <c r="S21" i="35"/>
  <c r="R22" i="35"/>
  <c r="S22" i="35"/>
  <c r="K44" i="40"/>
  <c r="J44" i="40"/>
  <c r="Q23" i="35" l="1"/>
  <c r="Q24" i="35"/>
  <c r="K45" i="40"/>
  <c r="J45" i="40"/>
  <c r="S23" i="35" l="1"/>
  <c r="R23" i="35"/>
  <c r="S24" i="35"/>
  <c r="R24" i="35"/>
  <c r="K46" i="40"/>
  <c r="J46" i="40"/>
  <c r="Q25" i="35" l="1"/>
  <c r="J47" i="40"/>
  <c r="Q26" i="35"/>
  <c r="K47" i="40"/>
  <c r="R26" i="35" l="1"/>
  <c r="S26" i="35"/>
  <c r="Q27" i="35"/>
  <c r="J48" i="40"/>
  <c r="K48" i="40"/>
  <c r="S25" i="35"/>
  <c r="R25" i="35"/>
  <c r="S27" i="35" l="1"/>
  <c r="R27" i="35"/>
  <c r="Q28" i="35"/>
  <c r="K49" i="40"/>
  <c r="J49" i="40"/>
  <c r="S28" i="35" l="1"/>
  <c r="R28" i="35"/>
  <c r="Q29" i="35"/>
  <c r="J50" i="40"/>
  <c r="K50" i="40"/>
  <c r="R29" i="35" l="1"/>
  <c r="S29" i="35"/>
  <c r="Q30" i="35"/>
  <c r="J51" i="40"/>
  <c r="K51" i="40"/>
  <c r="J52" i="40" l="1"/>
  <c r="Q31" i="35"/>
  <c r="K52" i="40"/>
  <c r="S30" i="35"/>
  <c r="R30" i="35"/>
  <c r="Q32" i="35" l="1"/>
  <c r="K53" i="40"/>
  <c r="J53" i="40"/>
  <c r="S31" i="35"/>
  <c r="R31" i="35"/>
  <c r="Q33" i="35" l="1"/>
  <c r="J54" i="40"/>
  <c r="K54" i="40"/>
  <c r="G66" i="40"/>
  <c r="S32" i="35"/>
  <c r="R32" i="35"/>
  <c r="J66" i="40" l="1"/>
  <c r="D10" i="39" s="1"/>
  <c r="K66" i="40"/>
  <c r="E10" i="39" s="1"/>
  <c r="I66" i="40"/>
  <c r="C10" i="39" s="1"/>
  <c r="S33" i="35"/>
  <c r="R33" i="35"/>
  <c r="Q34" i="35" l="1"/>
  <c r="S34" i="35" l="1"/>
  <c r="R34" i="35"/>
  <c r="Q35" i="35"/>
  <c r="P45" i="35"/>
  <c r="S35" i="35" l="1"/>
  <c r="S45" i="35" s="1"/>
  <c r="D2" i="35" s="1"/>
  <c r="R35" i="35"/>
  <c r="R45" i="35" s="1"/>
  <c r="Q45" i="35"/>
  <c r="C5" i="35" l="1"/>
  <c r="C4" i="35"/>
  <c r="D4" i="35"/>
  <c r="D5" i="35"/>
  <c r="H12" i="36" l="1"/>
  <c r="H48" i="36" s="1"/>
  <c r="D4" i="39" s="1"/>
  <c r="D13" i="39" s="1"/>
  <c r="D15" i="39" s="1"/>
  <c r="I12" i="36"/>
  <c r="I48" i="36" s="1"/>
  <c r="G48" i="36"/>
  <c r="C4" i="39" s="1"/>
  <c r="C13" i="39" s="1"/>
  <c r="C15" i="39" s="1"/>
  <c r="E4" i="39" l="1"/>
  <c r="E13" i="39" s="1"/>
  <c r="E15" i="39" s="1"/>
</calcChain>
</file>

<file path=xl/sharedStrings.xml><?xml version="1.0" encoding="utf-8"?>
<sst xmlns="http://schemas.openxmlformats.org/spreadsheetml/2006/main" count="1542" uniqueCount="696">
  <si>
    <t>Project Information</t>
  </si>
  <si>
    <t>Project</t>
  </si>
  <si>
    <t>I-95 (SR9) - JTB (SR-202) to Atlantic Blvd - Add lanes and reconstruct</t>
  </si>
  <si>
    <t>Grant</t>
  </si>
  <si>
    <t>INFRA 2021</t>
  </si>
  <si>
    <t>Project Schedule</t>
  </si>
  <si>
    <t>Base Year</t>
  </si>
  <si>
    <t>Project Start</t>
  </si>
  <si>
    <t>Construction Start</t>
  </si>
  <si>
    <t>Construction Years</t>
  </si>
  <si>
    <t>Project Use Start</t>
  </si>
  <si>
    <t>Total Analysis Period</t>
  </si>
  <si>
    <t>years</t>
  </si>
  <si>
    <t>Days / year</t>
  </si>
  <si>
    <t>Percent of benefit at End of Construction</t>
  </si>
  <si>
    <t>Year all Segments Open</t>
  </si>
  <si>
    <t>Guidance Source</t>
  </si>
  <si>
    <t>Primary Guidance Source</t>
  </si>
  <si>
    <t>Costs and Other Inputs</t>
  </si>
  <si>
    <t>Value</t>
  </si>
  <si>
    <t xml:space="preserve">Note </t>
  </si>
  <si>
    <t>Source</t>
  </si>
  <si>
    <t>per hour</t>
  </si>
  <si>
    <t>In-Vehicle Travel Time: All</t>
  </si>
  <si>
    <t>Commercial Vehicle Operators Travel Time: Truck Drivers</t>
  </si>
  <si>
    <t>Non-commercial vehicle occupants</t>
  </si>
  <si>
    <t>Commercial vehicle occupants</t>
  </si>
  <si>
    <t>Time Savings</t>
  </si>
  <si>
    <t>Percentage trucks</t>
  </si>
  <si>
    <t>%</t>
  </si>
  <si>
    <t>FDOT Annual Vehicle Classification Report 2019</t>
  </si>
  <si>
    <t>Project length</t>
  </si>
  <si>
    <t>mile</t>
  </si>
  <si>
    <t>2025 No Build Total Travel time + Delay</t>
  </si>
  <si>
    <t>hour</t>
  </si>
  <si>
    <t>2025 Build Total Travel Time + Delay</t>
  </si>
  <si>
    <t xml:space="preserve">2045 No Build Total Travel time + Delay </t>
  </si>
  <si>
    <t>2045 Build Total Travel Time + Delay</t>
  </si>
  <si>
    <t>2025 AM Peak Hours No Build Speed</t>
  </si>
  <si>
    <t>mph</t>
  </si>
  <si>
    <t>2025 PM Peak Hours No Build Speed</t>
  </si>
  <si>
    <t>2045 AM Peak Hours No Build Speed</t>
  </si>
  <si>
    <t>2045 PM Peak Hours No Build Speed</t>
  </si>
  <si>
    <t>Total travel time + Latent Delay (hr) (both AM and PM)</t>
  </si>
  <si>
    <t>No Build</t>
  </si>
  <si>
    <t>Calendar Year</t>
  </si>
  <si>
    <t>Project Year</t>
  </si>
  <si>
    <t>Build</t>
  </si>
  <si>
    <t>Savings</t>
  </si>
  <si>
    <t>Possible Societal Benefits for Consideration</t>
  </si>
  <si>
    <t>Key Benefits Quantified</t>
  </si>
  <si>
    <t>Total Benefits</t>
  </si>
  <si>
    <t>Present Value (3% Discount Rate)</t>
  </si>
  <si>
    <t>Present Value (7% Discount Rate)</t>
  </si>
  <si>
    <t>Economic Competitiveness</t>
  </si>
  <si>
    <t>Travel Time Savings</t>
  </si>
  <si>
    <t>Reduced driving distance and associated reduced travel time</t>
  </si>
  <si>
    <t>Safety</t>
  </si>
  <si>
    <t>Crash Savings</t>
  </si>
  <si>
    <t>Reduction in injury and PDO crashes</t>
  </si>
  <si>
    <t>Environmental Sustainability</t>
  </si>
  <si>
    <t>Peak Hour Vehicle Emissions</t>
  </si>
  <si>
    <t>CO2, VOC, NOx, PM2.5 reductions</t>
  </si>
  <si>
    <t>Other</t>
  </si>
  <si>
    <t>Residual Value</t>
  </si>
  <si>
    <t>Residual value of assets at the end of the analysis period</t>
  </si>
  <si>
    <t>Maintenance Costs</t>
  </si>
  <si>
    <t>Cost of regular maintenance and inspection of assets</t>
  </si>
  <si>
    <t>Total Costs</t>
  </si>
  <si>
    <t>Benefit / Cost Ratio</t>
  </si>
  <si>
    <t>Undiscounted</t>
  </si>
  <si>
    <t>7% discount</t>
  </si>
  <si>
    <t>Benefits</t>
  </si>
  <si>
    <t>Costs</t>
  </si>
  <si>
    <t>BCR</t>
  </si>
  <si>
    <t>NPV</t>
  </si>
  <si>
    <t>Construction</t>
  </si>
  <si>
    <t>Maintenance</t>
  </si>
  <si>
    <t>Travel Time</t>
  </si>
  <si>
    <t>Environmental</t>
  </si>
  <si>
    <t>Total</t>
  </si>
  <si>
    <t>DETAILED COST ESTIMATE</t>
  </si>
  <si>
    <t>DESCRIPTION</t>
  </si>
  <si>
    <t>Lifespan</t>
  </si>
  <si>
    <t>Cost Year</t>
  </si>
  <si>
    <t>No residual</t>
  </si>
  <si>
    <t>30 Year Life Span</t>
  </si>
  <si>
    <t>all</t>
  </si>
  <si>
    <t>75 Year Life Span</t>
  </si>
  <si>
    <t>Annual Construction Costs</t>
  </si>
  <si>
    <t>% start</t>
  </si>
  <si>
    <t>% end</t>
  </si>
  <si>
    <t>% all</t>
  </si>
  <si>
    <t>Check</t>
  </si>
  <si>
    <t>MOBILIZATION</t>
  </si>
  <si>
    <t>Residual Calculation</t>
  </si>
  <si>
    <t>30 year lifespan</t>
  </si>
  <si>
    <t>75 year lifespan</t>
  </si>
  <si>
    <t>ROW</t>
  </si>
  <si>
    <t>Construction Cost</t>
  </si>
  <si>
    <t>Design Service Life (years)</t>
  </si>
  <si>
    <t>Analysis Period (years)</t>
  </si>
  <si>
    <t>Residual ratio at end of analysis (linear depreciation)</t>
  </si>
  <si>
    <t>Residual Value at end of analysis</t>
  </si>
  <si>
    <t>Construction Costs (Cost)</t>
  </si>
  <si>
    <t>Residual Value (Benefit)</t>
  </si>
  <si>
    <t>Project Cost</t>
  </si>
  <si>
    <t>30 Year Lifespan</t>
  </si>
  <si>
    <t>75 Year Lifespan</t>
  </si>
  <si>
    <t>Total Benefit</t>
  </si>
  <si>
    <t>Action</t>
  </si>
  <si>
    <t>Cost</t>
  </si>
  <si>
    <t>Total Benefit (-Cost)</t>
  </si>
  <si>
    <t>Project Use Year</t>
  </si>
  <si>
    <t>Total Crashes</t>
  </si>
  <si>
    <t>NUMBER OF CRASHES (2012-2016 average)</t>
  </si>
  <si>
    <t>KABCO</t>
  </si>
  <si>
    <t>#</t>
  </si>
  <si>
    <t>Segment</t>
  </si>
  <si>
    <t>Segment Description</t>
  </si>
  <si>
    <t>Length (miles)</t>
  </si>
  <si>
    <t>No-Build</t>
  </si>
  <si>
    <t>K</t>
  </si>
  <si>
    <t>A</t>
  </si>
  <si>
    <t>B</t>
  </si>
  <si>
    <t>C</t>
  </si>
  <si>
    <t>O</t>
  </si>
  <si>
    <t>Level</t>
  </si>
  <si>
    <t>Description</t>
  </si>
  <si>
    <t>KABCO Level</t>
  </si>
  <si>
    <t>I-95</t>
  </si>
  <si>
    <t>Butler Blvd (JTB) to Bowden Rd</t>
  </si>
  <si>
    <t>no injury</t>
  </si>
  <si>
    <t>O – No Injury</t>
  </si>
  <si>
    <t>Urban Freeway</t>
  </si>
  <si>
    <t>Bowden Rd to University Blvd</t>
  </si>
  <si>
    <t>University Blvd to Emerson St</t>
  </si>
  <si>
    <t>possible injury</t>
  </si>
  <si>
    <t>C – Possible Injury</t>
  </si>
  <si>
    <t>Emerson St to Atlantic Blvd</t>
  </si>
  <si>
    <t>non-incapacitating</t>
  </si>
  <si>
    <t>B – Non-incapacitating</t>
  </si>
  <si>
    <t xml:space="preserve">JTB at Belfort Road </t>
  </si>
  <si>
    <t>Interchange at Butler Blvd at Belfort Rd</t>
  </si>
  <si>
    <t>incapacitating</t>
  </si>
  <si>
    <t>A – Incapacitating</t>
  </si>
  <si>
    <t>4-Lane Divided Urban Arterial</t>
  </si>
  <si>
    <t>University Blvd</t>
  </si>
  <si>
    <t>Interchange at I-95 and University Blvd</t>
  </si>
  <si>
    <t>killed</t>
  </si>
  <si>
    <t>K – Killed</t>
  </si>
  <si>
    <t>Emerson Street</t>
  </si>
  <si>
    <t xml:space="preserve">Interchange at I-95 and Emerson Street </t>
  </si>
  <si>
    <t># accidents reported</t>
  </si>
  <si>
    <t>unkown if injured</t>
  </si>
  <si>
    <t># Accidents Reported (Unknown if Injured)</t>
  </si>
  <si>
    <t>Sources:</t>
  </si>
  <si>
    <t>Crash Distribution for Florida</t>
  </si>
  <si>
    <t>Table 122.6.4 HSM Crash Distribution for Flordia (1/1/2021)</t>
  </si>
  <si>
    <t>Crash Data</t>
  </si>
  <si>
    <t xml:space="preserve">FDOT District Two </t>
  </si>
  <si>
    <t>KABCO Monetized Values</t>
  </si>
  <si>
    <t>Crashes - No Build</t>
  </si>
  <si>
    <t>Crashes - Build</t>
  </si>
  <si>
    <t>No Build - Monetized Value</t>
  </si>
  <si>
    <t>Build - Monetized Value</t>
  </si>
  <si>
    <t>Benefit</t>
  </si>
  <si>
    <t>Kg to short tons</t>
  </si>
  <si>
    <t>Sample Calculation</t>
  </si>
  <si>
    <t>Cost=g/1000*kg/short ton*hrs*grams/hr*$/short ton</t>
  </si>
  <si>
    <t>Damage Costs for Pollutant Emissions</t>
  </si>
  <si>
    <t>Emission Type</t>
  </si>
  <si>
    <t>Carbon Dioxide</t>
  </si>
  <si>
    <t>Volatile Organic Compunds</t>
  </si>
  <si>
    <t>Nitrogen Oxides</t>
  </si>
  <si>
    <t>Particulate Matter</t>
  </si>
  <si>
    <t>Sulfur Dioxide</t>
  </si>
  <si>
    <t>Pollutant</t>
  </si>
  <si>
    <t>Passenger Cars</t>
  </si>
  <si>
    <t>HDDV (diesel)</t>
  </si>
  <si>
    <t>-</t>
  </si>
  <si>
    <t>CO2</t>
  </si>
  <si>
    <t>VOCs</t>
  </si>
  <si>
    <t>NOx</t>
  </si>
  <si>
    <t>PM2.5</t>
  </si>
  <si>
    <t>SO2</t>
  </si>
  <si>
    <t xml:space="preserve">Sources: </t>
  </si>
  <si>
    <t>HDDV: EPA Average In-Use Emissions from Heavy-Duty Trucks - Emission Facts, 2008</t>
  </si>
  <si>
    <t>Passenger Cars: EPA Average Annual Emissions and Fuel Consumption for Gasoline-Fueled Passenger Cars and Light Trucks - Emission Facts, 2008</t>
  </si>
  <si>
    <t>CO2 Emissions (CO2/Gallon)</t>
  </si>
  <si>
    <t>Gasoline</t>
  </si>
  <si>
    <t>grams CO2/gallon</t>
  </si>
  <si>
    <t>Diesel</t>
  </si>
  <si>
    <t>Source:</t>
  </si>
  <si>
    <t>Facility Type</t>
  </si>
  <si>
    <t>2025 AM Peak Hours Build Speed</t>
  </si>
  <si>
    <t>2025 PM Peak Hours Build Speed</t>
  </si>
  <si>
    <t>2045 AM Peak Hours Build Speed</t>
  </si>
  <si>
    <t>2045 PM Peak Hours Build Speed</t>
  </si>
  <si>
    <t>Truck %</t>
  </si>
  <si>
    <t>Peak %</t>
  </si>
  <si>
    <t xml:space="preserve">Peak Hours </t>
  </si>
  <si>
    <t>All Day</t>
  </si>
  <si>
    <t>Passenger Vehicle</t>
  </si>
  <si>
    <t>Trucks</t>
  </si>
  <si>
    <t>Peak % of Total Congestion</t>
  </si>
  <si>
    <t>USDOT Benefit-Cost Analysis Guidance for Discretionary Grant Programs 2021</t>
  </si>
  <si>
    <t>MAINTENANCE OF TRAFFIC</t>
  </si>
  <si>
    <t>SEDIMENT BARRIER</t>
  </si>
  <si>
    <t>FLOATING TURBIDITY BARRIER</t>
  </si>
  <si>
    <t>STAKED TURBIDITY BARRIER- NYL REINF PVC</t>
  </si>
  <si>
    <t>SOIL TRACKING PREVENTION DEVICE</t>
  </si>
  <si>
    <t>INLET PROTECTION SYSTEM</t>
  </si>
  <si>
    <t>LITTER REMOVAL</t>
  </si>
  <si>
    <t>MOWING</t>
  </si>
  <si>
    <t>CLEARING &amp; GRUBBING</t>
  </si>
  <si>
    <t>REMOVAL OF EXISTING STRUCTURES/BRIDGES</t>
  </si>
  <si>
    <t>REMOVAL OF EXISTING CONCRETE PAVEMENT</t>
  </si>
  <si>
    <t>REMOVAL OF EXIST CONC</t>
  </si>
  <si>
    <t>REGULAR EXCAVATION</t>
  </si>
  <si>
    <t>EMBANKMENT</t>
  </si>
  <si>
    <t>TYPE B STABILIZATION</t>
  </si>
  <si>
    <t>OPTIONAL BASE,BASE GROUP 01</t>
  </si>
  <si>
    <t>OPTIONAL BASE,BASE GROUP 03</t>
  </si>
  <si>
    <t>OPTIONAL BASE,BASE GROUP 04</t>
  </si>
  <si>
    <t>OPTIONAL BASE,BASE GROUP 06</t>
  </si>
  <si>
    <t>OPTIONAL BASE,BASE GROUP 09</t>
  </si>
  <si>
    <t>OPTIONAL BASE,BASE GROUP 12</t>
  </si>
  <si>
    <t>MILLING EXIST ASPH PAVT, 1" AVG DEPTH</t>
  </si>
  <si>
    <t>MILLING EXIST ASPH PAVT,3 1/2" AVG DEPTH</t>
  </si>
  <si>
    <t>MILLING EXIST ASPH PAVT,1 1/2" AVG DEPTH</t>
  </si>
  <si>
    <t>MILLING EXIST ASPH PAVT, 4" AVG DEPTH</t>
  </si>
  <si>
    <t>SUPERPAVE ASPHALTIC CONC, TRAFFIC B</t>
  </si>
  <si>
    <t>SUPERPAVE ASPHALTIC CONC, TRAFFIC C</t>
  </si>
  <si>
    <t>SUPERPAVE ASPH CONC, TRAF D, PG82-22,PMA</t>
  </si>
  <si>
    <t>SUPERPAVE ASPH CONC, TRAF B, PG76-22</t>
  </si>
  <si>
    <t>SUPERPAVE ASPH CONC, TRAF C, PG76-22</t>
  </si>
  <si>
    <t>SUPERPAVE ASPH CONC, TRAF D, PG76-22</t>
  </si>
  <si>
    <t>ASPH CONC FC,INC BIT,FC-5,PG76-22,PMA</t>
  </si>
  <si>
    <t>ASPH CONC FC,INC BIT,FC-5,PG76-22</t>
  </si>
  <si>
    <t>ASPH CONC FC,TRAFFIC C,FC-12.5,PG 76-22</t>
  </si>
  <si>
    <t>ASPH CONC FC,TRAFFIC B,FC-12.5,PG 76-22</t>
  </si>
  <si>
    <t>MISCELLANEOUS ASPHALT PAVEMENT</t>
  </si>
  <si>
    <t>PLAIN CEMENT CONC PAVT, 12"</t>
  </si>
  <si>
    <t>GRINDING CONCRETE PAVT</t>
  </si>
  <si>
    <t>CONC CLASS NS, GRAVITY WALL</t>
  </si>
  <si>
    <t>CONC CLASS II, ENDWALLS</t>
  </si>
  <si>
    <t>CONC CLASS II, APPROACH SLABS</t>
  </si>
  <si>
    <t>CONC CLASS IV, CULVERTS</t>
  </si>
  <si>
    <t>REINF STEEL- ROADWAY</t>
  </si>
  <si>
    <t>REINF STEEL- APPROACH SLABS</t>
  </si>
  <si>
    <t>INLETS, CURB, TYPE P-5,</t>
  </si>
  <si>
    <t>INLETS, CURB, TYPE J-5,</t>
  </si>
  <si>
    <t>INLETS, DT BOT, TYPE A,</t>
  </si>
  <si>
    <t>INLETS, DT BOT, TYPE A, &gt;10'</t>
  </si>
  <si>
    <t>INLETS, DT BOT, TYPE A, J BOT,</t>
  </si>
  <si>
    <t>INLETS, DT BOT, TYPE A, J BOT, &gt;10'</t>
  </si>
  <si>
    <t>INLETS, DT BOT, TYPE C,</t>
  </si>
  <si>
    <t>INLETS, DT BOT, TYPE D,</t>
  </si>
  <si>
    <t>INLETS, DT BOT, TYPE D, MODIFY</t>
  </si>
  <si>
    <t>INLETS, DT BOT, TYPE E, &gt;10'</t>
  </si>
  <si>
    <t>INLETS, MED BARRIER, TYPE 3,</t>
  </si>
  <si>
    <t>INLETS, BARRIER WALL, &lt;=10'</t>
  </si>
  <si>
    <t>INLETS, BARRIER WALL, &gt;10'</t>
  </si>
  <si>
    <t>INLETS, BARRIER WALL, J BOT,</t>
  </si>
  <si>
    <t>INLETS, BARRIER WALL, J BOT, &gt;10'</t>
  </si>
  <si>
    <t>MANHOLES, P-7,</t>
  </si>
  <si>
    <t>MANHOLES, P-8,</t>
  </si>
  <si>
    <t>MANHOLES, P-8, &gt;10'</t>
  </si>
  <si>
    <t>MANHOLES, J-7,</t>
  </si>
  <si>
    <t>MANHOLES, J-8,</t>
  </si>
  <si>
    <t>MANHOLES, J-8, &gt;10'</t>
  </si>
  <si>
    <t>PIPE CULV, OPT MATL, ROUND,24"SD</t>
  </si>
  <si>
    <t>PIPE CULV, OPT MATL, ROUND, 18"S/CD</t>
  </si>
  <si>
    <t>PIPE CULV, OPT MATL, ROUND, 24"S/CD</t>
  </si>
  <si>
    <t>PIPE CULV, OPT MATL, ROUND, 30"S/CD</t>
  </si>
  <si>
    <t>PIPE CULV, OPT MATL, ROUND, 36"S/CD</t>
  </si>
  <si>
    <t>PIPE CULV, OPT MATL, ROUND, 42"S/CD</t>
  </si>
  <si>
    <t>PIPE CULV, OPT MATL, ROUND, 48"S/CD</t>
  </si>
  <si>
    <t>PIPE CULV, OPT MATL, ROUND, 60"S/CD</t>
  </si>
  <si>
    <t>PIPE CULV,OPT MATL, ROUND, JACK&amp;BORE,18"</t>
  </si>
  <si>
    <t>PIPE CULV,OPT MATL, ROUND, JACK&amp;BORE,24"</t>
  </si>
  <si>
    <t>PIPE CULV,OPT MATL, ROUND, JACK&amp;BORE,30"</t>
  </si>
  <si>
    <t>PIPE CULV,OPT MATL, ROUND, JACK&amp;BORE,36"</t>
  </si>
  <si>
    <t>U-ENDWALL, BAFF,261/430-011,1:4 SLP, 18"</t>
  </si>
  <si>
    <t>U-ENDWALL, BAFF,261/430-011,1:4 SLP, 24"</t>
  </si>
  <si>
    <t>U-ENDWALL /BAFF,261/430-011, 1:4 SLP,30"</t>
  </si>
  <si>
    <t>MITERED END SECT, OPTIONAL RD, 36" CD</t>
  </si>
  <si>
    <t>MITERED END SECT, OPTIONAL RD, 42" CD</t>
  </si>
  <si>
    <t>MITERED END SECT, OPTIONAL RD, 48" CD</t>
  </si>
  <si>
    <t>MITERED END SECT, OPTIONAL RD, 24" SD</t>
  </si>
  <si>
    <t>PED/BICYCLE RAILING, ALUM,54" TYPE 1</t>
  </si>
  <si>
    <t>CONCRETE CURB &amp; GUTTER, TYPE E</t>
  </si>
  <si>
    <t>CONCRETE CURB &amp; GUTTER, TYPE F</t>
  </si>
  <si>
    <t>CONCRETE CURB &amp; GUTTER, VAR HT TYPE F</t>
  </si>
  <si>
    <t>TRAF SEP CONC-TYPE I, 4' WIDE</t>
  </si>
  <si>
    <t>TRAF SEP CONC-TYPE IV, 4' WIDE</t>
  </si>
  <si>
    <t>SHOULDER GUTTER- CONCRETE</t>
  </si>
  <si>
    <t>MEDIAN CONC BARRIER WALL</t>
  </si>
  <si>
    <t>CONC TRAF RAIL BAR, JCT SLAB,32"F SHAPE</t>
  </si>
  <si>
    <t>SHLDR CONC BAR. WALL,F SHAPE,8'SND WALL</t>
  </si>
  <si>
    <t>SHLDR CONC BARRIER,38" OR 44" HEIGHT</t>
  </si>
  <si>
    <t>CONCRETE BARRIER WALL, REMOVAL</t>
  </si>
  <si>
    <t>CONCRETE SIDEWALK AND DRIVEWAYS, 4"</t>
  </si>
  <si>
    <t>SOUND/NOISE BARRIER-INC FOUNDATION, PERM</t>
  </si>
  <si>
    <t>GUARDRAIL- ROADWAY, GEN TL-3</t>
  </si>
  <si>
    <t>GUARDRAIL REMOVAL</t>
  </si>
  <si>
    <t>CRASH CUSHION, TL-3, WIDE</t>
  </si>
  <si>
    <t>CRASH CUSHION</t>
  </si>
  <si>
    <t>RUMBLE STRIPS, GROUND-IN, 16" MIN. WIDTH</t>
  </si>
  <si>
    <t>RET WALL SYSTEM, PERM, EX BARRIER</t>
  </si>
  <si>
    <t>RETAINING WALL SYSTEM,TEMP, EXC BAR.</t>
  </si>
  <si>
    <t>FENCING, TYPE B, 5.1-6.0', STANDARD</t>
  </si>
  <si>
    <t>FENCE GATE,TYP B,SLIDE/CANT,18.1-20'OPEN</t>
  </si>
  <si>
    <t>PERFORMANCE TURF</t>
  </si>
  <si>
    <t>CONDUIT, F&amp; I, OPEN TRENCH</t>
  </si>
  <si>
    <t>CONDUIT, F&amp; I, DIRECTIONAL BORE</t>
  </si>
  <si>
    <t>CONDUIT, F&amp; I, ABOVEGROUND</t>
  </si>
  <si>
    <t>SIGNAL CABLE- NEW OR RECO, FUR &amp; INSTALL</t>
  </si>
  <si>
    <t>FIBER OPTIC CABLE, F&amp;I, UG,13-48</t>
  </si>
  <si>
    <t>FIBER OPTIC CABLE, F&amp;I, UG,49-96</t>
  </si>
  <si>
    <t>FIBER OPTIC CONNECTION, INSTALL, SPLICE</t>
  </si>
  <si>
    <t>FIBER OPTIC CONN HDWR, SPLICE ENCLOSURE</t>
  </si>
  <si>
    <t>FIBER OPTIC CONN HDWR, PRETERM PATCH PAN</t>
  </si>
  <si>
    <t>MULTI-CONDUCTOR COMMUNICATION CABLE, F&amp;I</t>
  </si>
  <si>
    <t>SPAN WIRE ASSEMBLY, F&amp;I, SINGLE PT, BOX</t>
  </si>
  <si>
    <t>PULL &amp; SPLICE BOX, F&amp;I, 13" X 24"</t>
  </si>
  <si>
    <t>ELECTRICAL POWER SRV,F&amp;I,OH,M,PUR BY CON</t>
  </si>
  <si>
    <t>ELECTRICAL SERVICE WIRE, F&amp;I</t>
  </si>
  <si>
    <t>ELEC SERV DISCON, F&amp;I, CABINET</t>
  </si>
  <si>
    <t>PREST CNC POLE,F&amp;I,TYP P-II,PEDESTAL</t>
  </si>
  <si>
    <t>PREST CNC POLE,F&amp;I,TYP P-VI</t>
  </si>
  <si>
    <t>CONCRETE CCTV POLE, FUR &amp; INS W/LOW</t>
  </si>
  <si>
    <t>STEEL STRAIN POLE, F&amp;I, PEDESTAL</t>
  </si>
  <si>
    <t>STEEL MAST ARM ASSEMBLY, F&amp;I, 60'</t>
  </si>
  <si>
    <t>STEEL MAST ARM ASSEMBLY, F&amp;I, 78'</t>
  </si>
  <si>
    <t>M/ARM,F&amp;I, WS-150,SINGLE ARM,W/0 LUM-78</t>
  </si>
  <si>
    <t>VEH TRAF SIGNAL,F&amp;I ALUMINUM, 3 S 1 W</t>
  </si>
  <si>
    <t>PEDESTRIAN SIGNAL, F&amp;I LED COUNT, 1 WAY</t>
  </si>
  <si>
    <t>LOOP DETECTOR INDUCTIVE, F&amp;I, TYPE 2</t>
  </si>
  <si>
    <t>LOOP ASSEMBLY, F&amp;I, TYPE F</t>
  </si>
  <si>
    <t>VEHICLE DETECTION SYSTEM- MICRO,F&amp;I, CAB</t>
  </si>
  <si>
    <t>VEHICLE DETECTION SYSTEM- MICRO,F&amp;I, ABO</t>
  </si>
  <si>
    <t>PEDESTRIAN DETECTOR, F&amp;I, STANDARD</t>
  </si>
  <si>
    <t>TRAF CNTL ASSEM, F&amp;I, NEMA, 1 PREEMPT</t>
  </si>
  <si>
    <t>ITS CABINET- F&amp;I, POLE, 336</t>
  </si>
  <si>
    <t>ITS CCTV CAMERA, F&amp;I, DOME ENCL-PRES.</t>
  </si>
  <si>
    <t>MANAGED FIELD ETHERNET SWITCH, F&amp;I</t>
  </si>
  <si>
    <t>DEVICE SERVER, F&amp;I</t>
  </si>
  <si>
    <t>SINGLE POST SIGN, F&amp;I GM,</t>
  </si>
  <si>
    <t>SINGLE POST SIGN, F&amp;I GM, 12-20 SF</t>
  </si>
  <si>
    <t>SINGLE POST SIGN, F&amp;I GM, 21-30 SF</t>
  </si>
  <si>
    <t>SINGLE POST SIGN, RELOCATE</t>
  </si>
  <si>
    <t>SINGLE POST SIGN, REMOVE</t>
  </si>
  <si>
    <t>MULTI- POST SIGN, F&amp;I GM, 21-30 SF</t>
  </si>
  <si>
    <t>MULTI- POST SIGN, F&amp;I GM, 31-50 SF</t>
  </si>
  <si>
    <t>MULTI- POST SIGN, F&amp;I GM, 51-100 SF</t>
  </si>
  <si>
    <t>MULTI- POST SIGN, F&amp;I GM, 101-200 SF</t>
  </si>
  <si>
    <t>MULTI- POST SIGN, REMOVE</t>
  </si>
  <si>
    <t>SIGN PANEL, F&amp;I GM, UP TO 12 SF</t>
  </si>
  <si>
    <t>SIGN PANEL, F&amp;I OM, 101-200 SF</t>
  </si>
  <si>
    <t>SIGN PANEL, F&amp;I OM, 201-300 SF</t>
  </si>
  <si>
    <t>SIGN PANEL, F&amp;I OM, 601 SF AND GREATER</t>
  </si>
  <si>
    <t>SIGN PANEL, REMOVE, 101-200 SF</t>
  </si>
  <si>
    <t>SIGN PANEL, REMOVE, 201-300 SF</t>
  </si>
  <si>
    <t>SIGN PANEL, REMOVE, 601 SF AND GREATER</t>
  </si>
  <si>
    <t>OH STATIC SIGN STR, F&amp;I, C 41-50 FT</t>
  </si>
  <si>
    <t>OH STATIC SIGN STR, F&amp;I, S 101-150 FT</t>
  </si>
  <si>
    <t>OH STATIC SIGN STR, F&amp;I, O BR MOUNT</t>
  </si>
  <si>
    <t>OH STATIC SIGN STR, REMOVE, CANT</t>
  </si>
  <si>
    <t>OH STATIC SIGN STR, REMOVE, SPAN</t>
  </si>
  <si>
    <t>OH STATIC SIGN STR, REMOVE MONOTUBE</t>
  </si>
  <si>
    <t>WALK-IN DYN MESS SIGN,F&amp;I, FULL,201-</t>
  </si>
  <si>
    <t>WALK-IN DYN MESS SIGN, REMOVE</t>
  </si>
  <si>
    <t>DMS SUPPORT STRUCTURE, SPAN, 51-100 FT</t>
  </si>
  <si>
    <t>DMS SUPPORT STRUCTURE, CANT, 41-50 FT</t>
  </si>
  <si>
    <t>DMS SUPPORT STRUCTURE, REMOVE</t>
  </si>
  <si>
    <t>RETRO-REFLECTIVE/RAISED PAVEMENT MARKERS</t>
  </si>
  <si>
    <t>PAINTED PAVT MARK,STD,WHITE,SOLID,6"</t>
  </si>
  <si>
    <t>PAINTED PAVT MARK,STD,WHITE,SKIP, 6"</t>
  </si>
  <si>
    <t>PAINTED PAVT MARK,STD,YELLOW,SKIP,6"</t>
  </si>
  <si>
    <t>THERMOPLASTIC, STD-OP, WHITE, SOLID, 6"</t>
  </si>
  <si>
    <t>THERMOPLASTIC, STD-OTH, WHITE, SOLID, 6"</t>
  </si>
  <si>
    <t>THERMOPLASTIC, STD-OTH, YELLOW, SKIP, 6"</t>
  </si>
  <si>
    <t>LIGHTING CONDUCTORS, F&amp;I, INSUL,NO.8-6</t>
  </si>
  <si>
    <t>LIGHTING CONDUCTORS, F&amp;I, INSUL, NO.4-2</t>
  </si>
  <si>
    <t>LIGHT POLE COMPLETE, F&amp;I- STD, 40'</t>
  </si>
  <si>
    <t>LIGHT POLE COMP, F&amp;I, WS130, 45'</t>
  </si>
  <si>
    <t>LOAD CENTER, F&amp;I, SECONDARY VOLTAGE</t>
  </si>
  <si>
    <t>HIGH MAST LIGHT POLE,F&amp;I,WS-150,120'</t>
  </si>
  <si>
    <t>POLE CABLE DIST SYS, CONVENTIONAL</t>
  </si>
  <si>
    <t>POLE CABLE DISTRIBUTION SYS, HIGH MAST</t>
  </si>
  <si>
    <t>INITIAL CONTINGENCY AMOUNT (DO NOT BID)</t>
  </si>
  <si>
    <t>ADDITIONAL CONTINGENCY</t>
  </si>
  <si>
    <t>FREEWAY RSU, F&amp;I</t>
  </si>
  <si>
    <t>STATIC SIGNS W/ FLASHING BEACONS</t>
  </si>
  <si>
    <t>WEBRELAY</t>
  </si>
  <si>
    <t>SOFTWARE MODIFICATION</t>
  </si>
  <si>
    <t>LIDAR</t>
  </si>
  <si>
    <t>EDGE DEVICE</t>
  </si>
  <si>
    <t>PTZ CAMERA</t>
  </si>
  <si>
    <t>EQUIPMENT INTERCONNECT FIBER</t>
  </si>
  <si>
    <t>EQUIPMENT INTERCONNECT CONDUIT</t>
  </si>
  <si>
    <t>PULL BOX</t>
  </si>
  <si>
    <t>SPLICE VAULT</t>
  </si>
  <si>
    <t>INTERSECTION RSU, F&amp;I</t>
  </si>
  <si>
    <t>ITS CONTINGENCY</t>
  </si>
  <si>
    <t>BLUETOOTH READERS</t>
  </si>
  <si>
    <t>NON-PTZ CCTV</t>
  </si>
  <si>
    <t>BRIDGE NO. 4</t>
  </si>
  <si>
    <t>BRIDGE NO. 5</t>
  </si>
  <si>
    <t>BRIDGE NO. 6</t>
  </si>
  <si>
    <t>BRIDGE NO. 7</t>
  </si>
  <si>
    <t>PROJECT UNKNOWNS (14%)</t>
  </si>
  <si>
    <t>DESIGN/BUILD (9%)</t>
  </si>
  <si>
    <t>BRIDGE NO.</t>
  </si>
  <si>
    <t>FDOT - INFRA Grant for I-95</t>
  </si>
  <si>
    <t>Monetized value ($2019)</t>
  </si>
  <si>
    <t>Peak Hour Speeds</t>
  </si>
  <si>
    <t>Peak Hour Travel Time</t>
  </si>
  <si>
    <t>Peak Hour Time Savings</t>
  </si>
  <si>
    <t>Recommended Monetized Values ($/metric ton)</t>
  </si>
  <si>
    <t>AM</t>
  </si>
  <si>
    <t>PM</t>
  </si>
  <si>
    <t>AM No Build</t>
  </si>
  <si>
    <t>AM Build</t>
  </si>
  <si>
    <t>PM No Build</t>
  </si>
  <si>
    <t>PM Build</t>
  </si>
  <si>
    <t>Truck</t>
  </si>
  <si>
    <t>Nox</t>
  </si>
  <si>
    <t>VOC</t>
  </si>
  <si>
    <t>$/metric ton (2205 lb)</t>
  </si>
  <si>
    <r>
      <t xml:space="preserve">Source: </t>
    </r>
    <r>
      <rPr>
        <sz val="10"/>
        <rFont val="Arial"/>
        <family val="2"/>
      </rPr>
      <t>USDOT Benefit-Cost Analysis Guidance for Discretionary Grant Programs 2021</t>
    </r>
  </si>
  <si>
    <t>Particulate Matter 2.5</t>
  </si>
  <si>
    <t>Average Fuel Economy by Vehicle Category</t>
  </si>
  <si>
    <t>Car</t>
  </si>
  <si>
    <t>mpg</t>
  </si>
  <si>
    <t>Class 8 Truck</t>
  </si>
  <si>
    <t>2025 AM No Build Peak Hour Total Travel Time</t>
  </si>
  <si>
    <t>hrs</t>
  </si>
  <si>
    <t>2025 AM No Build Peak Hour Latent Delay Time</t>
  </si>
  <si>
    <t>2045 AM No Build Peak Hour Total Travel Time</t>
  </si>
  <si>
    <t>2045 AM No Build Peak Hour Latent Delay Time</t>
  </si>
  <si>
    <t>2025 PM No Build Peak Hour Total Travel Time</t>
  </si>
  <si>
    <t>2025 PM No Build Peak Hour Latent Delay Time</t>
  </si>
  <si>
    <t>2045 PM No Build Peak Hour Total Travel Time</t>
  </si>
  <si>
    <t>2045 PM No Build Peak Hour Latent Delay Time</t>
  </si>
  <si>
    <t>2025 AM Build Peak Hour Total Travel Time</t>
  </si>
  <si>
    <t>2025 AM Build Peak Hour Latent Delay Time</t>
  </si>
  <si>
    <t>2045 AM Build Peak Hour Total Travel Time</t>
  </si>
  <si>
    <t>2045 AM Build Peak Hour Latent Delay Time</t>
  </si>
  <si>
    <t>2025 PM Build Peak Hour Total Travel Time</t>
  </si>
  <si>
    <t>2025 PM Build Peak Hour Latent Delay Time</t>
  </si>
  <si>
    <t>2045 PM Build Peak Hour Total Travel Time</t>
  </si>
  <si>
    <t>2045 PM Build Peak Hour Latent Delay Time</t>
  </si>
  <si>
    <t>Passenger Vehicle Emissions Saved in Metric Tons</t>
  </si>
  <si>
    <t>Truck Emissions Saved in Metric Tons</t>
  </si>
  <si>
    <t>https://95express.com/wp-content/uploads/2019/04/I-95-Managed-Lanes-Master-Plan-Technical-Document.pdf</t>
  </si>
  <si>
    <t xml:space="preserve">Source I-95 Managed Lane Technical Report </t>
  </si>
  <si>
    <t>2019 Annual Average Daily Traffic Along I-95</t>
  </si>
  <si>
    <t>Bowden Road to University Boulebard</t>
  </si>
  <si>
    <t>miles</t>
  </si>
  <si>
    <t>University Boulevard to Emerson</t>
  </si>
  <si>
    <t>Emerson to Atlantic</t>
  </si>
  <si>
    <t>Segment Average AADT</t>
  </si>
  <si>
    <t>FDOT_2019 AADT_I-95</t>
  </si>
  <si>
    <t>vpd</t>
  </si>
  <si>
    <t>K-Factor</t>
  </si>
  <si>
    <t>AM Diurnal Factor to Covert Peak Hour to Peak Period Volumes</t>
  </si>
  <si>
    <t>PM Diurnal Factor to Covert Peak Hour to Peak Period Volumes</t>
  </si>
  <si>
    <t>AM Peak Period Volume</t>
  </si>
  <si>
    <t>PM Peak Period Volume</t>
  </si>
  <si>
    <t>Butler to 95 NB</t>
  </si>
  <si>
    <t>Universtiy to 95 NB</t>
  </si>
  <si>
    <t>Emerson to 95 NB</t>
  </si>
  <si>
    <t>Kings/Atlantic to 95 SB</t>
  </si>
  <si>
    <t>Emerson to 95 SB</t>
  </si>
  <si>
    <t>Bowden to 95 SB</t>
  </si>
  <si>
    <t>Average ramp volume</t>
  </si>
  <si>
    <t>Average Peak Period</t>
  </si>
  <si>
    <t>Technology Deployment</t>
  </si>
  <si>
    <t>En-Route Travel Time</t>
  </si>
  <si>
    <t>Ramp Metering</t>
  </si>
  <si>
    <t>Road Weather Management</t>
  </si>
  <si>
    <t>Total Avg monetized value ($2019)</t>
  </si>
  <si>
    <t>Maintenance Contract</t>
  </si>
  <si>
    <t>Per centerline mile</t>
  </si>
  <si>
    <t>Length</t>
  </si>
  <si>
    <t>Number of Existing Lanes</t>
  </si>
  <si>
    <t>lanes</t>
  </si>
  <si>
    <t>Number of Proposed Lanes</t>
  </si>
  <si>
    <t>Cost of Maintenance pre-2028</t>
  </si>
  <si>
    <t>per year</t>
  </si>
  <si>
    <t>Contract increase</t>
  </si>
  <si>
    <t>Frequency of increase</t>
  </si>
  <si>
    <t xml:space="preserve">Table 4.2 Wrong-Way Crash Severity (ODOT) </t>
  </si>
  <si>
    <t>Fatal</t>
  </si>
  <si>
    <t>Injury</t>
  </si>
  <si>
    <t>PDO</t>
  </si>
  <si>
    <t>% of Interstate Crashes which are Wrong Way</t>
  </si>
  <si>
    <t>% of Interstate Crashes being Wrong Way</t>
  </si>
  <si>
    <t>Crash Distribution for Wrong Way Crashed</t>
  </si>
  <si>
    <t>Wrong Way Crashes - Build</t>
  </si>
  <si>
    <t>Number of Wrong Way Crashes</t>
  </si>
  <si>
    <t>Number of total crashes looked at</t>
  </si>
  <si>
    <t>FDOT Statewide Wrong Way Crash Study 2015 (pages 27-29 of the pdf)</t>
  </si>
  <si>
    <t>Table 1 FDOT Statewide Wrong Way Crash Study 2015</t>
  </si>
  <si>
    <t xml:space="preserve"> Wrong Way Crashes - No Build</t>
  </si>
  <si>
    <t>Build Maintenance Costs (Cost)</t>
  </si>
  <si>
    <t>No-Build Maintenance Costs (Cost)</t>
  </si>
  <si>
    <t>https://engineering.unl.edu/downloads/files/GHG%20FOR%20WEBSITE.docx#:~:text=The%20same%202013%20study%20found,SO2%20per%20mile%20%5B5%5D.&amp;text=The%20study%20as%20above%20found,VOC%20per%20mile%20%5B5%5D.&amp;text=Using%20the%20individual%20emission%20rates,377%20grams%20CO2%20per%20mile.</t>
  </si>
  <si>
    <t>metric ton to short ton</t>
  </si>
  <si>
    <t>FHWA TOPS BCA SPREADSHEET</t>
  </si>
  <si>
    <t>Technology</t>
  </si>
  <si>
    <t>Wrong Way Detection</t>
  </si>
  <si>
    <t>FHWA Tool for Operations Benefit/Cost (TOPS-BC):  Version 4.0</t>
  </si>
  <si>
    <t>Estimate Benefits of TSM&amp;O Strategies</t>
  </si>
  <si>
    <t>(Please note, some cells will show error codes before the User enters data in the required Green Cells)</t>
  </si>
  <si>
    <t>En-Route Traveler Information (DMS / HAR)</t>
  </si>
  <si>
    <t>Type of Traveler Information</t>
  </si>
  <si>
    <t>Cost Information</t>
  </si>
  <si>
    <t>Iterative Model Run Overview</t>
  </si>
  <si>
    <t>Facility Performance</t>
  </si>
  <si>
    <t>Title</t>
  </si>
  <si>
    <t>Link Volume</t>
  </si>
  <si>
    <t>Result</t>
  </si>
  <si>
    <t>Volume Passing by the Sign Location(s) During the Period of Analysis</t>
  </si>
  <si>
    <t>Impacts Due to Strategy</t>
  </si>
  <si>
    <t>Percent time device is disseminating useful information</t>
  </si>
  <si>
    <t>Percent Drivers Acting on the Information</t>
  </si>
  <si>
    <t>Average Time Saved (Minutes) by Drivers Acting on the Information</t>
  </si>
  <si>
    <t>Average Time Saved (Minutes) by Drivers Not Acting on the Information</t>
  </si>
  <si>
    <t>`</t>
  </si>
  <si>
    <t>ATIS Time Savings</t>
  </si>
  <si>
    <t>Total hours saved due to ATIS deployments</t>
  </si>
  <si>
    <t>User Entered Benefit (Annual $'s)</t>
  </si>
  <si>
    <t>Number of Periods Per Year</t>
  </si>
  <si>
    <t>Strategy: Ramp Metering: Traffic Actuated</t>
  </si>
  <si>
    <t>Length of Analysis Period (Hours)</t>
  </si>
  <si>
    <t>Ramp metering system type</t>
  </si>
  <si>
    <t>Facility Characteristics</t>
  </si>
  <si>
    <t>Freeway Link Facility Type</t>
  </si>
  <si>
    <t>Link Length (Miles)</t>
  </si>
  <si>
    <t>Baseline Override</t>
  </si>
  <si>
    <t>Improvement Override</t>
  </si>
  <si>
    <t>Total Number of Lanes</t>
  </si>
  <si>
    <t>Baseline</t>
  </si>
  <si>
    <t>Improvement</t>
  </si>
  <si>
    <t>Change</t>
  </si>
  <si>
    <t>Freeway Link Capacity (All Lanes - for the time period of analysis)</t>
  </si>
  <si>
    <t xml:space="preserve">Free Flow Speed (MPH) </t>
  </si>
  <si>
    <t>Ramp Link Facility Type</t>
  </si>
  <si>
    <t>Ramp</t>
  </si>
  <si>
    <t>Number of Metered Ramps</t>
  </si>
  <si>
    <t>Average Link Length (Miles)</t>
  </si>
  <si>
    <t>Average Ramp Number of Lanes</t>
  </si>
  <si>
    <t>Average Ramp Link Capacity (All Lanes - for the time period of analysis)</t>
  </si>
  <si>
    <t xml:space="preserve">Average Ramp Free Flow Speed (MPH) </t>
  </si>
  <si>
    <t>Freeway Link Volume (during  time period of analysis)</t>
  </si>
  <si>
    <t>Congested Speed</t>
  </si>
  <si>
    <t>Vehicles Miles Traveled (VMT)</t>
  </si>
  <si>
    <t>V/C</t>
  </si>
  <si>
    <t>TTI(m)</t>
  </si>
  <si>
    <t>TTI(50)</t>
  </si>
  <si>
    <t>TTI(80)</t>
  </si>
  <si>
    <t>TTI(95)</t>
  </si>
  <si>
    <t>Total Buffer Time at TTI(80)</t>
  </si>
  <si>
    <t>Total Buffer Time at TTI(95)</t>
  </si>
  <si>
    <t>Vehicle Hours of Travel</t>
  </si>
  <si>
    <t>Incident Related Delay (hours) per vehicle per mile</t>
  </si>
  <si>
    <t>Number of Fatality Crashes</t>
  </si>
  <si>
    <t>Number of Injury Crashes</t>
  </si>
  <si>
    <t>Number of Property Damage Only Crashes</t>
  </si>
  <si>
    <t>Fuel consumption (Gallons)</t>
  </si>
  <si>
    <t>Average Ramp Link Volume (during  time period of analysis)</t>
  </si>
  <si>
    <t>Facility improvement models</t>
  </si>
  <si>
    <t>Change in Freeway Link Capacity (%)</t>
  </si>
  <si>
    <t>Change in Ramp Link Capacity(%)</t>
  </si>
  <si>
    <t>Reduction in Freeway Crash Rate (%)</t>
  </si>
  <si>
    <t>Reduction in Freeway Crash Duration(%)</t>
  </si>
  <si>
    <t>Reduction in Fuel Use (%)</t>
  </si>
  <si>
    <t>Reliability Benefit</t>
  </si>
  <si>
    <t>Average Person Hours of Buffer Time Travel Saved per Period</t>
  </si>
  <si>
    <t>Reliability Ratio - Auto</t>
  </si>
  <si>
    <t>Reliability Ratio - Truck</t>
  </si>
  <si>
    <t>$ Value of Person Hour (per hour) "On-the-Clock" Auto</t>
  </si>
  <si>
    <t>$ Value of Person Hour (per hour) Other Auto</t>
  </si>
  <si>
    <t>$ Value of Vehicle Hour (per hour) Truck</t>
  </si>
  <si>
    <t>Total Buffer Travel Time Benefit per Period</t>
  </si>
  <si>
    <t>Average Person Hours of Travel Saved per Period</t>
  </si>
  <si>
    <t>Total Recurring (Non-delay) Travel Time Benefit per Period</t>
  </si>
  <si>
    <t>Travel Time Savings: Non-Recurring Delay</t>
  </si>
  <si>
    <t>Average Total Person Hours of Non-Recurring Delay Saved per Period</t>
  </si>
  <si>
    <t>$ Value of Person Hour (per hour of Delay) "On-the-Clock" Auto</t>
  </si>
  <si>
    <t>$ Value of Person Hour (per hour of Delay) Other Auto</t>
  </si>
  <si>
    <t>$ Value of Vehicle Hour (per hour of Delay) Truck</t>
  </si>
  <si>
    <t>Total Non-Recurring Delay Benefit per Period</t>
  </si>
  <si>
    <t>Energy</t>
  </si>
  <si>
    <t>Average cost per gallon of fuel (excluding taxes)</t>
  </si>
  <si>
    <t>Total Fuel Savings Benefit</t>
  </si>
  <si>
    <t>$ Value of a Fatality Crash</t>
  </si>
  <si>
    <t>$ Value of a Injury Crash</t>
  </si>
  <si>
    <t>$ Value of a Property Damage Crash</t>
  </si>
  <si>
    <t>Total Modeled Crash Related Benefit per Period</t>
  </si>
  <si>
    <t>Number of Analysis Periods per Year</t>
  </si>
  <si>
    <t>Link Facility Type</t>
  </si>
  <si>
    <t>Link Capacity (All Lanes - Per Period)</t>
  </si>
  <si>
    <t>Link Volume (Per Period)</t>
  </si>
  <si>
    <t>Change in Capacity (%)</t>
  </si>
  <si>
    <t>Change in Speed (%)</t>
  </si>
  <si>
    <t>Change in # of Lanes</t>
  </si>
  <si>
    <t>Reduction in Crash Rate (%)</t>
  </si>
  <si>
    <t>Reduction in Crash Duration(%)</t>
  </si>
  <si>
    <t>Traveler information models</t>
  </si>
  <si>
    <t>Percent drivers using information</t>
  </si>
  <si>
    <t>Minutes saved by drivers saving time</t>
  </si>
  <si>
    <t>Total Non-Recurring Related Delay Benefit per Period</t>
  </si>
  <si>
    <t>Butler Boulevard to Bowden Road</t>
  </si>
  <si>
    <t>Lengths</t>
  </si>
  <si>
    <t xml:space="preserve">Ramp </t>
  </si>
  <si>
    <t>Mainline Segment</t>
  </si>
  <si>
    <t>Benefits realized</t>
  </si>
  <si>
    <t>% of Benefits Realized</t>
  </si>
  <si>
    <t>Total Travel Time Savings</t>
  </si>
  <si>
    <t>Travel Time By Period</t>
  </si>
  <si>
    <t>Adjusted Travel Time Savings</t>
  </si>
  <si>
    <t>Benefits Adjustment</t>
  </si>
  <si>
    <t>All Day Travel Time (vehicles)</t>
  </si>
  <si>
    <t>Travel Time Costs (persons)</t>
  </si>
  <si>
    <r>
      <rPr>
        <b/>
        <sz val="11"/>
        <rFont val="Calibri"/>
        <family val="2"/>
        <scheme val="minor"/>
      </rPr>
      <t xml:space="preserve">Source: </t>
    </r>
    <r>
      <rPr>
        <sz val="11"/>
        <rFont val="Calibri"/>
        <family val="2"/>
        <scheme val="minor"/>
      </rPr>
      <t>Federal Highway Administration Highway Statistics 2016, Table VM-1</t>
    </r>
  </si>
  <si>
    <r>
      <t>Source:</t>
    </r>
    <r>
      <rPr>
        <sz val="10"/>
        <rFont val="Arial"/>
        <family val="2"/>
      </rPr>
      <t xml:space="preserve"> 40 CFR 600.114-12, September 2011</t>
    </r>
  </si>
  <si>
    <t>Peak Hour Analysis</t>
  </si>
  <si>
    <t>Equivalent Miles Savings</t>
  </si>
  <si>
    <t>Miles Savings by Vehicle Type</t>
  </si>
  <si>
    <t>Total Savings</t>
  </si>
  <si>
    <r>
      <rPr>
        <b/>
        <sz val="11"/>
        <rFont val="Calibri"/>
        <family val="2"/>
        <scheme val="minor"/>
      </rPr>
      <t>Source:</t>
    </r>
    <r>
      <rPr>
        <sz val="11"/>
        <rFont val="Calibri"/>
        <family val="2"/>
        <scheme val="minor"/>
      </rPr>
      <t xml:space="preserve"> VISSIM 9 MOE's Operational Benefits Spreadsheet from FDOT as of 01/29/2021</t>
    </r>
  </si>
  <si>
    <t>VISSIM 9 MOE's Operational Benefits Spreadsheet from FDOT as of 01/29/2021</t>
  </si>
  <si>
    <t>AM &amp; PM 4 hr peaks only-VISSIM 9 MOE'S Operational Benefits Spreadsheet from FDOT as of 01/29/2021</t>
  </si>
  <si>
    <t>Contract Year</t>
  </si>
  <si>
    <t>Per Lane Cost</t>
  </si>
  <si>
    <t>Contract Cost for 6 lanes</t>
  </si>
  <si>
    <t>Start</t>
  </si>
  <si>
    <t>Initial Costs</t>
  </si>
  <si>
    <t>Contingency</t>
  </si>
  <si>
    <t>Annual Savings</t>
  </si>
  <si>
    <t xml:space="preserve">Source: </t>
  </si>
  <si>
    <t>FDOT (Vince Camp) primary LRE provided 2/18/2021</t>
  </si>
  <si>
    <t>FDOT (Jamie Driggers, Melissa Garza) provided sample payout curve for historical payout percentages by month/year for projects of similar nature, 2/18/2021</t>
  </si>
  <si>
    <t>FDOT (Jamie Driggers) CEI and ROW provided 2/23/2021</t>
  </si>
  <si>
    <t>ADDITIONAL PROJECT UNKNOWNS</t>
  </si>
  <si>
    <t>PD &amp; E (2X)</t>
  </si>
  <si>
    <t>PRELIMINARY ENGINEERING</t>
  </si>
  <si>
    <t>TOTAL CONSTRUCTION COSTS</t>
  </si>
  <si>
    <t>RIGHT OF WAY (4X)</t>
  </si>
  <si>
    <t>CONSTRUCTION SUPPORT</t>
  </si>
  <si>
    <t>ENVIRONMENTAL</t>
  </si>
  <si>
    <t>Project Component</t>
  </si>
  <si>
    <t>Output</t>
  </si>
  <si>
    <t>Earnings</t>
  </si>
  <si>
    <t xml:space="preserve">Employment </t>
  </si>
  <si>
    <t>Output ($)</t>
  </si>
  <si>
    <t>Earnings ($)</t>
  </si>
  <si>
    <t>Employment</t>
  </si>
  <si>
    <t>TOTAL CEI</t>
  </si>
  <si>
    <t>TOTAL ROW</t>
  </si>
  <si>
    <t>Calculated using the BEA RIMS II regional economic output, household earnings, and employment multipliers, as identified in RIMS II Multipliers (2012/2018);Table 2.5 Total Multipliers for Output, Earnings, Employment, and Value Added by Industry Aggregation Florida (Type II)</t>
  </si>
  <si>
    <t>BEA RIMS II Multipliers: Construction Industry</t>
  </si>
  <si>
    <t>Economic Impacts</t>
  </si>
  <si>
    <t xml:space="preserve">FDOT Transportation and Data Analytics Office, Straight Line Diagrams using Roadway ID's provided by FDOT </t>
  </si>
  <si>
    <t>ROW + ROW Contingency</t>
  </si>
  <si>
    <t>Economic Output</t>
  </si>
  <si>
    <t>Technology and Innovation</t>
  </si>
  <si>
    <t>Economic Output and Increased Earnings</t>
  </si>
  <si>
    <t>TOTAL AVERAGE ANNUAL BENEFIT for ONE PEAK PERIOD</t>
  </si>
  <si>
    <t>Final demand economic output and earnings based on construction investment</t>
  </si>
  <si>
    <t>Additional travel time, fuel consumption, and crash saving associated with ITS deployments</t>
  </si>
  <si>
    <r>
      <t>Average In-Use Emission Rates</t>
    </r>
    <r>
      <rPr>
        <b/>
        <vertAlign val="superscript"/>
        <sz val="11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(grams/mile)</t>
    </r>
  </si>
  <si>
    <t>AM Peak Speed</t>
  </si>
  <si>
    <t>PM Peak Speed</t>
  </si>
  <si>
    <t>YOE Year</t>
  </si>
  <si>
    <t>Assumed Inflation Rate</t>
  </si>
  <si>
    <t>Base Year $</t>
  </si>
  <si>
    <t>YOE $</t>
  </si>
  <si>
    <t>Net New Expenditures (Federal Grant Request)</t>
  </si>
  <si>
    <t>YOE $ (2023)</t>
  </si>
  <si>
    <t>Assumed Inflation</t>
  </si>
  <si>
    <t>Base Year $ (2019)</t>
  </si>
  <si>
    <t>% Project Costs</t>
  </si>
  <si>
    <t>Project Cost Schedule</t>
  </si>
  <si>
    <t>Design &amp; Construction</t>
  </si>
  <si>
    <t>From FDOT (Jamie Driggers) email with mileposts, 02/22/21</t>
  </si>
  <si>
    <t>From FDOT (Jamie Driggers) email on construction timeline, 02/19/21</t>
  </si>
  <si>
    <t>TOTAL PROJECT COST</t>
  </si>
  <si>
    <t>Email from FDOT (Cindy Tramel, Jamie Driggers) on Maintenance contract</t>
  </si>
  <si>
    <t>Sources</t>
  </si>
  <si>
    <r>
      <rPr>
        <b/>
        <sz val="10"/>
        <rFont val="Arial"/>
        <family val="2"/>
      </rPr>
      <t>Source:</t>
    </r>
    <r>
      <rPr>
        <sz val="10"/>
        <rFont val="Arial"/>
        <family val="2"/>
      </rPr>
      <t xml:space="preserve"> FHWA Tool for Operations Benefit/Cost (TOPS-BC):  Version 4.0 (See Backup Spreadhseet Tabs)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</si>
</sst>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4" formatCode="_(&quot;$&quot;* #,##0.00_);_(&quot;$&quot;* \(#,##0.00\);_(&quot;$&quot;* &quot;-&quot;??_);_(@_)"/>
    <numFmt numFmtId="164" formatCode="&quot;$&quot;#,##0"/>
    <numFmt numFmtId="165" formatCode="0.000"/>
    <numFmt numFmtId="166" formatCode="0.0"/>
    <numFmt numFmtId="167" formatCode="&quot;$&quot;#,##0.00"/>
    <numFmt numFmtId="168" formatCode="0.0%"/>
    <numFmt numFmtId="169" formatCode="0.000000"/>
    <numFmt numFmtId="170" formatCode="#,##0.0"/>
    <numFmt numFmtId="171" formatCode="#,##0.000"/>
    <numFmt numFmtId="172" formatCode="_(&quot;$&quot;* #,##0_);_(&quot;$&quot;* \(#,##0\);_(&quot;$&quot;* &quot;-&quot;??_);_(@_)"/>
    <numFmt numFmtId="173" formatCode="0.00000"/>
    <numFmt numFmtId="174" formatCode="0.0000"/>
    <numFmt numFmtId="175" formatCode="0.00000E+00"/>
  </numFmts>
  <fonts count="5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rgb="FF008000"/>
      <name val="Arial"/>
      <family val="2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8000"/>
      <name val="Calibri"/>
      <family val="2"/>
      <scheme val="minor"/>
    </font>
    <font>
      <sz val="14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9"/>
      <name val="Calibri"/>
      <family val="2"/>
      <scheme val="minor"/>
    </font>
    <font>
      <sz val="11"/>
      <color rgb="FF0099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rgb="FF444444"/>
      <name val="Calibri"/>
      <family val="2"/>
      <charset val="1"/>
    </font>
    <font>
      <u/>
      <sz val="10"/>
      <color theme="10"/>
      <name val="Arial"/>
      <family val="2"/>
    </font>
    <font>
      <sz val="10"/>
      <color rgb="FF0000FF"/>
      <name val="Arial"/>
      <family val="2"/>
    </font>
    <font>
      <sz val="11"/>
      <color theme="0"/>
      <name val="Calibri"/>
      <family val="2"/>
      <scheme val="minor"/>
    </font>
    <font>
      <b/>
      <sz val="11"/>
      <color theme="8" tint="0.79998168889431442"/>
      <name val="Calibri"/>
      <family val="2"/>
      <scheme val="minor"/>
    </font>
    <font>
      <b/>
      <i/>
      <sz val="14"/>
      <color theme="0"/>
      <name val="Calibri"/>
      <family val="2"/>
      <scheme val="minor"/>
    </font>
    <font>
      <b/>
      <sz val="20"/>
      <name val="Calibri"/>
      <family val="2"/>
      <scheme val="minor"/>
    </font>
    <font>
      <sz val="14"/>
      <color theme="3" tint="-0.249977111117893"/>
      <name val="Calibri"/>
      <family val="2"/>
      <scheme val="minor"/>
    </font>
    <font>
      <b/>
      <sz val="16"/>
      <color theme="3" tint="-0.249977111117893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2AFA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0"/>
      <color rgb="FF008000"/>
      <name val="Arial"/>
      <family val="2"/>
    </font>
    <font>
      <sz val="8"/>
      <name val="Arial"/>
      <family val="2"/>
    </font>
    <font>
      <b/>
      <sz val="10"/>
      <name val="Calibri"/>
      <family val="2"/>
      <scheme val="minor"/>
    </font>
    <font>
      <sz val="10"/>
      <color rgb="FF008000"/>
      <name val="Calibri"/>
      <family val="2"/>
      <scheme val="minor"/>
    </font>
    <font>
      <sz val="10"/>
      <color rgb="FF0000FF"/>
      <name val="Calibri"/>
      <family val="2"/>
      <scheme val="minor"/>
    </font>
    <font>
      <b/>
      <sz val="9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1">
    <xf numFmtId="0" fontId="0" fillId="0" borderId="0"/>
    <xf numFmtId="44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0" fillId="0" borderId="0"/>
    <xf numFmtId="9" fontId="18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8" fillId="0" borderId="0"/>
    <xf numFmtId="44" fontId="8" fillId="0" borderId="0" applyFont="0" applyFill="0" applyBorder="0" applyAlignment="0" applyProtection="0"/>
    <xf numFmtId="0" fontId="37" fillId="0" borderId="0" applyNumberFormat="0" applyFill="0" applyBorder="0" applyAlignment="0" applyProtection="0"/>
  </cellStyleXfs>
  <cellXfs count="676">
    <xf numFmtId="0" fontId="0" fillId="0" borderId="0" xfId="0"/>
    <xf numFmtId="0" fontId="0" fillId="0" borderId="0" xfId="0" applyBorder="1"/>
    <xf numFmtId="164" fontId="0" fillId="0" borderId="0" xfId="0" applyNumberFormat="1"/>
    <xf numFmtId="0" fontId="16" fillId="0" borderId="0" xfId="2" applyFont="1" applyFill="1" applyBorder="1"/>
    <xf numFmtId="0" fontId="13" fillId="0" borderId="0" xfId="0" applyFont="1" applyFill="1"/>
    <xf numFmtId="0" fontId="12" fillId="0" borderId="1" xfId="0" applyFont="1" applyBorder="1" applyAlignment="1">
      <alignment horizontal="centerContinuous"/>
    </xf>
    <xf numFmtId="164" fontId="12" fillId="2" borderId="0" xfId="0" applyNumberFormat="1" applyFont="1" applyFill="1"/>
    <xf numFmtId="0" fontId="13" fillId="0" borderId="0" xfId="2" applyFont="1" applyFill="1" applyAlignment="1">
      <alignment horizontal="left"/>
    </xf>
    <xf numFmtId="0" fontId="21" fillId="0" borderId="1" xfId="6" applyFont="1" applyBorder="1" applyAlignment="1">
      <alignment horizontal="centerContinuous"/>
    </xf>
    <xf numFmtId="0" fontId="19" fillId="0" borderId="0" xfId="6" applyFont="1"/>
    <xf numFmtId="0" fontId="13" fillId="0" borderId="0" xfId="6" applyFont="1" applyAlignment="1">
      <alignment horizontal="left" vertical="center" wrapText="1"/>
    </xf>
    <xf numFmtId="0" fontId="21" fillId="0" borderId="20" xfId="6" applyFont="1" applyBorder="1" applyAlignment="1">
      <alignment horizontal="centerContinuous"/>
    </xf>
    <xf numFmtId="0" fontId="21" fillId="0" borderId="17" xfId="6" applyFont="1" applyBorder="1" applyAlignment="1">
      <alignment horizontal="center"/>
    </xf>
    <xf numFmtId="0" fontId="21" fillId="0" borderId="14" xfId="6" applyFont="1" applyBorder="1" applyAlignment="1">
      <alignment horizontal="center"/>
    </xf>
    <xf numFmtId="0" fontId="21" fillId="0" borderId="18" xfId="6" applyFont="1" applyBorder="1" applyAlignment="1">
      <alignment horizontal="center"/>
    </xf>
    <xf numFmtId="0" fontId="21" fillId="0" borderId="17" xfId="6" applyFont="1" applyBorder="1" applyAlignment="1">
      <alignment horizontal="centerContinuous"/>
    </xf>
    <xf numFmtId="0" fontId="21" fillId="0" borderId="14" xfId="6" applyFont="1" applyBorder="1" applyAlignment="1">
      <alignment horizontal="centerContinuous"/>
    </xf>
    <xf numFmtId="0" fontId="21" fillId="0" borderId="22" xfId="6" applyFont="1" applyBorder="1" applyAlignment="1">
      <alignment horizontal="centerContinuous"/>
    </xf>
    <xf numFmtId="0" fontId="21" fillId="0" borderId="5" xfId="6" applyFont="1" applyBorder="1" applyAlignment="1">
      <alignment horizontal="centerContinuous"/>
    </xf>
    <xf numFmtId="0" fontId="21" fillId="0" borderId="21" xfId="6" applyFont="1" applyBorder="1" applyAlignment="1">
      <alignment horizontal="centerContinuous"/>
    </xf>
    <xf numFmtId="0" fontId="21" fillId="0" borderId="3" xfId="6" applyFont="1" applyBorder="1" applyAlignment="1">
      <alignment horizontal="centerContinuous"/>
    </xf>
    <xf numFmtId="164" fontId="12" fillId="2" borderId="19" xfId="0" applyNumberFormat="1" applyFont="1" applyFill="1" applyBorder="1"/>
    <xf numFmtId="3" fontId="22" fillId="0" borderId="19" xfId="6" applyNumberFormat="1" applyFont="1" applyFill="1" applyBorder="1" applyAlignment="1">
      <alignment horizontal="right"/>
    </xf>
    <xf numFmtId="0" fontId="13" fillId="0" borderId="0" xfId="6" applyFont="1"/>
    <xf numFmtId="9" fontId="13" fillId="0" borderId="0" xfId="5" applyFont="1"/>
    <xf numFmtId="3" fontId="12" fillId="2" borderId="0" xfId="0" applyNumberFormat="1" applyFont="1" applyFill="1" applyAlignment="1">
      <alignment horizontal="center"/>
    </xf>
    <xf numFmtId="0" fontId="12" fillId="0" borderId="20" xfId="0" applyFont="1" applyBorder="1" applyAlignment="1">
      <alignment horizontal="centerContinuous"/>
    </xf>
    <xf numFmtId="3" fontId="12" fillId="2" borderId="19" xfId="0" applyNumberFormat="1" applyFont="1" applyFill="1" applyBorder="1" applyAlignment="1">
      <alignment horizontal="center"/>
    </xf>
    <xf numFmtId="0" fontId="15" fillId="0" borderId="0" xfId="0" applyFont="1"/>
    <xf numFmtId="0" fontId="14" fillId="0" borderId="1" xfId="0" applyFont="1" applyBorder="1" applyAlignment="1">
      <alignment horizontal="centerContinuous"/>
    </xf>
    <xf numFmtId="0" fontId="14" fillId="0" borderId="0" xfId="0" applyFont="1" applyAlignment="1">
      <alignment wrapText="1"/>
    </xf>
    <xf numFmtId="0" fontId="13" fillId="0" borderId="0" xfId="0" applyFont="1"/>
    <xf numFmtId="0" fontId="13" fillId="0" borderId="19" xfId="0" applyFont="1" applyBorder="1" applyAlignment="1">
      <alignment horizontal="center"/>
    </xf>
    <xf numFmtId="164" fontId="13" fillId="0" borderId="0" xfId="0" applyNumberFormat="1" applyFont="1"/>
    <xf numFmtId="0" fontId="14" fillId="0" borderId="1" xfId="6" applyFont="1" applyFill="1" applyBorder="1" applyAlignment="1">
      <alignment horizontal="center" wrapText="1"/>
    </xf>
    <xf numFmtId="0" fontId="14" fillId="0" borderId="0" xfId="0" applyFont="1" applyFill="1" applyAlignment="1">
      <alignment horizontal="left"/>
    </xf>
    <xf numFmtId="0" fontId="14" fillId="0" borderId="20" xfId="6" applyFont="1" applyFill="1" applyBorder="1" applyAlignment="1">
      <alignment horizontal="center" wrapText="1"/>
    </xf>
    <xf numFmtId="0" fontId="14" fillId="0" borderId="1" xfId="0" applyFont="1" applyBorder="1" applyAlignment="1">
      <alignment wrapText="1"/>
    </xf>
    <xf numFmtId="0" fontId="14" fillId="0" borderId="20" xfId="0" applyFont="1" applyBorder="1" applyAlignment="1">
      <alignment wrapText="1"/>
    </xf>
    <xf numFmtId="164" fontId="13" fillId="0" borderId="19" xfId="0" applyNumberFormat="1" applyFont="1" applyBorder="1"/>
    <xf numFmtId="0" fontId="22" fillId="0" borderId="0" xfId="6" applyFont="1" applyAlignment="1">
      <alignment horizontal="center"/>
    </xf>
    <xf numFmtId="0" fontId="14" fillId="2" borderId="0" xfId="6" applyFont="1" applyFill="1" applyAlignment="1">
      <alignment horizontal="center"/>
    </xf>
    <xf numFmtId="0" fontId="14" fillId="2" borderId="19" xfId="6" applyFont="1" applyFill="1" applyBorder="1" applyAlignment="1">
      <alignment horizontal="center"/>
    </xf>
    <xf numFmtId="164" fontId="14" fillId="2" borderId="0" xfId="6" applyNumberFormat="1" applyFont="1" applyFill="1" applyAlignment="1">
      <alignment horizontal="center"/>
    </xf>
    <xf numFmtId="164" fontId="14" fillId="2" borderId="19" xfId="6" applyNumberFormat="1" applyFont="1" applyFill="1" applyBorder="1" applyAlignment="1">
      <alignment horizontal="center"/>
    </xf>
    <xf numFmtId="164" fontId="14" fillId="2" borderId="0" xfId="0" applyNumberFormat="1" applyFont="1" applyFill="1"/>
    <xf numFmtId="164" fontId="14" fillId="2" borderId="19" xfId="0" applyNumberFormat="1" applyFont="1" applyFill="1" applyBorder="1"/>
    <xf numFmtId="0" fontId="21" fillId="0" borderId="1" xfId="6" applyFont="1" applyBorder="1" applyAlignment="1">
      <alignment horizontal="center"/>
    </xf>
    <xf numFmtId="0" fontId="21" fillId="0" borderId="20" xfId="6" applyFont="1" applyBorder="1" applyAlignment="1">
      <alignment horizontal="center" wrapText="1"/>
    </xf>
    <xf numFmtId="0" fontId="14" fillId="0" borderId="0" xfId="0" applyFont="1" applyFill="1"/>
    <xf numFmtId="0" fontId="13" fillId="0" borderId="0" xfId="0" applyFont="1" applyFill="1" applyAlignment="1">
      <alignment horizontal="left"/>
    </xf>
    <xf numFmtId="168" fontId="16" fillId="0" borderId="0" xfId="0" applyNumberFormat="1" applyFont="1" applyFill="1"/>
    <xf numFmtId="168" fontId="14" fillId="0" borderId="0" xfId="0" applyNumberFormat="1" applyFont="1" applyFill="1"/>
    <xf numFmtId="164" fontId="22" fillId="0" borderId="0" xfId="6" applyNumberFormat="1" applyFont="1" applyFill="1" applyBorder="1" applyAlignment="1">
      <alignment horizontal="right"/>
    </xf>
    <xf numFmtId="0" fontId="23" fillId="3" borderId="7" xfId="0" applyFont="1" applyFill="1" applyBorder="1" applyAlignment="1">
      <alignment horizontal="centerContinuous" vertical="center"/>
    </xf>
    <xf numFmtId="0" fontId="15" fillId="0" borderId="0" xfId="0" applyFont="1" applyAlignment="1">
      <alignment horizontal="right"/>
    </xf>
    <xf numFmtId="0" fontId="24" fillId="4" borderId="8" xfId="0" applyFont="1" applyFill="1" applyBorder="1" applyAlignment="1">
      <alignment horizontal="centerContinuous" vertical="center"/>
    </xf>
    <xf numFmtId="0" fontId="25" fillId="0" borderId="10" xfId="0" applyFont="1" applyBorder="1" applyAlignment="1">
      <alignment horizontal="center" vertical="center"/>
    </xf>
    <xf numFmtId="0" fontId="24" fillId="5" borderId="16" xfId="0" applyFont="1" applyFill="1" applyBorder="1" applyAlignment="1">
      <alignment horizontal="center" vertical="center"/>
    </xf>
    <xf numFmtId="0" fontId="24" fillId="5" borderId="12" xfId="0" applyFont="1" applyFill="1" applyBorder="1" applyAlignment="1">
      <alignment horizontal="center" vertical="center"/>
    </xf>
    <xf numFmtId="0" fontId="14" fillId="0" borderId="0" xfId="0" applyFont="1"/>
    <xf numFmtId="0" fontId="13" fillId="0" borderId="0" xfId="0" applyFont="1" applyAlignment="1">
      <alignment horizontal="right"/>
    </xf>
    <xf numFmtId="164" fontId="14" fillId="0" borderId="0" xfId="0" applyNumberFormat="1" applyFont="1"/>
    <xf numFmtId="9" fontId="16" fillId="0" borderId="0" xfId="5" applyFont="1"/>
    <xf numFmtId="0" fontId="14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Fill="1" applyAlignment="1">
      <alignment horizontal="center"/>
    </xf>
    <xf numFmtId="0" fontId="26" fillId="0" borderId="0" xfId="0" applyFont="1"/>
    <xf numFmtId="0" fontId="26" fillId="0" borderId="0" xfId="0" applyFont="1" applyAlignment="1">
      <alignment horizontal="right"/>
    </xf>
    <xf numFmtId="0" fontId="13" fillId="0" borderId="25" xfId="0" applyFont="1" applyBorder="1"/>
    <xf numFmtId="0" fontId="13" fillId="0" borderId="15" xfId="0" applyFont="1" applyBorder="1"/>
    <xf numFmtId="164" fontId="13" fillId="0" borderId="0" xfId="0" applyNumberFormat="1" applyFont="1" applyBorder="1"/>
    <xf numFmtId="164" fontId="13" fillId="0" borderId="9" xfId="0" applyNumberFormat="1" applyFont="1" applyBorder="1"/>
    <xf numFmtId="0" fontId="13" fillId="2" borderId="15" xfId="0" applyFont="1" applyFill="1" applyBorder="1"/>
    <xf numFmtId="4" fontId="13" fillId="2" borderId="0" xfId="0" applyNumberFormat="1" applyFont="1" applyFill="1" applyBorder="1"/>
    <xf numFmtId="4" fontId="13" fillId="2" borderId="9" xfId="0" applyNumberFormat="1" applyFont="1" applyFill="1" applyBorder="1"/>
    <xf numFmtId="0" fontId="13" fillId="0" borderId="24" xfId="0" applyFont="1" applyBorder="1"/>
    <xf numFmtId="164" fontId="13" fillId="0" borderId="6" xfId="0" applyNumberFormat="1" applyFont="1" applyBorder="1"/>
    <xf numFmtId="164" fontId="13" fillId="0" borderId="11" xfId="0" applyNumberFormat="1" applyFont="1" applyBorder="1"/>
    <xf numFmtId="0" fontId="13" fillId="0" borderId="20" xfId="0" applyFont="1" applyBorder="1"/>
    <xf numFmtId="164" fontId="14" fillId="2" borderId="4" xfId="6" applyNumberFormat="1" applyFont="1" applyFill="1" applyBorder="1" applyAlignment="1">
      <alignment horizontal="right"/>
    </xf>
    <xf numFmtId="164" fontId="14" fillId="2" borderId="19" xfId="6" applyNumberFormat="1" applyFont="1" applyFill="1" applyBorder="1" applyAlignment="1">
      <alignment horizontal="right"/>
    </xf>
    <xf numFmtId="164" fontId="14" fillId="2" borderId="0" xfId="6" applyNumberFormat="1" applyFont="1" applyFill="1" applyBorder="1" applyAlignment="1">
      <alignment horizontal="right"/>
    </xf>
    <xf numFmtId="0" fontId="13" fillId="0" borderId="0" xfId="0" applyFont="1" applyAlignment="1">
      <alignment wrapText="1"/>
    </xf>
    <xf numFmtId="0" fontId="14" fillId="0" borderId="0" xfId="0" applyFont="1" applyFill="1" applyAlignment="1">
      <alignment horizontal="right" wrapText="1"/>
    </xf>
    <xf numFmtId="0" fontId="14" fillId="0" borderId="0" xfId="0" applyFont="1" applyFill="1" applyAlignment="1">
      <alignment horizontal="center" wrapText="1"/>
    </xf>
    <xf numFmtId="0" fontId="13" fillId="0" borderId="0" xfId="0" applyFont="1" applyFill="1" applyAlignment="1">
      <alignment wrapText="1"/>
    </xf>
    <xf numFmtId="0" fontId="13" fillId="0" borderId="0" xfId="0" applyFont="1" applyFill="1" applyBorder="1" applyAlignment="1">
      <alignment horizontal="right"/>
    </xf>
    <xf numFmtId="164" fontId="27" fillId="0" borderId="0" xfId="0" applyNumberFormat="1" applyFont="1" applyFill="1" applyBorder="1" applyAlignment="1"/>
    <xf numFmtId="0" fontId="13" fillId="0" borderId="0" xfId="0" applyFont="1" applyFill="1" applyBorder="1" applyAlignment="1"/>
    <xf numFmtId="0" fontId="16" fillId="0" borderId="0" xfId="0" applyFont="1" applyFill="1" applyBorder="1" applyAlignment="1"/>
    <xf numFmtId="0" fontId="27" fillId="0" borderId="0" xfId="0" applyFont="1" applyFill="1" applyBorder="1"/>
    <xf numFmtId="0" fontId="13" fillId="0" borderId="0" xfId="0" applyFont="1" applyFill="1" applyAlignment="1">
      <alignment horizontal="right"/>
    </xf>
    <xf numFmtId="165" fontId="13" fillId="0" borderId="0" xfId="0" applyNumberFormat="1" applyFont="1"/>
    <xf numFmtId="164" fontId="13" fillId="0" borderId="0" xfId="1" applyNumberFormat="1" applyFont="1"/>
    <xf numFmtId="164" fontId="13" fillId="0" borderId="0" xfId="0" applyNumberFormat="1" applyFont="1" applyFill="1"/>
    <xf numFmtId="0" fontId="14" fillId="0" borderId="1" xfId="0" applyFont="1" applyFill="1" applyBorder="1" applyAlignment="1">
      <alignment horizontal="center" wrapText="1"/>
    </xf>
    <xf numFmtId="0" fontId="22" fillId="0" borderId="0" xfId="0" applyFont="1" applyAlignment="1">
      <alignment horizontal="center"/>
    </xf>
    <xf numFmtId="164" fontId="22" fillId="0" borderId="0" xfId="0" applyNumberFormat="1" applyFont="1"/>
    <xf numFmtId="0" fontId="14" fillId="2" borderId="0" xfId="0" applyFont="1" applyFill="1" applyAlignment="1">
      <alignment horizontal="center"/>
    </xf>
    <xf numFmtId="0" fontId="14" fillId="2" borderId="0" xfId="0" applyFont="1" applyFill="1"/>
    <xf numFmtId="0" fontId="16" fillId="0" borderId="0" xfId="0" applyFont="1"/>
    <xf numFmtId="0" fontId="14" fillId="0" borderId="20" xfId="0" applyFont="1" applyFill="1" applyBorder="1" applyAlignment="1">
      <alignment horizontal="center" wrapText="1"/>
    </xf>
    <xf numFmtId="0" fontId="14" fillId="2" borderId="19" xfId="0" applyFont="1" applyFill="1" applyBorder="1" applyAlignment="1">
      <alignment horizontal="center"/>
    </xf>
    <xf numFmtId="0" fontId="14" fillId="0" borderId="19" xfId="0" applyFont="1" applyBorder="1"/>
    <xf numFmtId="3" fontId="14" fillId="2" borderId="19" xfId="6" applyNumberFormat="1" applyFont="1" applyFill="1" applyBorder="1" applyAlignment="1">
      <alignment horizontal="right"/>
    </xf>
    <xf numFmtId="3" fontId="14" fillId="2" borderId="4" xfId="6" applyNumberFormat="1" applyFont="1" applyFill="1" applyBorder="1" applyAlignment="1">
      <alignment horizontal="right"/>
    </xf>
    <xf numFmtId="0" fontId="12" fillId="0" borderId="1" xfId="0" applyFont="1" applyBorder="1" applyAlignment="1">
      <alignment horizontal="center" wrapText="1"/>
    </xf>
    <xf numFmtId="0" fontId="12" fillId="0" borderId="20" xfId="0" applyFont="1" applyBorder="1" applyAlignment="1">
      <alignment horizontal="center" wrapText="1"/>
    </xf>
    <xf numFmtId="0" fontId="28" fillId="0" borderId="0" xfId="0" applyFont="1" applyFill="1"/>
    <xf numFmtId="0" fontId="29" fillId="0" borderId="0" xfId="0" applyFont="1" applyFill="1"/>
    <xf numFmtId="0" fontId="28" fillId="0" borderId="0" xfId="0" applyFont="1" applyFill="1" applyAlignment="1">
      <alignment horizontal="left"/>
    </xf>
    <xf numFmtId="0" fontId="16" fillId="0" borderId="0" xfId="6" applyFont="1" applyAlignment="1">
      <alignment horizontal="left" vertical="center" wrapText="1"/>
    </xf>
    <xf numFmtId="0" fontId="16" fillId="0" borderId="19" xfId="6" applyFont="1" applyBorder="1" applyAlignment="1">
      <alignment horizontal="left" vertical="center" wrapText="1"/>
    </xf>
    <xf numFmtId="0" fontId="11" fillId="0" borderId="0" xfId="0" applyFont="1"/>
    <xf numFmtId="164" fontId="22" fillId="0" borderId="2" xfId="6" applyNumberFormat="1" applyFont="1" applyFill="1" applyBorder="1" applyAlignment="1">
      <alignment horizontal="right"/>
    </xf>
    <xf numFmtId="164" fontId="14" fillId="2" borderId="2" xfId="6" applyNumberFormat="1" applyFont="1" applyFill="1" applyBorder="1" applyAlignment="1">
      <alignment horizontal="right"/>
    </xf>
    <xf numFmtId="0" fontId="14" fillId="0" borderId="13" xfId="0" applyFont="1" applyBorder="1" applyAlignment="1">
      <alignment horizontal="right"/>
    </xf>
    <xf numFmtId="0" fontId="14" fillId="0" borderId="23" xfId="0" applyFont="1" applyBorder="1" applyAlignment="1">
      <alignment horizontal="right"/>
    </xf>
    <xf numFmtId="0" fontId="30" fillId="6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30" fillId="3" borderId="28" xfId="0" applyFont="1" applyFill="1" applyBorder="1" applyAlignment="1">
      <alignment vertical="center"/>
    </xf>
    <xf numFmtId="0" fontId="30" fillId="3" borderId="28" xfId="0" applyFont="1" applyFill="1" applyBorder="1" applyAlignment="1">
      <alignment vertical="center" wrapText="1"/>
    </xf>
    <xf numFmtId="0" fontId="31" fillId="0" borderId="29" xfId="0" applyFont="1" applyBorder="1" applyAlignment="1">
      <alignment vertical="center" wrapText="1"/>
    </xf>
    <xf numFmtId="164" fontId="31" fillId="0" borderId="29" xfId="0" applyNumberFormat="1" applyFont="1" applyBorder="1" applyAlignment="1">
      <alignment horizontal="center" vertical="center" wrapText="1"/>
    </xf>
    <xf numFmtId="0" fontId="30" fillId="3" borderId="29" xfId="0" applyFont="1" applyFill="1" applyBorder="1" applyAlignment="1">
      <alignment vertical="center"/>
    </xf>
    <xf numFmtId="0" fontId="30" fillId="3" borderId="29" xfId="0" applyFont="1" applyFill="1" applyBorder="1" applyAlignment="1">
      <alignment vertical="center" wrapText="1"/>
    </xf>
    <xf numFmtId="164" fontId="30" fillId="3" borderId="29" xfId="0" applyNumberFormat="1" applyFont="1" applyFill="1" applyBorder="1" applyAlignment="1">
      <alignment vertical="center" wrapText="1"/>
    </xf>
    <xf numFmtId="0" fontId="30" fillId="6" borderId="29" xfId="0" applyFont="1" applyFill="1" applyBorder="1" applyAlignment="1">
      <alignment vertical="center"/>
    </xf>
    <xf numFmtId="0" fontId="30" fillId="6" borderId="29" xfId="0" applyFont="1" applyFill="1" applyBorder="1" applyAlignment="1">
      <alignment horizontal="right" vertical="center" wrapText="1"/>
    </xf>
    <xf numFmtId="164" fontId="30" fillId="6" borderId="29" xfId="0" applyNumberFormat="1" applyFont="1" applyFill="1" applyBorder="1" applyAlignment="1">
      <alignment horizontal="center" vertical="center" wrapText="1"/>
    </xf>
    <xf numFmtId="0" fontId="30" fillId="6" borderId="31" xfId="0" applyFont="1" applyFill="1" applyBorder="1" applyAlignment="1">
      <alignment vertical="center"/>
    </xf>
    <xf numFmtId="0" fontId="30" fillId="6" borderId="31" xfId="0" applyFont="1" applyFill="1" applyBorder="1" applyAlignment="1">
      <alignment horizontal="right" vertical="center" wrapText="1"/>
    </xf>
    <xf numFmtId="164" fontId="30" fillId="6" borderId="31" xfId="0" applyNumberFormat="1" applyFont="1" applyFill="1" applyBorder="1" applyAlignment="1">
      <alignment horizontal="center" vertical="center" wrapText="1"/>
    </xf>
    <xf numFmtId="0" fontId="31" fillId="0" borderId="30" xfId="0" applyFont="1" applyBorder="1" applyAlignment="1">
      <alignment vertical="center" wrapText="1"/>
    </xf>
    <xf numFmtId="164" fontId="31" fillId="0" borderId="30" xfId="0" applyNumberFormat="1" applyFont="1" applyBorder="1" applyAlignment="1">
      <alignment horizontal="center" vertical="center" wrapText="1"/>
    </xf>
    <xf numFmtId="0" fontId="30" fillId="6" borderId="30" xfId="0" applyFont="1" applyFill="1" applyBorder="1" applyAlignment="1">
      <alignment vertical="center"/>
    </xf>
    <xf numFmtId="0" fontId="30" fillId="6" borderId="30" xfId="0" applyFont="1" applyFill="1" applyBorder="1" applyAlignment="1">
      <alignment horizontal="right" vertical="center" wrapText="1"/>
    </xf>
    <xf numFmtId="40" fontId="30" fillId="6" borderId="30" xfId="0" applyNumberFormat="1" applyFont="1" applyFill="1" applyBorder="1" applyAlignment="1">
      <alignment horizontal="center" vertical="center"/>
    </xf>
    <xf numFmtId="0" fontId="14" fillId="0" borderId="1" xfId="6" applyFont="1" applyFill="1" applyBorder="1" applyAlignment="1">
      <alignment horizontal="center" vertical="center" wrapText="1"/>
    </xf>
    <xf numFmtId="0" fontId="14" fillId="0" borderId="20" xfId="6" applyFont="1" applyFill="1" applyBorder="1" applyAlignment="1">
      <alignment horizontal="center" vertical="center" wrapText="1"/>
    </xf>
    <xf numFmtId="0" fontId="14" fillId="0" borderId="27" xfId="6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33" fillId="0" borderId="0" xfId="6" applyFont="1" applyAlignment="1">
      <alignment vertical="top"/>
    </xf>
    <xf numFmtId="0" fontId="34" fillId="0" borderId="0" xfId="6" applyFont="1" applyAlignment="1">
      <alignment horizontal="right"/>
    </xf>
    <xf numFmtId="0" fontId="35" fillId="0" borderId="0" xfId="6" applyFont="1" applyAlignment="1">
      <alignment horizontal="left" wrapText="1"/>
    </xf>
    <xf numFmtId="0" fontId="34" fillId="0" borderId="0" xfId="6" applyFont="1" applyAlignment="1">
      <alignment horizontal="right" vertical="top"/>
    </xf>
    <xf numFmtId="0" fontId="23" fillId="3" borderId="32" xfId="0" applyFont="1" applyFill="1" applyBorder="1" applyAlignment="1">
      <alignment horizontal="centerContinuous" vertical="center"/>
    </xf>
    <xf numFmtId="0" fontId="24" fillId="4" borderId="9" xfId="0" applyFont="1" applyFill="1" applyBorder="1" applyAlignment="1">
      <alignment horizontal="centerContinuous" vertical="center"/>
    </xf>
    <xf numFmtId="0" fontId="24" fillId="0" borderId="11" xfId="0" applyFont="1" applyBorder="1" applyAlignment="1">
      <alignment horizontal="center" vertical="center"/>
    </xf>
    <xf numFmtId="3" fontId="13" fillId="0" borderId="0" xfId="0" applyNumberFormat="1" applyFont="1" applyFill="1"/>
    <xf numFmtId="167" fontId="16" fillId="0" borderId="0" xfId="0" applyNumberFormat="1" applyFont="1" applyFill="1"/>
    <xf numFmtId="0" fontId="13" fillId="0" borderId="0" xfId="0" applyFont="1" applyFill="1" applyAlignment="1">
      <alignment horizontal="left" wrapText="1"/>
    </xf>
    <xf numFmtId="0" fontId="32" fillId="0" borderId="0" xfId="0" applyFont="1" applyFill="1" applyAlignment="1">
      <alignment vertical="top" wrapText="1"/>
    </xf>
    <xf numFmtId="0" fontId="13" fillId="0" borderId="0" xfId="6" applyFont="1" applyAlignment="1">
      <alignment horizontal="left" wrapText="1"/>
    </xf>
    <xf numFmtId="170" fontId="16" fillId="0" borderId="4" xfId="0" applyNumberFormat="1" applyFont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7" fillId="0" borderId="0" xfId="6" applyFont="1"/>
    <xf numFmtId="0" fontId="7" fillId="0" borderId="0" xfId="6" applyFont="1" applyAlignment="1">
      <alignment horizontal="center"/>
    </xf>
    <xf numFmtId="0" fontId="14" fillId="0" borderId="0" xfId="0" applyFont="1" applyAlignment="1">
      <alignment horizontal="center" wrapText="1"/>
    </xf>
    <xf numFmtId="0" fontId="7" fillId="0" borderId="0" xfId="6" applyFont="1" applyAlignment="1">
      <alignment horizontal="left" wrapText="1"/>
    </xf>
    <xf numFmtId="0" fontId="7" fillId="0" borderId="0" xfId="6" applyFont="1" applyAlignment="1">
      <alignment horizontal="left" vertical="center" wrapText="1"/>
    </xf>
    <xf numFmtId="170" fontId="16" fillId="0" borderId="0" xfId="0" applyNumberFormat="1" applyFont="1" applyAlignment="1">
      <alignment horizontal="center" vertical="center"/>
    </xf>
    <xf numFmtId="0" fontId="7" fillId="0" borderId="0" xfId="6" applyFont="1" applyAlignment="1">
      <alignment horizontal="center" vertical="center"/>
    </xf>
    <xf numFmtId="167" fontId="7" fillId="0" borderId="0" xfId="6" applyNumberFormat="1" applyFont="1"/>
    <xf numFmtId="0" fontId="7" fillId="0" borderId="0" xfId="6" applyFont="1" applyAlignment="1">
      <alignment horizontal="right"/>
    </xf>
    <xf numFmtId="164" fontId="13" fillId="0" borderId="0" xfId="6" applyNumberFormat="1" applyFont="1" applyAlignment="1">
      <alignment horizontal="right" vertical="center"/>
    </xf>
    <xf numFmtId="164" fontId="22" fillId="0" borderId="0" xfId="6" applyNumberFormat="1" applyFont="1" applyAlignment="1">
      <alignment horizontal="right" vertical="center"/>
    </xf>
    <xf numFmtId="0" fontId="7" fillId="0" borderId="0" xfId="6" applyFont="1" applyAlignment="1">
      <alignment wrapText="1"/>
    </xf>
    <xf numFmtId="0" fontId="14" fillId="0" borderId="1" xfId="6" applyFont="1" applyBorder="1" applyAlignment="1">
      <alignment horizontal="center" wrapText="1"/>
    </xf>
    <xf numFmtId="3" fontId="13" fillId="0" borderId="0" xfId="6" applyNumberFormat="1" applyFont="1" applyAlignment="1">
      <alignment horizontal="right" vertical="center"/>
    </xf>
    <xf numFmtId="0" fontId="7" fillId="0" borderId="0" xfId="6" applyFont="1" applyAlignment="1">
      <alignment vertical="top"/>
    </xf>
    <xf numFmtId="0" fontId="7" fillId="0" borderId="19" xfId="6" applyFont="1" applyBorder="1"/>
    <xf numFmtId="0" fontId="7" fillId="0" borderId="1" xfId="6" applyFont="1" applyBorder="1" applyAlignment="1">
      <alignment horizontal="centerContinuous"/>
    </xf>
    <xf numFmtId="0" fontId="7" fillId="0" borderId="20" xfId="6" applyFont="1" applyBorder="1" applyAlignment="1">
      <alignment horizontal="centerContinuous"/>
    </xf>
    <xf numFmtId="0" fontId="7" fillId="0" borderId="3" xfId="6" applyFont="1" applyBorder="1" applyAlignment="1">
      <alignment horizontal="centerContinuous"/>
    </xf>
    <xf numFmtId="0" fontId="14" fillId="0" borderId="20" xfId="6" applyFont="1" applyBorder="1" applyAlignment="1">
      <alignment horizontal="center" wrapText="1"/>
    </xf>
    <xf numFmtId="0" fontId="14" fillId="0" borderId="18" xfId="6" applyFont="1" applyBorder="1" applyAlignment="1">
      <alignment horizontal="center" wrapText="1"/>
    </xf>
    <xf numFmtId="0" fontId="14" fillId="0" borderId="21" xfId="6" applyFont="1" applyBorder="1" applyAlignment="1">
      <alignment horizontal="center" wrapText="1"/>
    </xf>
    <xf numFmtId="0" fontId="14" fillId="0" borderId="27" xfId="6" applyFont="1" applyBorder="1" applyAlignment="1">
      <alignment horizontal="center" wrapText="1"/>
    </xf>
    <xf numFmtId="0" fontId="7" fillId="0" borderId="19" xfId="6" applyFont="1" applyBorder="1" applyAlignment="1">
      <alignment horizontal="center"/>
    </xf>
    <xf numFmtId="164" fontId="14" fillId="2" borderId="2" xfId="6" applyNumberFormat="1" applyFont="1" applyFill="1" applyBorder="1" applyAlignment="1">
      <alignment horizontal="center"/>
    </xf>
    <xf numFmtId="9" fontId="16" fillId="0" borderId="0" xfId="5" applyFont="1" applyFill="1" applyBorder="1"/>
    <xf numFmtId="3" fontId="13" fillId="0" borderId="0" xfId="0" applyNumberFormat="1" applyFont="1" applyFill="1" applyAlignment="1">
      <alignment horizontal="center" vertical="center"/>
    </xf>
    <xf numFmtId="3" fontId="13" fillId="0" borderId="19" xfId="0" applyNumberFormat="1" applyFont="1" applyFill="1" applyBorder="1" applyAlignment="1">
      <alignment horizontal="center" vertical="center"/>
    </xf>
    <xf numFmtId="3" fontId="19" fillId="0" borderId="19" xfId="0" applyNumberFormat="1" applyFont="1" applyFill="1" applyBorder="1" applyAlignment="1">
      <alignment horizontal="center" vertical="center"/>
    </xf>
    <xf numFmtId="3" fontId="13" fillId="0" borderId="19" xfId="0" applyNumberFormat="1" applyFont="1" applyFill="1" applyBorder="1"/>
    <xf numFmtId="170" fontId="16" fillId="0" borderId="4" xfId="0" applyNumberFormat="1" applyFont="1" applyFill="1" applyBorder="1" applyAlignment="1">
      <alignment horizontal="center" vertical="center"/>
    </xf>
    <xf numFmtId="0" fontId="21" fillId="0" borderId="14" xfId="6" applyFont="1" applyBorder="1" applyAlignment="1"/>
    <xf numFmtId="0" fontId="21" fillId="0" borderId="18" xfId="6" applyFont="1" applyBorder="1" applyAlignment="1"/>
    <xf numFmtId="0" fontId="6" fillId="0" borderId="0" xfId="6" applyFont="1" applyAlignment="1">
      <alignment wrapText="1"/>
    </xf>
    <xf numFmtId="0" fontId="6" fillId="0" borderId="0" xfId="6" applyFont="1" applyAlignment="1">
      <alignment horizontal="right"/>
    </xf>
    <xf numFmtId="167" fontId="22" fillId="0" borderId="0" xfId="0" applyNumberFormat="1" applyFont="1"/>
    <xf numFmtId="0" fontId="6" fillId="0" borderId="0" xfId="6" applyFont="1"/>
    <xf numFmtId="10" fontId="22" fillId="0" borderId="0" xfId="0" applyNumberFormat="1" applyFont="1"/>
    <xf numFmtId="4" fontId="22" fillId="0" borderId="0" xfId="0" applyNumberFormat="1" applyFont="1"/>
    <xf numFmtId="0" fontId="21" fillId="0" borderId="0" xfId="6" applyFont="1" applyAlignment="1">
      <alignment horizontal="centerContinuous"/>
    </xf>
    <xf numFmtId="0" fontId="6" fillId="0" borderId="19" xfId="6" applyFont="1" applyBorder="1"/>
    <xf numFmtId="0" fontId="6" fillId="0" borderId="18" xfId="6" applyFont="1" applyBorder="1" applyAlignment="1">
      <alignment horizontal="centerContinuous"/>
    </xf>
    <xf numFmtId="0" fontId="6" fillId="0" borderId="14" xfId="6" applyFont="1" applyBorder="1" applyAlignment="1">
      <alignment horizontal="centerContinuous"/>
    </xf>
    <xf numFmtId="0" fontId="6" fillId="0" borderId="19" xfId="6" applyFont="1" applyBorder="1" applyAlignment="1">
      <alignment horizontal="center"/>
    </xf>
    <xf numFmtId="3" fontId="13" fillId="0" borderId="0" xfId="6" applyNumberFormat="1" applyFont="1" applyAlignment="1">
      <alignment horizontal="right"/>
    </xf>
    <xf numFmtId="3" fontId="13" fillId="0" borderId="19" xfId="6" applyNumberFormat="1" applyFont="1" applyBorder="1" applyAlignment="1">
      <alignment horizontal="right"/>
    </xf>
    <xf numFmtId="164" fontId="13" fillId="0" borderId="0" xfId="6" applyNumberFormat="1" applyFont="1" applyAlignment="1">
      <alignment horizontal="right"/>
    </xf>
    <xf numFmtId="164" fontId="13" fillId="0" borderId="19" xfId="6" applyNumberFormat="1" applyFont="1" applyBorder="1" applyAlignment="1">
      <alignment horizontal="right"/>
    </xf>
    <xf numFmtId="0" fontId="6" fillId="0" borderId="0" xfId="6" applyFont="1" applyAlignment="1">
      <alignment horizontal="center"/>
    </xf>
    <xf numFmtId="164" fontId="14" fillId="2" borderId="0" xfId="6" applyNumberFormat="1" applyFont="1" applyFill="1" applyAlignment="1">
      <alignment horizontal="right"/>
    </xf>
    <xf numFmtId="0" fontId="5" fillId="0" borderId="0" xfId="6" applyFont="1"/>
    <xf numFmtId="0" fontId="15" fillId="0" borderId="0" xfId="0" applyFont="1" applyAlignment="1">
      <alignment horizontal="left" vertical="top" wrapText="1"/>
    </xf>
    <xf numFmtId="167" fontId="0" fillId="0" borderId="0" xfId="0" applyNumberFormat="1" applyAlignment="1">
      <alignment horizontal="right" vertical="top" wrapText="1"/>
    </xf>
    <xf numFmtId="0" fontId="15" fillId="0" borderId="0" xfId="0" applyFont="1" applyAlignment="1">
      <alignment vertical="top"/>
    </xf>
    <xf numFmtId="0" fontId="13" fillId="0" borderId="0" xfId="4" applyFont="1"/>
    <xf numFmtId="0" fontId="14" fillId="0" borderId="26" xfId="4" applyFont="1" applyBorder="1" applyAlignment="1">
      <alignment horizontal="centerContinuous"/>
    </xf>
    <xf numFmtId="0" fontId="12" fillId="0" borderId="26" xfId="0" applyFont="1" applyBorder="1" applyAlignment="1">
      <alignment horizontal="centerContinuous"/>
    </xf>
    <xf numFmtId="0" fontId="12" fillId="0" borderId="0" xfId="0" applyFont="1"/>
    <xf numFmtId="0" fontId="13" fillId="0" borderId="0" xfId="4" applyFont="1" applyAlignment="1">
      <alignment horizontal="center"/>
    </xf>
    <xf numFmtId="9" fontId="22" fillId="0" borderId="0" xfId="3" applyFont="1" applyAlignment="1">
      <alignment horizontal="right"/>
    </xf>
    <xf numFmtId="9" fontId="22" fillId="0" borderId="0" xfId="3" applyFont="1"/>
    <xf numFmtId="0" fontId="12" fillId="0" borderId="18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22" fillId="0" borderId="0" xfId="4" applyNumberFormat="1" applyFont="1" applyAlignment="1">
      <alignment horizontal="center"/>
    </xf>
    <xf numFmtId="3" fontId="22" fillId="0" borderId="19" xfId="4" applyNumberFormat="1" applyFont="1" applyBorder="1" applyAlignment="1">
      <alignment horizontal="center"/>
    </xf>
    <xf numFmtId="3" fontId="13" fillId="0" borderId="0" xfId="4" applyNumberFormat="1" applyFont="1"/>
    <xf numFmtId="3" fontId="13" fillId="0" borderId="19" xfId="4" applyNumberFormat="1" applyFont="1" applyBorder="1"/>
    <xf numFmtId="3" fontId="13" fillId="0" borderId="21" xfId="4" applyNumberFormat="1" applyFont="1" applyBorder="1"/>
    <xf numFmtId="164" fontId="16" fillId="0" borderId="0" xfId="4" applyNumberFormat="1" applyFont="1"/>
    <xf numFmtId="164" fontId="16" fillId="0" borderId="19" xfId="4" applyNumberFormat="1" applyFont="1" applyBorder="1"/>
    <xf numFmtId="169" fontId="16" fillId="0" borderId="0" xfId="4" applyNumberFormat="1" applyFont="1"/>
    <xf numFmtId="0" fontId="13" fillId="0" borderId="0" xfId="4" applyFont="1" applyAlignment="1">
      <alignment horizontal="right"/>
    </xf>
    <xf numFmtId="0" fontId="14" fillId="0" borderId="0" xfId="4" applyFont="1" applyAlignment="1">
      <alignment horizontal="left"/>
    </xf>
    <xf numFmtId="0" fontId="14" fillId="0" borderId="0" xfId="4" applyFont="1" applyAlignment="1">
      <alignment horizontal="center"/>
    </xf>
    <xf numFmtId="164" fontId="16" fillId="0" borderId="0" xfId="4" applyNumberFormat="1" applyFont="1" applyAlignment="1">
      <alignment horizontal="right"/>
    </xf>
    <xf numFmtId="3" fontId="19" fillId="0" borderId="0" xfId="4" applyNumberFormat="1" applyFont="1"/>
    <xf numFmtId="3" fontId="19" fillId="0" borderId="19" xfId="4" applyNumberFormat="1" applyFont="1" applyBorder="1"/>
    <xf numFmtId="0" fontId="14" fillId="0" borderId="0" xfId="4" applyFont="1" applyAlignment="1">
      <alignment horizontal="center" vertical="center"/>
    </xf>
    <xf numFmtId="0" fontId="14" fillId="0" borderId="0" xfId="4" applyFont="1" applyAlignment="1">
      <alignment horizontal="center" vertical="center" wrapText="1"/>
    </xf>
    <xf numFmtId="0" fontId="16" fillId="0" borderId="0" xfId="4" applyFont="1"/>
    <xf numFmtId="0" fontId="14" fillId="0" borderId="0" xfId="4" applyFont="1"/>
    <xf numFmtId="0" fontId="13" fillId="0" borderId="0" xfId="4" applyFont="1" applyAlignment="1">
      <alignment horizontal="left"/>
    </xf>
    <xf numFmtId="0" fontId="13" fillId="0" borderId="0" xfId="4" applyFont="1" applyAlignment="1">
      <alignment horizontal="left" wrapText="1"/>
    </xf>
    <xf numFmtId="1" fontId="16" fillId="0" borderId="0" xfId="4" applyNumberFormat="1" applyFont="1"/>
    <xf numFmtId="0" fontId="12" fillId="0" borderId="0" xfId="4" applyFont="1"/>
    <xf numFmtId="0" fontId="36" fillId="0" borderId="0" xfId="0" applyFont="1"/>
    <xf numFmtId="0" fontId="36" fillId="0" borderId="0" xfId="0" applyFont="1" applyAlignment="1">
      <alignment horizontal="right"/>
    </xf>
    <xf numFmtId="0" fontId="13" fillId="0" borderId="1" xfId="4" applyFont="1" applyBorder="1"/>
    <xf numFmtId="0" fontId="16" fillId="0" borderId="1" xfId="4" applyFont="1" applyBorder="1"/>
    <xf numFmtId="0" fontId="16" fillId="0" borderId="0" xfId="4" quotePrefix="1" applyFont="1" applyAlignment="1">
      <alignment horizontal="right"/>
    </xf>
    <xf numFmtId="172" fontId="16" fillId="0" borderId="0" xfId="1" applyNumberFormat="1" applyFont="1"/>
    <xf numFmtId="3" fontId="16" fillId="0" borderId="0" xfId="0" applyNumberFormat="1" applyFont="1"/>
    <xf numFmtId="172" fontId="13" fillId="0" borderId="0" xfId="1" applyNumberFormat="1" applyFont="1" applyFill="1" applyBorder="1" applyAlignment="1"/>
    <xf numFmtId="9" fontId="16" fillId="0" borderId="0" xfId="3" applyFont="1" applyFill="1" applyBorder="1" applyAlignment="1"/>
    <xf numFmtId="0" fontId="38" fillId="0" borderId="0" xfId="0" applyFont="1"/>
    <xf numFmtId="0" fontId="14" fillId="0" borderId="26" xfId="0" applyFont="1" applyBorder="1" applyAlignment="1">
      <alignment horizontal="centerContinuous"/>
    </xf>
    <xf numFmtId="0" fontId="14" fillId="0" borderId="1" xfId="0" applyFont="1" applyBorder="1" applyAlignment="1">
      <alignment horizontal="center" wrapText="1"/>
    </xf>
    <xf numFmtId="0" fontId="14" fillId="0" borderId="20" xfId="0" applyFont="1" applyBorder="1" applyAlignment="1">
      <alignment horizontal="center" wrapText="1"/>
    </xf>
    <xf numFmtId="0" fontId="14" fillId="0" borderId="26" xfId="0" applyFont="1" applyBorder="1" applyAlignment="1">
      <alignment wrapText="1"/>
    </xf>
    <xf numFmtId="164" fontId="13" fillId="0" borderId="4" xfId="0" applyNumberFormat="1" applyFont="1" applyBorder="1"/>
    <xf numFmtId="164" fontId="14" fillId="2" borderId="4" xfId="0" applyNumberFormat="1" applyFont="1" applyFill="1" applyBorder="1"/>
    <xf numFmtId="0" fontId="13" fillId="0" borderId="0" xfId="0" applyFont="1" applyAlignment="1">
      <alignment horizontal="left"/>
    </xf>
    <xf numFmtId="0" fontId="21" fillId="0" borderId="17" xfId="6" applyFont="1" applyBorder="1"/>
    <xf numFmtId="0" fontId="21" fillId="0" borderId="14" xfId="6" applyFont="1" applyBorder="1"/>
    <xf numFmtId="0" fontId="21" fillId="0" borderId="18" xfId="6" applyFont="1" applyBorder="1"/>
    <xf numFmtId="0" fontId="21" fillId="0" borderId="22" xfId="6" applyFont="1" applyBorder="1"/>
    <xf numFmtId="0" fontId="21" fillId="0" borderId="5" xfId="6" applyFont="1" applyBorder="1"/>
    <xf numFmtId="0" fontId="21" fillId="0" borderId="21" xfId="6" applyFont="1" applyBorder="1"/>
    <xf numFmtId="0" fontId="21" fillId="0" borderId="0" xfId="6" applyFont="1"/>
    <xf numFmtId="0" fontId="21" fillId="0" borderId="0" xfId="6" applyFont="1" applyAlignment="1">
      <alignment horizontal="center"/>
    </xf>
    <xf numFmtId="0" fontId="21" fillId="0" borderId="0" xfId="6" applyFont="1" applyAlignment="1">
      <alignment horizontal="center" wrapText="1"/>
    </xf>
    <xf numFmtId="3" fontId="13" fillId="0" borderId="19" xfId="0" applyNumberFormat="1" applyFont="1" applyBorder="1" applyAlignment="1">
      <alignment horizontal="center" vertical="center"/>
    </xf>
    <xf numFmtId="10" fontId="13" fillId="0" borderId="0" xfId="7" applyNumberFormat="1" applyFont="1" applyBorder="1" applyAlignment="1">
      <alignment horizontal="center"/>
    </xf>
    <xf numFmtId="9" fontId="22" fillId="0" borderId="0" xfId="7" applyFont="1" applyBorder="1" applyAlignment="1">
      <alignment horizontal="center"/>
    </xf>
    <xf numFmtId="3" fontId="19" fillId="0" borderId="19" xfId="0" applyNumberFormat="1" applyFont="1" applyBorder="1" applyAlignment="1">
      <alignment horizontal="center" vertical="center"/>
    </xf>
    <xf numFmtId="3" fontId="13" fillId="0" borderId="0" xfId="0" applyNumberFormat="1" applyFont="1"/>
    <xf numFmtId="3" fontId="13" fillId="0" borderId="19" xfId="0" applyNumberFormat="1" applyFont="1" applyBorder="1"/>
    <xf numFmtId="167" fontId="13" fillId="0" borderId="0" xfId="6" applyNumberFormat="1" applyFont="1" applyAlignment="1">
      <alignment horizontal="right" vertical="center"/>
    </xf>
    <xf numFmtId="0" fontId="34" fillId="0" borderId="0" xfId="6" applyFont="1"/>
    <xf numFmtId="0" fontId="14" fillId="0" borderId="0" xfId="6" applyFont="1" applyAlignment="1">
      <alignment horizontal="center" wrapText="1"/>
    </xf>
    <xf numFmtId="4" fontId="14" fillId="2" borderId="0" xfId="6" applyNumberFormat="1" applyFont="1" applyFill="1" applyAlignment="1">
      <alignment horizontal="center"/>
    </xf>
    <xf numFmtId="0" fontId="4" fillId="0" borderId="0" xfId="6" applyFont="1"/>
    <xf numFmtId="0" fontId="4" fillId="0" borderId="0" xfId="6" applyFont="1" applyAlignment="1">
      <alignment horizontal="center"/>
    </xf>
    <xf numFmtId="0" fontId="4" fillId="0" borderId="0" xfId="6" applyFont="1" applyAlignment="1">
      <alignment horizontal="left" wrapText="1"/>
    </xf>
    <xf numFmtId="0" fontId="4" fillId="0" borderId="0" xfId="6" applyFont="1" applyAlignment="1">
      <alignment horizontal="left" vertical="center" wrapText="1"/>
    </xf>
    <xf numFmtId="168" fontId="13" fillId="0" borderId="0" xfId="3" applyNumberFormat="1" applyFont="1" applyBorder="1" applyAlignment="1">
      <alignment horizontal="center" vertical="center"/>
    </xf>
    <xf numFmtId="168" fontId="13" fillId="0" borderId="19" xfId="3" applyNumberFormat="1" applyFont="1" applyBorder="1" applyAlignment="1">
      <alignment horizontal="center" vertical="center"/>
    </xf>
    <xf numFmtId="0" fontId="4" fillId="0" borderId="0" xfId="6" applyFont="1" applyAlignment="1">
      <alignment horizontal="center" vertical="center"/>
    </xf>
    <xf numFmtId="167" fontId="4" fillId="0" borderId="0" xfId="6" applyNumberFormat="1" applyFont="1"/>
    <xf numFmtId="0" fontId="4" fillId="0" borderId="0" xfId="6" applyFont="1" applyAlignment="1">
      <alignment horizontal="right"/>
    </xf>
    <xf numFmtId="0" fontId="4" fillId="0" borderId="0" xfId="6" applyFont="1" applyAlignment="1">
      <alignment wrapText="1"/>
    </xf>
    <xf numFmtId="10" fontId="13" fillId="0" borderId="0" xfId="3" applyNumberFormat="1" applyFont="1" applyBorder="1" applyAlignment="1">
      <alignment horizontal="right" vertical="center"/>
    </xf>
    <xf numFmtId="1" fontId="16" fillId="0" borderId="0" xfId="6" applyNumberFormat="1" applyFont="1" applyAlignment="1">
      <alignment horizontal="right" vertical="center"/>
    </xf>
    <xf numFmtId="1" fontId="16" fillId="0" borderId="0" xfId="3" applyNumberFormat="1" applyFont="1"/>
    <xf numFmtId="9" fontId="4" fillId="0" borderId="0" xfId="3" applyFont="1"/>
    <xf numFmtId="0" fontId="4" fillId="0" borderId="0" xfId="6" applyFont="1" applyAlignment="1">
      <alignment vertical="top"/>
    </xf>
    <xf numFmtId="0" fontId="4" fillId="0" borderId="19" xfId="6" applyFont="1" applyBorder="1"/>
    <xf numFmtId="0" fontId="4" fillId="0" borderId="1" xfId="6" applyFont="1" applyBorder="1" applyAlignment="1">
      <alignment horizontal="centerContinuous"/>
    </xf>
    <xf numFmtId="0" fontId="4" fillId="0" borderId="20" xfId="6" applyFont="1" applyBorder="1" applyAlignment="1">
      <alignment horizontal="centerContinuous"/>
    </xf>
    <xf numFmtId="0" fontId="4" fillId="0" borderId="3" xfId="6" applyFont="1" applyBorder="1" applyAlignment="1">
      <alignment horizontal="centerContinuous"/>
    </xf>
    <xf numFmtId="0" fontId="4" fillId="0" borderId="19" xfId="6" applyFont="1" applyBorder="1" applyAlignment="1">
      <alignment horizontal="center"/>
    </xf>
    <xf numFmtId="166" fontId="4" fillId="0" borderId="0" xfId="6" applyNumberFormat="1" applyFont="1"/>
    <xf numFmtId="172" fontId="4" fillId="0" borderId="0" xfId="1" applyNumberFormat="1" applyFont="1"/>
    <xf numFmtId="44" fontId="4" fillId="0" borderId="0" xfId="6" applyNumberFormat="1" applyFont="1"/>
    <xf numFmtId="4" fontId="4" fillId="0" borderId="0" xfId="6" applyNumberFormat="1" applyFont="1"/>
    <xf numFmtId="2" fontId="12" fillId="2" borderId="0" xfId="0" applyNumberFormat="1" applyFont="1" applyFill="1"/>
    <xf numFmtId="2" fontId="13" fillId="0" borderId="0" xfId="4" applyNumberFormat="1" applyFont="1"/>
    <xf numFmtId="0" fontId="37" fillId="0" borderId="0" xfId="10"/>
    <xf numFmtId="3" fontId="6" fillId="0" borderId="0" xfId="6" applyNumberFormat="1" applyFont="1"/>
    <xf numFmtId="3" fontId="19" fillId="0" borderId="0" xfId="0" applyNumberFormat="1" applyFont="1" applyFill="1" applyBorder="1" applyAlignment="1">
      <alignment horizontal="center" vertical="center"/>
    </xf>
    <xf numFmtId="1" fontId="13" fillId="0" borderId="0" xfId="0" applyNumberFormat="1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171" fontId="22" fillId="0" borderId="0" xfId="0" applyNumberFormat="1" applyFont="1"/>
    <xf numFmtId="0" fontId="39" fillId="0" borderId="0" xfId="6" applyFont="1"/>
    <xf numFmtId="0" fontId="40" fillId="2" borderId="2" xfId="6" applyFont="1" applyFill="1" applyBorder="1" applyAlignment="1">
      <alignment horizontal="center"/>
    </xf>
    <xf numFmtId="0" fontId="14" fillId="0" borderId="14" xfId="6" applyFont="1" applyFill="1" applyBorder="1" applyAlignment="1">
      <alignment horizontal="center" vertical="center" wrapText="1"/>
    </xf>
    <xf numFmtId="0" fontId="3" fillId="0" borderId="0" xfId="6" applyFont="1" applyAlignment="1">
      <alignment horizontal="right"/>
    </xf>
    <xf numFmtId="0" fontId="17" fillId="0" borderId="0" xfId="0" applyFont="1"/>
    <xf numFmtId="9" fontId="38" fillId="0" borderId="0" xfId="5" applyFont="1"/>
    <xf numFmtId="0" fontId="22" fillId="0" borderId="0" xfId="6" applyFont="1" applyFill="1"/>
    <xf numFmtId="0" fontId="7" fillId="0" borderId="0" xfId="6" applyFont="1" applyFill="1"/>
    <xf numFmtId="0" fontId="41" fillId="8" borderId="0" xfId="0" applyFont="1" applyFill="1"/>
    <xf numFmtId="0" fontId="42" fillId="0" borderId="0" xfId="0" applyFont="1"/>
    <xf numFmtId="0" fontId="43" fillId="0" borderId="0" xfId="0" applyFont="1"/>
    <xf numFmtId="0" fontId="44" fillId="0" borderId="0" xfId="0" applyFont="1"/>
    <xf numFmtId="0" fontId="37" fillId="0" borderId="0" xfId="10" applyAlignment="1" applyProtection="1">
      <alignment horizontal="left" indent="4"/>
    </xf>
    <xf numFmtId="0" fontId="37" fillId="0" borderId="0" xfId="10" applyAlignment="1" applyProtection="1"/>
    <xf numFmtId="173" fontId="0" fillId="0" borderId="0" xfId="0" applyNumberFormat="1"/>
    <xf numFmtId="0" fontId="0" fillId="0" borderId="25" xfId="0" applyBorder="1"/>
    <xf numFmtId="0" fontId="0" fillId="0" borderId="41" xfId="0" applyBorder="1"/>
    <xf numFmtId="0" fontId="0" fillId="0" borderId="43" xfId="0" applyBorder="1"/>
    <xf numFmtId="0" fontId="0" fillId="0" borderId="44" xfId="0" applyBorder="1"/>
    <xf numFmtId="173" fontId="0" fillId="0" borderId="43" xfId="0" applyNumberFormat="1" applyBorder="1"/>
    <xf numFmtId="0" fontId="19" fillId="0" borderId="0" xfId="0" applyFont="1"/>
    <xf numFmtId="173" fontId="0" fillId="0" borderId="45" xfId="0" applyNumberFormat="1" applyBorder="1"/>
    <xf numFmtId="0" fontId="0" fillId="0" borderId="47" xfId="0" applyBorder="1"/>
    <xf numFmtId="0" fontId="0" fillId="0" borderId="32" xfId="0" applyBorder="1"/>
    <xf numFmtId="173" fontId="0" fillId="0" borderId="11" xfId="0" applyNumberFormat="1" applyBorder="1"/>
    <xf numFmtId="44" fontId="0" fillId="0" borderId="38" xfId="1" applyFont="1" applyBorder="1"/>
    <xf numFmtId="0" fontId="0" fillId="0" borderId="9" xfId="0" applyBorder="1"/>
    <xf numFmtId="44" fontId="0" fillId="0" borderId="0" xfId="0" applyNumberFormat="1" applyAlignment="1">
      <alignment horizontal="center"/>
    </xf>
    <xf numFmtId="44" fontId="0" fillId="0" borderId="0" xfId="1" applyFont="1" applyAlignment="1">
      <alignment horizontal="right"/>
    </xf>
    <xf numFmtId="44" fontId="0" fillId="0" borderId="0" xfId="0" applyNumberFormat="1" applyAlignment="1">
      <alignment horizontal="right"/>
    </xf>
    <xf numFmtId="44" fontId="0" fillId="0" borderId="0" xfId="1" applyFont="1"/>
    <xf numFmtId="0" fontId="0" fillId="0" borderId="11" xfId="0" applyBorder="1"/>
    <xf numFmtId="0" fontId="49" fillId="0" borderId="0" xfId="0" applyFont="1"/>
    <xf numFmtId="0" fontId="48" fillId="0" borderId="0" xfId="0" applyFont="1"/>
    <xf numFmtId="0" fontId="41" fillId="8" borderId="8" xfId="0" applyFont="1" applyFill="1" applyBorder="1"/>
    <xf numFmtId="0" fontId="41" fillId="8" borderId="9" xfId="0" applyFont="1" applyFill="1" applyBorder="1"/>
    <xf numFmtId="0" fontId="0" fillId="0" borderId="32" xfId="0" applyBorder="1" applyAlignment="1">
      <alignment horizontal="right"/>
    </xf>
    <xf numFmtId="0" fontId="0" fillId="0" borderId="9" xfId="0" applyBorder="1" applyAlignment="1">
      <alignment horizontal="right"/>
    </xf>
    <xf numFmtId="172" fontId="0" fillId="0" borderId="9" xfId="1" applyNumberFormat="1" applyFont="1" applyBorder="1"/>
    <xf numFmtId="0" fontId="0" fillId="0" borderId="0" xfId="0"/>
    <xf numFmtId="0" fontId="0" fillId="0" borderId="0" xfId="0" applyFill="1"/>
    <xf numFmtId="0" fontId="14" fillId="0" borderId="19" xfId="0" applyFont="1" applyFill="1" applyBorder="1"/>
    <xf numFmtId="0" fontId="14" fillId="0" borderId="1" xfId="0" applyFont="1" applyFill="1" applyBorder="1" applyAlignment="1">
      <alignment horizontal="centerContinuous"/>
    </xf>
    <xf numFmtId="0" fontId="14" fillId="0" borderId="1" xfId="0" applyFont="1" applyFill="1" applyBorder="1" applyAlignment="1">
      <alignment wrapText="1"/>
    </xf>
    <xf numFmtId="0" fontId="22" fillId="0" borderId="0" xfId="0" applyFont="1" applyFill="1" applyAlignment="1">
      <alignment horizontal="center"/>
    </xf>
    <xf numFmtId="0" fontId="13" fillId="0" borderId="19" xfId="0" applyFont="1" applyFill="1" applyBorder="1" applyAlignment="1">
      <alignment horizontal="center"/>
    </xf>
    <xf numFmtId="3" fontId="22" fillId="0" borderId="0" xfId="6" applyNumberFormat="1" applyFont="1" applyFill="1" applyAlignment="1">
      <alignment horizontal="right"/>
    </xf>
    <xf numFmtId="0" fontId="22" fillId="0" borderId="0" xfId="6" applyFont="1" applyFill="1" applyAlignment="1">
      <alignment horizontal="left" vertical="center" wrapText="1"/>
    </xf>
    <xf numFmtId="170" fontId="22" fillId="0" borderId="4" xfId="0" applyNumberFormat="1" applyFont="1" applyBorder="1" applyAlignment="1">
      <alignment horizontal="center" vertical="center"/>
    </xf>
    <xf numFmtId="168" fontId="16" fillId="0" borderId="0" xfId="3" applyNumberFormat="1" applyFont="1" applyBorder="1" applyAlignment="1">
      <alignment horizontal="center" vertical="center"/>
    </xf>
    <xf numFmtId="168" fontId="16" fillId="0" borderId="19" xfId="3" applyNumberFormat="1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33" xfId="0" applyFont="1" applyFill="1" applyBorder="1" applyAlignment="1">
      <alignment horizontal="centerContinuous"/>
    </xf>
    <xf numFmtId="0" fontId="13" fillId="0" borderId="33" xfId="0" applyFont="1" applyFill="1" applyBorder="1" applyAlignment="1">
      <alignment horizontal="centerContinuous"/>
    </xf>
    <xf numFmtId="0" fontId="29" fillId="0" borderId="0" xfId="0" applyFont="1" applyFill="1" applyAlignment="1">
      <alignment wrapText="1"/>
    </xf>
    <xf numFmtId="0" fontId="14" fillId="0" borderId="48" xfId="0" applyFont="1" applyFill="1" applyBorder="1" applyAlignment="1">
      <alignment horizontal="center" wrapText="1"/>
    </xf>
    <xf numFmtId="9" fontId="13" fillId="0" borderId="0" xfId="5" applyFont="1" applyFill="1" applyAlignment="1">
      <alignment horizontal="center"/>
    </xf>
    <xf numFmtId="164" fontId="13" fillId="0" borderId="0" xfId="6" applyNumberFormat="1" applyFont="1" applyBorder="1" applyAlignment="1">
      <alignment horizontal="right"/>
    </xf>
    <xf numFmtId="9" fontId="19" fillId="0" borderId="0" xfId="5" applyFont="1" applyFill="1" applyAlignment="1">
      <alignment horizontal="center"/>
    </xf>
    <xf numFmtId="9" fontId="19" fillId="0" borderId="0" xfId="5" applyFont="1" applyFill="1" applyAlignment="1">
      <alignment horizontal="center" vertical="center"/>
    </xf>
    <xf numFmtId="9" fontId="16" fillId="0" borderId="0" xfId="5" applyFont="1" applyFill="1" applyAlignment="1">
      <alignment horizontal="center"/>
    </xf>
    <xf numFmtId="9" fontId="22" fillId="0" borderId="2" xfId="5" applyFont="1" applyBorder="1" applyAlignment="1">
      <alignment horizontal="center"/>
    </xf>
    <xf numFmtId="0" fontId="12" fillId="0" borderId="17" xfId="0" applyFont="1" applyBorder="1" applyAlignment="1">
      <alignment horizontal="center" wrapText="1"/>
    </xf>
    <xf numFmtId="0" fontId="12" fillId="0" borderId="14" xfId="0" applyFont="1" applyBorder="1" applyAlignment="1">
      <alignment horizontal="center" wrapText="1"/>
    </xf>
    <xf numFmtId="3" fontId="13" fillId="0" borderId="22" xfId="4" applyNumberFormat="1" applyFont="1" applyBorder="1"/>
    <xf numFmtId="3" fontId="13" fillId="0" borderId="4" xfId="4" applyNumberFormat="1" applyFont="1" applyBorder="1"/>
    <xf numFmtId="3" fontId="0" fillId="0" borderId="19" xfId="0" applyNumberFormat="1" applyBorder="1" applyAlignment="1">
      <alignment horizontal="center"/>
    </xf>
    <xf numFmtId="3" fontId="13" fillId="0" borderId="4" xfId="0" applyNumberFormat="1" applyFont="1" applyBorder="1"/>
    <xf numFmtId="3" fontId="12" fillId="2" borderId="0" xfId="0" applyNumberFormat="1" applyFont="1" applyFill="1"/>
    <xf numFmtId="3" fontId="12" fillId="2" borderId="19" xfId="0" applyNumberFormat="1" applyFont="1" applyFill="1" applyBorder="1"/>
    <xf numFmtId="4" fontId="13" fillId="0" borderId="0" xfId="4" applyNumberFormat="1" applyFont="1" applyBorder="1"/>
    <xf numFmtId="0" fontId="12" fillId="0" borderId="26" xfId="0" applyFont="1" applyBorder="1" applyAlignment="1">
      <alignment horizontal="center" wrapText="1"/>
    </xf>
    <xf numFmtId="171" fontId="13" fillId="0" borderId="4" xfId="4" applyNumberFormat="1" applyFont="1" applyBorder="1"/>
    <xf numFmtId="171" fontId="13" fillId="0" borderId="0" xfId="4" applyNumberFormat="1" applyFont="1" applyBorder="1"/>
    <xf numFmtId="2" fontId="12" fillId="2" borderId="4" xfId="0" applyNumberFormat="1" applyFont="1" applyFill="1" applyBorder="1"/>
    <xf numFmtId="2" fontId="12" fillId="2" borderId="19" xfId="0" applyNumberFormat="1" applyFont="1" applyFill="1" applyBorder="1"/>
    <xf numFmtId="3" fontId="13" fillId="0" borderId="0" xfId="4" applyNumberFormat="1" applyFont="1" applyBorder="1"/>
    <xf numFmtId="0" fontId="13" fillId="0" borderId="4" xfId="4" applyFont="1" applyBorder="1"/>
    <xf numFmtId="0" fontId="13" fillId="0" borderId="0" xfId="4" applyFont="1" applyBorder="1"/>
    <xf numFmtId="0" fontId="12" fillId="0" borderId="3" xfId="0" applyFont="1" applyBorder="1" applyAlignment="1">
      <alignment horizontal="centerContinuous"/>
    </xf>
    <xf numFmtId="2" fontId="12" fillId="2" borderId="2" xfId="0" applyNumberFormat="1" applyFont="1" applyFill="1" applyBorder="1"/>
    <xf numFmtId="1" fontId="17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/>
    </xf>
    <xf numFmtId="0" fontId="12" fillId="0" borderId="1" xfId="0" applyFont="1" applyFill="1" applyBorder="1" applyAlignment="1">
      <alignment horizontal="center" wrapText="1"/>
    </xf>
    <xf numFmtId="164" fontId="0" fillId="0" borderId="0" xfId="0" applyNumberFormat="1" applyFill="1"/>
    <xf numFmtId="0" fontId="13" fillId="0" borderId="3" xfId="4" applyFont="1" applyBorder="1"/>
    <xf numFmtId="9" fontId="50" fillId="0" borderId="27" xfId="5" applyFont="1" applyBorder="1" applyAlignment="1">
      <alignment horizontal="center"/>
    </xf>
    <xf numFmtId="3" fontId="13" fillId="0" borderId="0" xfId="6" applyNumberFormat="1" applyFont="1" applyFill="1" applyAlignment="1">
      <alignment horizontal="right" wrapText="1"/>
    </xf>
    <xf numFmtId="3" fontId="3" fillId="0" borderId="0" xfId="6" applyNumberFormat="1" applyFont="1" applyFill="1" applyAlignment="1">
      <alignment horizontal="right" wrapText="1"/>
    </xf>
    <xf numFmtId="164" fontId="3" fillId="0" borderId="0" xfId="6" applyNumberFormat="1" applyFont="1" applyFill="1" applyAlignment="1">
      <alignment horizontal="center"/>
    </xf>
    <xf numFmtId="164" fontId="7" fillId="0" borderId="0" xfId="6" applyNumberFormat="1" applyFont="1" applyFill="1" applyAlignment="1">
      <alignment horizontal="center"/>
    </xf>
    <xf numFmtId="164" fontId="7" fillId="0" borderId="19" xfId="6" applyNumberFormat="1" applyFont="1" applyFill="1" applyBorder="1" applyAlignment="1">
      <alignment horizontal="center"/>
    </xf>
    <xf numFmtId="164" fontId="7" fillId="0" borderId="2" xfId="6" applyNumberFormat="1" applyFont="1" applyFill="1" applyBorder="1" applyAlignment="1">
      <alignment horizontal="center"/>
    </xf>
    <xf numFmtId="164" fontId="13" fillId="0" borderId="19" xfId="0" applyNumberFormat="1" applyFont="1" applyFill="1" applyBorder="1"/>
    <xf numFmtId="3" fontId="3" fillId="0" borderId="0" xfId="6" applyNumberFormat="1" applyFont="1" applyFill="1" applyAlignment="1">
      <alignment horizontal="right"/>
    </xf>
    <xf numFmtId="3" fontId="3" fillId="0" borderId="19" xfId="6" applyNumberFormat="1" applyFont="1" applyFill="1" applyBorder="1" applyAlignment="1">
      <alignment horizontal="right"/>
    </xf>
    <xf numFmtId="3" fontId="13" fillId="0" borderId="0" xfId="6" applyNumberFormat="1" applyFont="1" applyFill="1" applyAlignment="1">
      <alignment horizontal="right"/>
    </xf>
    <xf numFmtId="3" fontId="13" fillId="0" borderId="19" xfId="6" applyNumberFormat="1" applyFont="1" applyFill="1" applyBorder="1" applyAlignment="1">
      <alignment horizontal="right"/>
    </xf>
    <xf numFmtId="164" fontId="14" fillId="2" borderId="0" xfId="0" applyNumberFormat="1" applyFont="1" applyFill="1" applyBorder="1"/>
    <xf numFmtId="164" fontId="19" fillId="0" borderId="0" xfId="0" applyNumberFormat="1" applyFont="1"/>
    <xf numFmtId="0" fontId="14" fillId="0" borderId="20" xfId="0" applyFont="1" applyFill="1" applyBorder="1" applyAlignment="1">
      <alignment horizontal="centerContinuous"/>
    </xf>
    <xf numFmtId="164" fontId="22" fillId="0" borderId="19" xfId="0" applyNumberFormat="1" applyFont="1" applyFill="1" applyBorder="1"/>
    <xf numFmtId="4" fontId="13" fillId="0" borderId="4" xfId="6" applyNumberFormat="1" applyFont="1" applyFill="1" applyBorder="1" applyAlignment="1">
      <alignment horizontal="right" wrapText="1"/>
    </xf>
    <xf numFmtId="4" fontId="13" fillId="0" borderId="0" xfId="6" applyNumberFormat="1" applyFont="1" applyFill="1" applyBorder="1" applyAlignment="1">
      <alignment horizontal="right" wrapText="1"/>
    </xf>
    <xf numFmtId="4" fontId="13" fillId="0" borderId="19" xfId="6" applyNumberFormat="1" applyFont="1" applyFill="1" applyBorder="1" applyAlignment="1">
      <alignment horizontal="right" wrapText="1"/>
    </xf>
    <xf numFmtId="164" fontId="4" fillId="0" borderId="0" xfId="6" applyNumberFormat="1" applyFont="1" applyFill="1" applyAlignment="1">
      <alignment horizontal="center"/>
    </xf>
    <xf numFmtId="164" fontId="4" fillId="0" borderId="19" xfId="6" applyNumberFormat="1" applyFont="1" applyFill="1" applyBorder="1" applyAlignment="1">
      <alignment horizontal="center"/>
    </xf>
    <xf numFmtId="164" fontId="4" fillId="0" borderId="2" xfId="6" applyNumberFormat="1" applyFont="1" applyFill="1" applyBorder="1" applyAlignment="1">
      <alignment horizontal="center"/>
    </xf>
    <xf numFmtId="0" fontId="13" fillId="0" borderId="4" xfId="0" applyFont="1" applyBorder="1" applyAlignment="1">
      <alignment horizontal="center" vertical="center" wrapText="1"/>
    </xf>
    <xf numFmtId="3" fontId="38" fillId="0" borderId="0" xfId="0" applyNumberFormat="1" applyFont="1"/>
    <xf numFmtId="3" fontId="11" fillId="0" borderId="0" xfId="0" applyNumberFormat="1" applyFont="1"/>
    <xf numFmtId="3" fontId="0" fillId="0" borderId="0" xfId="0" applyNumberFormat="1"/>
    <xf numFmtId="0" fontId="0" fillId="0" borderId="0" xfId="0"/>
    <xf numFmtId="0" fontId="14" fillId="0" borderId="0" xfId="0" applyFont="1" applyBorder="1"/>
    <xf numFmtId="0" fontId="14" fillId="2" borderId="0" xfId="0" applyFont="1" applyFill="1" applyBorder="1" applyAlignment="1">
      <alignment horizontal="center"/>
    </xf>
    <xf numFmtId="164" fontId="13" fillId="0" borderId="0" xfId="4" applyNumberFormat="1" applyFont="1" applyBorder="1"/>
    <xf numFmtId="164" fontId="13" fillId="0" borderId="19" xfId="4" applyNumberFormat="1" applyFont="1" applyBorder="1"/>
    <xf numFmtId="0" fontId="52" fillId="0" borderId="0" xfId="0" applyFont="1"/>
    <xf numFmtId="0" fontId="21" fillId="0" borderId="0" xfId="6" applyFont="1" applyFill="1" applyBorder="1" applyAlignment="1">
      <alignment horizontal="right"/>
    </xf>
    <xf numFmtId="4" fontId="22" fillId="0" borderId="0" xfId="6" applyNumberFormat="1" applyFont="1" applyFill="1" applyAlignment="1">
      <alignment horizontal="right" wrapText="1"/>
    </xf>
    <xf numFmtId="0" fontId="16" fillId="0" borderId="19" xfId="6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0" xfId="0" applyFont="1" applyFill="1" applyAlignment="1">
      <alignment horizontal="center" vertical="center"/>
    </xf>
    <xf numFmtId="3" fontId="38" fillId="0" borderId="19" xfId="0" applyNumberFormat="1" applyFont="1" applyBorder="1" applyAlignment="1">
      <alignment horizontal="center"/>
    </xf>
    <xf numFmtId="0" fontId="16" fillId="0" borderId="0" xfId="0" applyFont="1" applyFill="1" applyAlignment="1">
      <alignment horizontal="center"/>
    </xf>
    <xf numFmtId="0" fontId="7" fillId="0" borderId="14" xfId="6" applyFont="1" applyBorder="1" applyAlignment="1"/>
    <xf numFmtId="0" fontId="21" fillId="0" borderId="18" xfId="6" applyFont="1" applyBorder="1" applyAlignment="1">
      <alignment horizontal="centerContinuous"/>
    </xf>
    <xf numFmtId="170" fontId="16" fillId="0" borderId="19" xfId="0" applyNumberFormat="1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4" fillId="0" borderId="22" xfId="0" applyFont="1" applyBorder="1" applyAlignment="1">
      <alignment wrapText="1"/>
    </xf>
    <xf numFmtId="0" fontId="14" fillId="0" borderId="5" xfId="0" applyFont="1" applyBorder="1" applyAlignment="1">
      <alignment wrapText="1"/>
    </xf>
    <xf numFmtId="0" fontId="14" fillId="0" borderId="21" xfId="0" applyFont="1" applyBorder="1" applyAlignment="1">
      <alignment horizontal="center" wrapText="1"/>
    </xf>
    <xf numFmtId="0" fontId="13" fillId="0" borderId="4" xfId="0" applyFont="1" applyBorder="1"/>
    <xf numFmtId="0" fontId="13" fillId="0" borderId="0" xfId="0" applyFont="1" applyBorder="1"/>
    <xf numFmtId="164" fontId="16" fillId="0" borderId="19" xfId="0" applyNumberFormat="1" applyFont="1" applyBorder="1"/>
    <xf numFmtId="2" fontId="13" fillId="0" borderId="0" xfId="4" applyNumberFormat="1" applyFont="1" applyBorder="1"/>
    <xf numFmtId="171" fontId="13" fillId="0" borderId="19" xfId="4" applyNumberFormat="1" applyFont="1" applyBorder="1"/>
    <xf numFmtId="4" fontId="13" fillId="0" borderId="4" xfId="4" applyNumberFormat="1" applyFont="1" applyBorder="1"/>
    <xf numFmtId="173" fontId="13" fillId="0" borderId="0" xfId="4" applyNumberFormat="1" applyFont="1" applyBorder="1"/>
    <xf numFmtId="0" fontId="0" fillId="0" borderId="0" xfId="0"/>
    <xf numFmtId="44" fontId="0" fillId="0" borderId="0" xfId="0" applyNumberFormat="1"/>
    <xf numFmtId="0" fontId="13" fillId="0" borderId="0" xfId="0" applyFont="1" applyAlignment="1">
      <alignment horizontal="right"/>
    </xf>
    <xf numFmtId="167" fontId="15" fillId="0" borderId="0" xfId="0" applyNumberFormat="1" applyFont="1"/>
    <xf numFmtId="0" fontId="33" fillId="0" borderId="27" xfId="0" applyFont="1" applyBorder="1" applyAlignment="1">
      <alignment horizontal="center" vertical="center"/>
    </xf>
    <xf numFmtId="0" fontId="33" fillId="0" borderId="27" xfId="0" applyFont="1" applyBorder="1" applyAlignment="1">
      <alignment horizontal="center" vertical="center" wrapText="1"/>
    </xf>
    <xf numFmtId="0" fontId="33" fillId="0" borderId="0" xfId="0" applyFont="1" applyAlignment="1">
      <alignment vertical="top" wrapText="1"/>
    </xf>
    <xf numFmtId="167" fontId="11" fillId="0" borderId="0" xfId="0" applyNumberFormat="1" applyFont="1" applyAlignment="1">
      <alignment horizontal="right" vertical="top" wrapText="1"/>
    </xf>
    <xf numFmtId="0" fontId="15" fillId="0" borderId="1" xfId="0" applyFont="1" applyBorder="1" applyAlignment="1">
      <alignment vertical="top"/>
    </xf>
    <xf numFmtId="167" fontId="11" fillId="0" borderId="1" xfId="0" applyNumberFormat="1" applyFont="1" applyBorder="1" applyAlignment="1">
      <alignment horizontal="right" vertical="top" wrapText="1"/>
    </xf>
    <xf numFmtId="0" fontId="13" fillId="0" borderId="1" xfId="0" applyFont="1" applyBorder="1" applyAlignment="1">
      <alignment horizontal="center"/>
    </xf>
    <xf numFmtId="167" fontId="0" fillId="0" borderId="1" xfId="0" applyNumberFormat="1" applyBorder="1" applyAlignment="1">
      <alignment horizontal="right" vertical="top" wrapText="1"/>
    </xf>
    <xf numFmtId="0" fontId="52" fillId="0" borderId="49" xfId="0" applyFont="1" applyBorder="1" applyAlignment="1">
      <alignment vertical="top"/>
    </xf>
    <xf numFmtId="167" fontId="12" fillId="0" borderId="49" xfId="0" applyNumberFormat="1" applyFont="1" applyBorder="1" applyAlignment="1">
      <alignment horizontal="right" vertical="top" wrapText="1"/>
    </xf>
    <xf numFmtId="0" fontId="52" fillId="0" borderId="49" xfId="0" applyFont="1" applyBorder="1"/>
    <xf numFmtId="0" fontId="14" fillId="0" borderId="49" xfId="0" applyFont="1" applyBorder="1" applyAlignment="1">
      <alignment horizontal="center"/>
    </xf>
    <xf numFmtId="0" fontId="13" fillId="0" borderId="49" xfId="0" applyFont="1" applyBorder="1" applyAlignment="1">
      <alignment horizontal="center"/>
    </xf>
    <xf numFmtId="167" fontId="52" fillId="0" borderId="49" xfId="0" applyNumberFormat="1" applyFont="1" applyBorder="1"/>
    <xf numFmtId="0" fontId="27" fillId="0" borderId="0" xfId="0" applyFont="1"/>
    <xf numFmtId="164" fontId="13" fillId="0" borderId="21" xfId="0" applyNumberFormat="1" applyFont="1" applyBorder="1"/>
    <xf numFmtId="9" fontId="22" fillId="0" borderId="0" xfId="5" applyFont="1"/>
    <xf numFmtId="0" fontId="0" fillId="0" borderId="0" xfId="0" applyAlignment="1">
      <alignment horizontal="right"/>
    </xf>
    <xf numFmtId="0" fontId="0" fillId="0" borderId="8" xfId="0" applyBorder="1" applyAlignment="1">
      <alignment horizontal="right"/>
    </xf>
    <xf numFmtId="0" fontId="0" fillId="0" borderId="27" xfId="0" applyBorder="1" applyAlignment="1">
      <alignment horizontal="center"/>
    </xf>
    <xf numFmtId="0" fontId="0" fillId="10" borderId="0" xfId="0" applyFill="1"/>
    <xf numFmtId="0" fontId="0" fillId="0" borderId="0" xfId="0"/>
    <xf numFmtId="0" fontId="0" fillId="0" borderId="7" xfId="0" applyBorder="1"/>
    <xf numFmtId="0" fontId="0" fillId="0" borderId="38" xfId="0" applyBorder="1"/>
    <xf numFmtId="0" fontId="0" fillId="0" borderId="8" xfId="0" applyBorder="1"/>
    <xf numFmtId="0" fontId="0" fillId="13" borderId="0" xfId="0" applyFill="1"/>
    <xf numFmtId="0" fontId="0" fillId="0" borderId="7" xfId="0" applyBorder="1" applyAlignment="1">
      <alignment horizontal="right"/>
    </xf>
    <xf numFmtId="0" fontId="0" fillId="0" borderId="38" xfId="0" applyBorder="1" applyAlignment="1">
      <alignment horizontal="right"/>
    </xf>
    <xf numFmtId="174" fontId="0" fillId="0" borderId="0" xfId="0" applyNumberFormat="1"/>
    <xf numFmtId="172" fontId="0" fillId="0" borderId="0" xfId="1" applyNumberFormat="1" applyFont="1"/>
    <xf numFmtId="0" fontId="0" fillId="0" borderId="10" xfId="0" applyBorder="1"/>
    <xf numFmtId="0" fontId="0" fillId="0" borderId="6" xfId="0" applyBorder="1"/>
    <xf numFmtId="0" fontId="52" fillId="0" borderId="18" xfId="0" applyFont="1" applyBorder="1" applyAlignment="1">
      <alignment wrapText="1"/>
    </xf>
    <xf numFmtId="0" fontId="14" fillId="0" borderId="26" xfId="0" applyFont="1" applyFill="1" applyBorder="1" applyAlignment="1">
      <alignment horizontal="center" vertical="center" wrapText="1"/>
    </xf>
    <xf numFmtId="172" fontId="54" fillId="0" borderId="27" xfId="1" applyNumberFormat="1" applyFont="1" applyFill="1" applyBorder="1" applyAlignment="1">
      <alignment horizontal="center" vertical="center"/>
    </xf>
    <xf numFmtId="172" fontId="15" fillId="0" borderId="27" xfId="1" applyNumberFormat="1" applyFont="1" applyFill="1" applyBorder="1" applyAlignment="1">
      <alignment horizontal="center" vertical="center"/>
    </xf>
    <xf numFmtId="172" fontId="33" fillId="0" borderId="27" xfId="1" applyNumberFormat="1" applyFont="1" applyFill="1" applyBorder="1" applyAlignment="1">
      <alignment horizontal="center" vertical="center"/>
    </xf>
    <xf numFmtId="0" fontId="54" fillId="0" borderId="27" xfId="0" applyFont="1" applyFill="1" applyBorder="1" applyAlignment="1">
      <alignment horizontal="center" vertical="center"/>
    </xf>
    <xf numFmtId="1" fontId="33" fillId="0" borderId="27" xfId="0" applyNumberFormat="1" applyFont="1" applyFill="1" applyBorder="1" applyAlignment="1">
      <alignment horizontal="center" vertical="center"/>
    </xf>
    <xf numFmtId="164" fontId="29" fillId="0" borderId="0" xfId="0" applyNumberFormat="1" applyFont="1" applyBorder="1"/>
    <xf numFmtId="164" fontId="29" fillId="0" borderId="0" xfId="0" applyNumberFormat="1" applyFont="1"/>
    <xf numFmtId="0" fontId="55" fillId="0" borderId="1" xfId="0" applyFont="1" applyFill="1" applyBorder="1" applyAlignment="1">
      <alignment horizontal="center" wrapText="1"/>
    </xf>
    <xf numFmtId="172" fontId="14" fillId="2" borderId="4" xfId="1" applyNumberFormat="1" applyFont="1" applyFill="1" applyBorder="1" applyAlignment="1">
      <alignment horizontal="right"/>
    </xf>
    <xf numFmtId="172" fontId="14" fillId="2" borderId="19" xfId="1" applyNumberFormat="1" applyFont="1" applyFill="1" applyBorder="1" applyAlignment="1">
      <alignment horizontal="right"/>
    </xf>
    <xf numFmtId="44" fontId="13" fillId="0" borderId="0" xfId="0" applyNumberFormat="1" applyFont="1"/>
    <xf numFmtId="0" fontId="0" fillId="0" borderId="0" xfId="0"/>
    <xf numFmtId="0" fontId="14" fillId="0" borderId="33" xfId="0" applyFont="1" applyBorder="1" applyAlignment="1">
      <alignment horizontal="centerContinuous"/>
    </xf>
    <xf numFmtId="0" fontId="16" fillId="0" borderId="5" xfId="6" applyFont="1" applyBorder="1" applyAlignment="1">
      <alignment horizontal="center"/>
    </xf>
    <xf numFmtId="0" fontId="7" fillId="0" borderId="0" xfId="6" applyFont="1" applyBorder="1" applyAlignment="1">
      <alignment horizontal="center"/>
    </xf>
    <xf numFmtId="0" fontId="11" fillId="0" borderId="0" xfId="0" applyFont="1" applyAlignment="1">
      <alignment horizontal="left" wrapText="1"/>
    </xf>
    <xf numFmtId="0" fontId="0" fillId="0" borderId="0" xfId="0"/>
    <xf numFmtId="0" fontId="24" fillId="0" borderId="6" xfId="0" applyFont="1" applyBorder="1" applyAlignment="1">
      <alignment horizontal="center" vertical="center"/>
    </xf>
    <xf numFmtId="9" fontId="54" fillId="0" borderId="0" xfId="0" applyNumberFormat="1" applyFont="1"/>
    <xf numFmtId="1" fontId="0" fillId="0" borderId="0" xfId="0" applyNumberFormat="1" applyAlignment="1">
      <alignment horizontal="center" vertical="top" wrapText="1"/>
    </xf>
    <xf numFmtId="1" fontId="11" fillId="0" borderId="0" xfId="0" applyNumberFormat="1" applyFont="1" applyAlignment="1">
      <alignment horizontal="center" vertical="top" wrapText="1"/>
    </xf>
    <xf numFmtId="1" fontId="11" fillId="0" borderId="1" xfId="0" applyNumberFormat="1" applyFont="1" applyBorder="1" applyAlignment="1">
      <alignment horizontal="center" vertical="top" wrapText="1"/>
    </xf>
    <xf numFmtId="1" fontId="12" fillId="0" borderId="49" xfId="0" applyNumberFormat="1" applyFont="1" applyBorder="1" applyAlignment="1">
      <alignment horizontal="center" vertical="top" wrapText="1"/>
    </xf>
    <xf numFmtId="1" fontId="0" fillId="0" borderId="1" xfId="0" applyNumberFormat="1" applyBorder="1" applyAlignment="1">
      <alignment horizontal="center" vertical="top" wrapText="1"/>
    </xf>
    <xf numFmtId="1" fontId="52" fillId="0" borderId="49" xfId="0" applyNumberFormat="1" applyFont="1" applyBorder="1" applyAlignment="1">
      <alignment horizontal="center"/>
    </xf>
    <xf numFmtId="1" fontId="15" fillId="0" borderId="0" xfId="0" applyNumberFormat="1" applyFont="1" applyAlignment="1">
      <alignment horizontal="center"/>
    </xf>
    <xf numFmtId="0" fontId="33" fillId="0" borderId="27" xfId="0" applyFont="1" applyBorder="1" applyAlignment="1">
      <alignment horizontal="centerContinuous" vertical="center" wrapText="1"/>
    </xf>
    <xf numFmtId="0" fontId="33" fillId="0" borderId="27" xfId="0" applyFont="1" applyBorder="1" applyAlignment="1">
      <alignment horizontal="centerContinuous" vertical="center"/>
    </xf>
    <xf numFmtId="0" fontId="33" fillId="0" borderId="27" xfId="0" applyFont="1" applyBorder="1" applyAlignment="1">
      <alignment horizontal="centerContinuous" wrapText="1"/>
    </xf>
    <xf numFmtId="0" fontId="33" fillId="0" borderId="17" xfId="0" applyFont="1" applyBorder="1" applyAlignment="1">
      <alignment horizontal="centerContinuous" vertical="center"/>
    </xf>
    <xf numFmtId="0" fontId="33" fillId="0" borderId="14" xfId="0" applyFont="1" applyBorder="1" applyAlignment="1">
      <alignment horizontal="centerContinuous" vertical="center"/>
    </xf>
    <xf numFmtId="0" fontId="33" fillId="0" borderId="18" xfId="0" applyFont="1" applyBorder="1" applyAlignment="1">
      <alignment horizontal="centerContinuous" vertical="center"/>
    </xf>
    <xf numFmtId="0" fontId="14" fillId="2" borderId="0" xfId="6" applyFont="1" applyFill="1" applyBorder="1" applyAlignment="1">
      <alignment horizontal="center"/>
    </xf>
    <xf numFmtId="9" fontId="13" fillId="0" borderId="0" xfId="5" applyFont="1" applyBorder="1" applyAlignment="1">
      <alignment horizontal="center"/>
    </xf>
    <xf numFmtId="0" fontId="13" fillId="0" borderId="19" xfId="0" applyFont="1" applyBorder="1"/>
    <xf numFmtId="0" fontId="14" fillId="0" borderId="20" xfId="0" applyFont="1" applyFill="1" applyBorder="1" applyAlignment="1">
      <alignment horizontal="center" vertical="center" wrapText="1"/>
    </xf>
    <xf numFmtId="3" fontId="13" fillId="0" borderId="19" xfId="6" applyNumberFormat="1" applyFont="1" applyFill="1" applyBorder="1" applyAlignment="1">
      <alignment horizontal="right" wrapText="1"/>
    </xf>
    <xf numFmtId="9" fontId="53" fillId="0" borderId="27" xfId="0" applyNumberFormat="1" applyFont="1" applyBorder="1" applyAlignment="1">
      <alignment horizontal="center" vertical="center"/>
    </xf>
    <xf numFmtId="0" fontId="2" fillId="0" borderId="0" xfId="0" applyFont="1" applyFill="1"/>
    <xf numFmtId="0" fontId="24" fillId="0" borderId="8" xfId="0" applyFont="1" applyFill="1" applyBorder="1" applyAlignment="1">
      <alignment horizontal="centerContinuous" vertical="center" wrapText="1"/>
    </xf>
    <xf numFmtId="0" fontId="24" fillId="0" borderId="0" xfId="0" applyFont="1" applyFill="1" applyBorder="1" applyAlignment="1">
      <alignment horizontal="centerContinuous" vertical="center"/>
    </xf>
    <xf numFmtId="0" fontId="24" fillId="0" borderId="9" xfId="0" applyFont="1" applyFill="1" applyBorder="1" applyAlignment="1">
      <alignment horizontal="centerContinuous" vertical="center"/>
    </xf>
    <xf numFmtId="1" fontId="24" fillId="0" borderId="6" xfId="0" applyNumberFormat="1" applyFont="1" applyBorder="1" applyAlignment="1">
      <alignment horizontal="center" vertical="center"/>
    </xf>
    <xf numFmtId="1" fontId="24" fillId="5" borderId="12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15" fillId="0" borderId="1" xfId="0" applyFont="1" applyBorder="1" applyAlignment="1">
      <alignment horizontal="center"/>
    </xf>
    <xf numFmtId="0" fontId="52" fillId="0" borderId="49" xfId="0" applyFont="1" applyBorder="1" applyAlignment="1">
      <alignment horizontal="center"/>
    </xf>
    <xf numFmtId="0" fontId="15" fillId="0" borderId="49" xfId="0" applyFont="1" applyBorder="1" applyAlignment="1">
      <alignment horizontal="center"/>
    </xf>
    <xf numFmtId="0" fontId="16" fillId="0" borderId="0" xfId="6" applyFont="1" applyFill="1" applyAlignment="1">
      <alignment horizontal="center" vertical="center" wrapText="1"/>
    </xf>
    <xf numFmtId="165" fontId="16" fillId="0" borderId="0" xfId="6" applyNumberFormat="1" applyFont="1" applyFill="1" applyAlignment="1">
      <alignment horizontal="center" vertical="center" wrapText="1"/>
    </xf>
    <xf numFmtId="0" fontId="7" fillId="0" borderId="0" xfId="6" applyFont="1" applyAlignment="1">
      <alignment horizontal="right" vertical="top"/>
    </xf>
    <xf numFmtId="0" fontId="21" fillId="0" borderId="0" xfId="6" applyFont="1" applyAlignment="1">
      <alignment horizontal="right" vertical="top"/>
    </xf>
    <xf numFmtId="0" fontId="21" fillId="0" borderId="0" xfId="6" applyFont="1" applyAlignment="1">
      <alignment horizontal="right"/>
    </xf>
    <xf numFmtId="164" fontId="14" fillId="2" borderId="4" xfId="6" applyNumberFormat="1" applyFont="1" applyFill="1" applyBorder="1" applyAlignment="1">
      <alignment horizontal="center"/>
    </xf>
    <xf numFmtId="164" fontId="14" fillId="2" borderId="0" xfId="6" applyNumberFormat="1" applyFont="1" applyFill="1" applyBorder="1" applyAlignment="1">
      <alignment horizontal="center"/>
    </xf>
    <xf numFmtId="164" fontId="14" fillId="0" borderId="0" xfId="6" applyNumberFormat="1" applyFont="1" applyAlignment="1">
      <alignment horizontal="center" vertical="center"/>
    </xf>
    <xf numFmtId="164" fontId="14" fillId="0" borderId="19" xfId="6" applyNumberFormat="1" applyFont="1" applyBorder="1" applyAlignment="1">
      <alignment horizontal="center" vertical="center"/>
    </xf>
    <xf numFmtId="0" fontId="21" fillId="0" borderId="20" xfId="6" applyFont="1" applyBorder="1" applyAlignment="1">
      <alignment horizontal="center"/>
    </xf>
    <xf numFmtId="0" fontId="21" fillId="0" borderId="3" xfId="6" applyFont="1" applyBorder="1" applyAlignment="1">
      <alignment horizontal="center"/>
    </xf>
    <xf numFmtId="0" fontId="1" fillId="0" borderId="0" xfId="6" applyFont="1" applyAlignment="1">
      <alignment vertical="top"/>
    </xf>
    <xf numFmtId="164" fontId="6" fillId="0" borderId="0" xfId="6" applyNumberFormat="1" applyFont="1"/>
    <xf numFmtId="3" fontId="7" fillId="0" borderId="0" xfId="6" applyNumberFormat="1" applyFont="1"/>
    <xf numFmtId="0" fontId="15" fillId="0" borderId="0" xfId="0" applyFont="1" applyAlignment="1">
      <alignment horizontal="left" wrapText="1"/>
    </xf>
    <xf numFmtId="0" fontId="12" fillId="0" borderId="0" xfId="0" applyFont="1" applyBorder="1" applyAlignment="1">
      <alignment horizontal="center" wrapText="1"/>
    </xf>
    <xf numFmtId="0" fontId="12" fillId="0" borderId="1" xfId="0" applyFont="1" applyBorder="1" applyAlignment="1">
      <alignment horizontal="center" wrapText="1"/>
    </xf>
    <xf numFmtId="0" fontId="12" fillId="0" borderId="19" xfId="0" applyFont="1" applyBorder="1" applyAlignment="1">
      <alignment horizontal="center" wrapText="1"/>
    </xf>
    <xf numFmtId="0" fontId="12" fillId="0" borderId="20" xfId="0" applyFont="1" applyBorder="1" applyAlignment="1">
      <alignment horizontal="center" wrapText="1"/>
    </xf>
    <xf numFmtId="0" fontId="33" fillId="0" borderId="0" xfId="0" applyFont="1" applyAlignment="1">
      <alignment horizontal="left" vertical="top" wrapText="1"/>
    </xf>
    <xf numFmtId="0" fontId="0" fillId="10" borderId="0" xfId="0" applyFill="1" applyAlignment="1">
      <alignment horizontal="right"/>
    </xf>
    <xf numFmtId="0" fontId="0" fillId="7" borderId="0" xfId="0" applyFill="1" applyAlignment="1">
      <alignment horizontal="right"/>
    </xf>
    <xf numFmtId="44" fontId="0" fillId="12" borderId="0" xfId="0" applyNumberFormat="1" applyFill="1" applyAlignment="1">
      <alignment horizontal="right"/>
    </xf>
    <xf numFmtId="44" fontId="0" fillId="13" borderId="0" xfId="1" applyFont="1" applyFill="1" applyAlignment="1">
      <alignment horizontal="right"/>
    </xf>
    <xf numFmtId="44" fontId="0" fillId="9" borderId="0" xfId="1" applyFont="1" applyFill="1" applyAlignment="1">
      <alignment horizontal="right"/>
    </xf>
    <xf numFmtId="0" fontId="46" fillId="0" borderId="37" xfId="0" applyFont="1" applyBorder="1" applyAlignment="1">
      <alignment horizontal="center" vertical="center" textRotation="90" wrapText="1"/>
    </xf>
    <xf numFmtId="0" fontId="46" fillId="0" borderId="39" xfId="0" applyFont="1" applyBorder="1" applyAlignment="1">
      <alignment horizontal="center" vertical="center" textRotation="90" wrapText="1"/>
    </xf>
    <xf numFmtId="0" fontId="46" fillId="0" borderId="42" xfId="0" applyFont="1" applyBorder="1" applyAlignment="1">
      <alignment horizontal="center" vertical="center" textRotation="90" wrapText="1"/>
    </xf>
    <xf numFmtId="2" fontId="0" fillId="12" borderId="0" xfId="0" applyNumberFormat="1" applyFill="1" applyAlignment="1">
      <alignment horizontal="right"/>
    </xf>
    <xf numFmtId="2" fontId="0" fillId="0" borderId="0" xfId="0" applyNumberFormat="1" applyAlignment="1">
      <alignment horizontal="right"/>
    </xf>
    <xf numFmtId="2" fontId="0" fillId="13" borderId="0" xfId="1" applyNumberFormat="1" applyFont="1" applyFill="1" applyAlignment="1">
      <alignment horizontal="right"/>
    </xf>
    <xf numFmtId="0" fontId="0" fillId="0" borderId="0" xfId="0" applyAlignment="1">
      <alignment horizontal="right"/>
    </xf>
    <xf numFmtId="1" fontId="0" fillId="7" borderId="0" xfId="5" applyNumberFormat="1" applyFont="1" applyFill="1" applyAlignment="1">
      <alignment horizontal="right"/>
    </xf>
    <xf numFmtId="1" fontId="0" fillId="0" borderId="0" xfId="5" applyNumberFormat="1" applyFont="1" applyAlignment="1">
      <alignment horizontal="right"/>
    </xf>
    <xf numFmtId="0" fontId="0" fillId="0" borderId="8" xfId="0" applyBorder="1" applyAlignment="1">
      <alignment horizontal="right"/>
    </xf>
    <xf numFmtId="0" fontId="0" fillId="10" borderId="0" xfId="5" applyNumberFormat="1" applyFont="1" applyFill="1" applyAlignment="1">
      <alignment horizontal="right"/>
    </xf>
    <xf numFmtId="9" fontId="0" fillId="10" borderId="0" xfId="5" applyFont="1" applyFill="1"/>
    <xf numFmtId="9" fontId="0" fillId="7" borderId="0" xfId="5" applyFont="1" applyFill="1" applyAlignment="1">
      <alignment horizontal="right"/>
    </xf>
    <xf numFmtId="9" fontId="0" fillId="0" borderId="0" xfId="5" applyFont="1" applyAlignment="1">
      <alignment horizontal="right"/>
    </xf>
    <xf numFmtId="0" fontId="0" fillId="10" borderId="0" xfId="5" applyNumberFormat="1" applyFont="1" applyFill="1"/>
    <xf numFmtId="0" fontId="0" fillId="10" borderId="0" xfId="0" applyFill="1"/>
    <xf numFmtId="0" fontId="0" fillId="0" borderId="0" xfId="0"/>
    <xf numFmtId="0" fontId="47" fillId="10" borderId="0" xfId="0" applyFont="1" applyFill="1"/>
    <xf numFmtId="0" fontId="47" fillId="0" borderId="0" xfId="0" applyFont="1"/>
    <xf numFmtId="0" fontId="0" fillId="11" borderId="0" xfId="0" applyFill="1" applyAlignment="1">
      <alignment horizontal="right"/>
    </xf>
    <xf numFmtId="0" fontId="0" fillId="7" borderId="0" xfId="0" applyFill="1"/>
    <xf numFmtId="0" fontId="0" fillId="12" borderId="0" xfId="0" applyFill="1"/>
    <xf numFmtId="44" fontId="0" fillId="13" borderId="0" xfId="1" applyFont="1" applyFill="1"/>
    <xf numFmtId="0" fontId="0" fillId="0" borderId="8" xfId="0" applyBorder="1"/>
    <xf numFmtId="0" fontId="0" fillId="0" borderId="10" xfId="0" applyBorder="1" applyAlignment="1">
      <alignment horizontal="right"/>
    </xf>
    <xf numFmtId="0" fontId="0" fillId="0" borderId="6" xfId="0" applyBorder="1" applyAlignment="1">
      <alignment horizontal="right"/>
    </xf>
    <xf numFmtId="44" fontId="0" fillId="12" borderId="6" xfId="0" applyNumberFormat="1" applyFill="1" applyBorder="1" applyAlignment="1">
      <alignment horizontal="right"/>
    </xf>
    <xf numFmtId="44" fontId="0" fillId="0" borderId="6" xfId="0" applyNumberFormat="1" applyBorder="1" applyAlignment="1">
      <alignment horizontal="right"/>
    </xf>
    <xf numFmtId="44" fontId="0" fillId="13" borderId="6" xfId="1" applyFont="1" applyFill="1" applyBorder="1"/>
    <xf numFmtId="44" fontId="0" fillId="0" borderId="6" xfId="1" applyFont="1" applyBorder="1"/>
    <xf numFmtId="0" fontId="48" fillId="0" borderId="37" xfId="0" applyFont="1" applyBorder="1" applyAlignment="1">
      <alignment horizontal="center" vertical="center" textRotation="90"/>
    </xf>
    <xf numFmtId="0" fontId="48" fillId="0" borderId="39" xfId="0" applyFont="1" applyBorder="1" applyAlignment="1">
      <alignment horizontal="center" vertical="center" textRotation="90"/>
    </xf>
    <xf numFmtId="0" fontId="48" fillId="0" borderId="42" xfId="0" applyFont="1" applyBorder="1" applyAlignment="1">
      <alignment horizontal="center" vertical="center" textRotation="90"/>
    </xf>
    <xf numFmtId="0" fontId="0" fillId="0" borderId="7" xfId="0" applyBorder="1"/>
    <xf numFmtId="0" fontId="0" fillId="0" borderId="38" xfId="0" applyBorder="1"/>
    <xf numFmtId="172" fontId="0" fillId="7" borderId="0" xfId="1" applyNumberFormat="1" applyFont="1" applyFill="1"/>
    <xf numFmtId="172" fontId="0" fillId="0" borderId="0" xfId="1" applyNumberFormat="1" applyFont="1"/>
    <xf numFmtId="44" fontId="0" fillId="7" borderId="0" xfId="0" applyNumberFormat="1" applyFill="1"/>
    <xf numFmtId="44" fontId="0" fillId="0" borderId="0" xfId="0" applyNumberFormat="1"/>
    <xf numFmtId="174" fontId="0" fillId="12" borderId="0" xfId="0" applyNumberFormat="1" applyFill="1" applyAlignment="1">
      <alignment horizontal="right"/>
    </xf>
    <xf numFmtId="174" fontId="0" fillId="0" borderId="0" xfId="0" applyNumberFormat="1" applyAlignment="1">
      <alignment horizontal="right"/>
    </xf>
    <xf numFmtId="174" fontId="0" fillId="13" borderId="0" xfId="0" applyNumberFormat="1" applyFill="1"/>
    <xf numFmtId="174" fontId="0" fillId="0" borderId="0" xfId="0" applyNumberFormat="1"/>
    <xf numFmtId="0" fontId="0" fillId="0" borderId="46" xfId="0" applyBorder="1" applyAlignment="1">
      <alignment horizontal="center"/>
    </xf>
    <xf numFmtId="0" fontId="21" fillId="0" borderId="8" xfId="0" applyFont="1" applyBorder="1" applyAlignment="1">
      <alignment horizontal="right"/>
    </xf>
    <xf numFmtId="0" fontId="21" fillId="0" borderId="0" xfId="0" applyFont="1" applyAlignment="1">
      <alignment horizontal="right"/>
    </xf>
    <xf numFmtId="9" fontId="0" fillId="0" borderId="0" xfId="5" applyFont="1"/>
    <xf numFmtId="9" fontId="0" fillId="7" borderId="0" xfId="5" applyFont="1" applyFill="1"/>
    <xf numFmtId="0" fontId="0" fillId="0" borderId="27" xfId="0" applyBorder="1" applyAlignment="1">
      <alignment horizontal="center"/>
    </xf>
    <xf numFmtId="165" fontId="0" fillId="13" borderId="0" xfId="0" applyNumberFormat="1" applyFill="1"/>
    <xf numFmtId="165" fontId="0" fillId="0" borderId="0" xfId="0" applyNumberFormat="1"/>
    <xf numFmtId="165" fontId="0" fillId="12" borderId="0" xfId="0" applyNumberFormat="1" applyFill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left" wrapText="1"/>
    </xf>
    <xf numFmtId="175" fontId="0" fillId="13" borderId="0" xfId="0" applyNumberFormat="1" applyFill="1"/>
    <xf numFmtId="175" fontId="0" fillId="0" borderId="0" xfId="0" applyNumberFormat="1"/>
    <xf numFmtId="175" fontId="0" fillId="12" borderId="0" xfId="0" applyNumberFormat="1" applyFill="1" applyAlignment="1">
      <alignment horizontal="right"/>
    </xf>
    <xf numFmtId="175" fontId="0" fillId="0" borderId="0" xfId="0" applyNumberFormat="1" applyAlignment="1">
      <alignment horizontal="right"/>
    </xf>
    <xf numFmtId="0" fontId="0" fillId="12" borderId="0" xfId="0" applyFill="1" applyAlignment="1">
      <alignment horizontal="right"/>
    </xf>
    <xf numFmtId="0" fontId="0" fillId="13" borderId="0" xfId="0" applyFill="1"/>
    <xf numFmtId="174" fontId="13" fillId="13" borderId="0" xfId="0" applyNumberFormat="1" applyFont="1" applyFill="1"/>
    <xf numFmtId="174" fontId="13" fillId="12" borderId="0" xfId="0" applyNumberFormat="1" applyFont="1" applyFill="1" applyAlignment="1">
      <alignment horizontal="center"/>
    </xf>
    <xf numFmtId="174" fontId="13" fillId="13" borderId="0" xfId="0" applyNumberFormat="1" applyFont="1" applyFill="1" applyAlignment="1">
      <alignment horizontal="right"/>
    </xf>
    <xf numFmtId="174" fontId="13" fillId="14" borderId="0" xfId="0" applyNumberFormat="1" applyFont="1" applyFill="1"/>
    <xf numFmtId="0" fontId="0" fillId="0" borderId="7" xfId="0" applyBorder="1" applyAlignment="1">
      <alignment horizontal="right"/>
    </xf>
    <xf numFmtId="0" fontId="0" fillId="0" borderId="38" xfId="0" applyBorder="1" applyAlignment="1">
      <alignment horizontal="right"/>
    </xf>
    <xf numFmtId="0" fontId="0" fillId="12" borderId="0" xfId="0" applyFill="1" applyAlignment="1">
      <alignment horizontal="center"/>
    </xf>
    <xf numFmtId="0" fontId="0" fillId="0" borderId="0" xfId="0" applyAlignment="1">
      <alignment horizontal="center"/>
    </xf>
    <xf numFmtId="0" fontId="45" fillId="0" borderId="34" xfId="0" applyFont="1" applyBorder="1" applyAlignment="1">
      <alignment horizontal="center"/>
    </xf>
    <xf numFmtId="0" fontId="45" fillId="0" borderId="35" xfId="0" applyFont="1" applyBorder="1" applyAlignment="1">
      <alignment horizontal="center"/>
    </xf>
    <xf numFmtId="0" fontId="45" fillId="0" borderId="36" xfId="0" applyFont="1" applyBorder="1" applyAlignment="1">
      <alignment horizontal="center"/>
    </xf>
    <xf numFmtId="0" fontId="41" fillId="8" borderId="0" xfId="0" applyFont="1" applyFill="1" applyAlignment="1">
      <alignment horizontal="center"/>
    </xf>
    <xf numFmtId="0" fontId="0" fillId="0" borderId="40" xfId="0" applyBorder="1" applyAlignment="1">
      <alignment horizontal="center"/>
    </xf>
    <xf numFmtId="0" fontId="0" fillId="12" borderId="0" xfId="0" applyFill="1" applyAlignment="1">
      <alignment horizontal="left" wrapText="1"/>
    </xf>
    <xf numFmtId="0" fontId="48" fillId="0" borderId="37" xfId="0" applyFont="1" applyBorder="1" applyAlignment="1">
      <alignment horizontal="center" vertical="center" textRotation="90" wrapText="1"/>
    </xf>
    <xf numFmtId="0" fontId="48" fillId="0" borderId="39" xfId="0" applyFont="1" applyBorder="1" applyAlignment="1">
      <alignment horizontal="center" vertical="center" textRotation="90" wrapText="1"/>
    </xf>
    <xf numFmtId="0" fontId="48" fillId="0" borderId="42" xfId="0" applyFont="1" applyBorder="1" applyAlignment="1">
      <alignment horizontal="center" vertical="center" textRotation="90" wrapText="1"/>
    </xf>
    <xf numFmtId="44" fontId="0" fillId="0" borderId="38" xfId="0" applyNumberFormat="1" applyBorder="1" applyAlignment="1">
      <alignment horizontal="center"/>
    </xf>
    <xf numFmtId="44" fontId="0" fillId="12" borderId="0" xfId="0" applyNumberFormat="1" applyFill="1" applyAlignment="1">
      <alignment horizontal="center"/>
    </xf>
    <xf numFmtId="2" fontId="0" fillId="7" borderId="0" xfId="0" applyNumberFormat="1" applyFill="1" applyAlignment="1">
      <alignment horizontal="right"/>
    </xf>
    <xf numFmtId="172" fontId="0" fillId="12" borderId="0" xfId="0" applyNumberFormat="1" applyFill="1"/>
    <xf numFmtId="172" fontId="0" fillId="0" borderId="0" xfId="0" applyNumberFormat="1"/>
    <xf numFmtId="172" fontId="0" fillId="13" borderId="0" xfId="1" applyNumberFormat="1" applyFont="1" applyFill="1"/>
    <xf numFmtId="44" fontId="0" fillId="12" borderId="6" xfId="0" applyNumberFormat="1" applyFill="1" applyBorder="1"/>
    <xf numFmtId="44" fontId="0" fillId="0" borderId="6" xfId="0" applyNumberFormat="1" applyBorder="1"/>
    <xf numFmtId="2" fontId="0" fillId="12" borderId="0" xfId="0" applyNumberFormat="1" applyFill="1"/>
    <xf numFmtId="2" fontId="0" fillId="0" borderId="0" xfId="0" applyNumberFormat="1"/>
    <xf numFmtId="2" fontId="0" fillId="13" borderId="0" xfId="1" applyNumberFormat="1" applyFont="1" applyFill="1"/>
    <xf numFmtId="2" fontId="0" fillId="0" borderId="0" xfId="1" applyNumberFormat="1" applyFont="1"/>
    <xf numFmtId="0" fontId="0" fillId="0" borderId="10" xfId="0" applyBorder="1"/>
    <xf numFmtId="0" fontId="0" fillId="0" borderId="6" xfId="0" applyBorder="1"/>
    <xf numFmtId="174" fontId="0" fillId="12" borderId="0" xfId="0" applyNumberFormat="1" applyFill="1"/>
    <xf numFmtId="0" fontId="0" fillId="0" borderId="0" xfId="5" applyNumberFormat="1" applyFont="1"/>
    <xf numFmtId="0" fontId="0" fillId="7" borderId="0" xfId="5" applyNumberFormat="1" applyFont="1" applyFill="1"/>
    <xf numFmtId="175" fontId="0" fillId="12" borderId="0" xfId="0" applyNumberFormat="1" applyFill="1"/>
    <xf numFmtId="0" fontId="13" fillId="0" borderId="8" xfId="0" applyFont="1" applyBorder="1" applyAlignment="1">
      <alignment horizontal="right"/>
    </xf>
    <xf numFmtId="0" fontId="13" fillId="0" borderId="0" xfId="0" applyFont="1" applyAlignment="1">
      <alignment horizontal="right"/>
    </xf>
    <xf numFmtId="165" fontId="0" fillId="12" borderId="0" xfId="0" applyNumberFormat="1" applyFill="1"/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15" borderId="0" xfId="0" applyFill="1"/>
    <xf numFmtId="0" fontId="0" fillId="10" borderId="6" xfId="0" applyFill="1" applyBorder="1" applyAlignment="1">
      <alignment horizontal="center"/>
    </xf>
    <xf numFmtId="0" fontId="0" fillId="7" borderId="6" xfId="0" applyFill="1" applyBorder="1" applyAlignment="1">
      <alignment horizontal="center"/>
    </xf>
    <xf numFmtId="0" fontId="0" fillId="0" borderId="8" xfId="0" applyBorder="1" applyAlignment="1">
      <alignment horizontal="center"/>
    </xf>
    <xf numFmtId="44" fontId="0" fillId="12" borderId="1" xfId="0" applyNumberFormat="1" applyFill="1" applyBorder="1"/>
    <xf numFmtId="44" fontId="0" fillId="0" borderId="1" xfId="0" applyNumberFormat="1" applyBorder="1"/>
  </cellXfs>
  <cellStyles count="11">
    <cellStyle name="Currency" xfId="1" builtinId="4"/>
    <cellStyle name="Currency 2" xfId="9" xr:uid="{00000000-0005-0000-0000-000034000000}"/>
    <cellStyle name="Hyperlink" xfId="10" builtinId="8"/>
    <cellStyle name="Normal" xfId="0" builtinId="0"/>
    <cellStyle name="Normal 2" xfId="4" xr:uid="{00000000-0005-0000-0000-00002F000000}"/>
    <cellStyle name="Normal 3" xfId="2" xr:uid="{00000000-0005-0000-0000-00002F000000}"/>
    <cellStyle name="Normal 4" xfId="6" xr:uid="{55C00F0B-D5A6-4C3C-9D5D-3E18DF1AA274}"/>
    <cellStyle name="Normal 5" xfId="8" xr:uid="{00000000-0005-0000-0000-000035000000}"/>
    <cellStyle name="Percent" xfId="5" builtinId="5"/>
    <cellStyle name="Percent 2" xfId="3" xr:uid="{00000000-0005-0000-0000-000031000000}"/>
    <cellStyle name="Percent 3" xfId="7" xr:uid="{C6482003-D0DC-465F-A793-786E3CD81057}"/>
  </cellStyles>
  <dxfs count="0"/>
  <tableStyles count="0" defaultTableStyle="TableStyleMedium2" defaultPivotStyle="PivotStyleLight16"/>
  <colors>
    <mruColors>
      <color rgb="FF008000"/>
      <color rgb="FF0000FF"/>
      <color rgb="FFDCE6F1"/>
      <color rgb="FF34411B"/>
      <color rgb="FFF2F2F2"/>
      <color rgb="FF3E4D1F"/>
      <color rgb="FF00A8A4"/>
      <color rgb="FFEFFFFF"/>
      <color rgb="FFC9FFFE"/>
      <color rgb="FF00E2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5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ata%20and%20Info/topsbc_std_ver4_2028Buil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Instructions"/>
      <sheetName val="Data Dictionary"/>
      <sheetName val="Admin"/>
      <sheetName val="links"/>
      <sheetName val="deployment support"/>
      <sheetName val="Link Characteristics"/>
      <sheetName val="OPENING SCREEN"/>
      <sheetName val="TOPS-BC INFO"/>
      <sheetName val="WHAT'S NEW"/>
      <sheetName val="LIST OF ALL WORKSHEETS"/>
      <sheetName val="GLOSSARY"/>
      <sheetName val="COST ESTIMATION"/>
      <sheetName val="Cost Default Matrix"/>
      <sheetName val="Costs Template"/>
      <sheetName val="En-Route Traveler Information"/>
      <sheetName val="ATIS-HAR"/>
      <sheetName val="Pre-Trip Traveler Information"/>
      <sheetName val="TSS - Preset Timing"/>
      <sheetName val="TSS-Traffic Actuated Timing"/>
      <sheetName val="TSS - Central Control"/>
      <sheetName val="TSS - Transit Signal Priority"/>
      <sheetName val="RM-Central Control"/>
      <sheetName val="RM-Actuated"/>
      <sheetName val="RM-Preset"/>
      <sheetName val="HERSLookupCategories"/>
      <sheetName val="HERS Cost Sheet"/>
      <sheetName val="FS- Truck Only"/>
      <sheetName val="FS- Compliance"/>
      <sheetName val="FS- Parking &amp; Reservation"/>
      <sheetName val="FS- Climbing Lanes"/>
      <sheetName val="FS- Off Hours"/>
      <sheetName val="Traffic Incident Management"/>
      <sheetName val="ATM- VSL"/>
      <sheetName val="ATM- PTSU"/>
      <sheetName val="ATDM-Speed"/>
      <sheetName val="Travel Demand Management"/>
      <sheetName val="ATDM-Shoulder"/>
      <sheetName val="HOT Lanes"/>
      <sheetName val="Road Weather Management"/>
      <sheetName val="Work Zone Management"/>
      <sheetName val="Shared Use Mobility"/>
      <sheetName val="COSTS SUMMARY"/>
      <sheetName val="BENEFIT ESTIMATE"/>
      <sheetName val="Parameters"/>
      <sheetName val="Strategy Default Impacts"/>
      <sheetName val="En - Route Traveler Information"/>
      <sheetName val="Ramp Metering"/>
      <sheetName val="RWM"/>
      <sheetName val="Benefit Template"/>
      <sheetName val="FS - Compliance"/>
      <sheetName val="Traffic Signal Control"/>
      <sheetName val="Traffic Incident Management "/>
      <sheetName val="Highway Advisory Radio"/>
      <sheetName val="Pre - Trip Traveler Information"/>
      <sheetName val="FS - Truck Only"/>
      <sheetName val="PCE Look Up"/>
      <sheetName val="FS - Parking &amp; Reservation"/>
      <sheetName val="FS - Climbing Lanes"/>
      <sheetName val="FS - Off Hours"/>
      <sheetName val="ATM - VSL"/>
      <sheetName val="ATM - PTSU"/>
      <sheetName val="HOT  Lanes"/>
      <sheetName val="Travel Demand Management "/>
      <sheetName val="Work Zone"/>
      <sheetName val="Speed"/>
      <sheetName val="Shared Use Mobility "/>
      <sheetName val="Summary of My Deployments"/>
      <sheetName val="Results Template"/>
    </sheetNames>
    <sheetDataSet>
      <sheetData sheetId="0"/>
      <sheetData sheetId="1"/>
      <sheetData sheetId="2"/>
      <sheetData sheetId="3"/>
      <sheetData sheetId="4"/>
      <sheetData sheetId="5">
        <row r="3">
          <cell r="F3" t="str">
            <v>Preset Timing</v>
          </cell>
          <cell r="G3" t="str">
            <v>RM-Preset</v>
          </cell>
          <cell r="H3">
            <v>0.08</v>
          </cell>
          <cell r="I3">
            <v>-0.35</v>
          </cell>
        </row>
        <row r="4">
          <cell r="F4" t="str">
            <v>Traffic Actuated</v>
          </cell>
          <cell r="G4" t="str">
            <v>RM-Actuated</v>
          </cell>
          <cell r="H4">
            <v>0.1</v>
          </cell>
          <cell r="I4">
            <v>-0.35</v>
          </cell>
        </row>
        <row r="5">
          <cell r="F5" t="str">
            <v>Central Control</v>
          </cell>
          <cell r="G5" t="str">
            <v>RM-Central Control</v>
          </cell>
          <cell r="H5">
            <v>0.12</v>
          </cell>
          <cell r="I5">
            <v>-0.35</v>
          </cell>
        </row>
      </sheetData>
      <sheetData sheetId="6">
        <row r="4">
          <cell r="C4">
            <v>1</v>
          </cell>
          <cell r="D4" t="str">
            <v>Rural Freeway</v>
          </cell>
          <cell r="E4">
            <v>2200</v>
          </cell>
          <cell r="F4">
            <v>70</v>
          </cell>
          <cell r="G4" t="str">
            <v>Freeways</v>
          </cell>
          <cell r="H4" t="str">
            <v>Freeways</v>
          </cell>
        </row>
        <row r="5">
          <cell r="C5">
            <v>2</v>
          </cell>
          <cell r="D5" t="str">
            <v>Urban Freeway</v>
          </cell>
          <cell r="E5">
            <v>2200</v>
          </cell>
          <cell r="F5">
            <v>55</v>
          </cell>
          <cell r="G5" t="str">
            <v>Freeways</v>
          </cell>
          <cell r="H5" t="str">
            <v>Freeways</v>
          </cell>
        </row>
        <row r="6">
          <cell r="C6">
            <v>3</v>
          </cell>
          <cell r="D6" t="str">
            <v>Principal Arterial</v>
          </cell>
          <cell r="E6">
            <v>1800</v>
          </cell>
          <cell r="F6">
            <v>45</v>
          </cell>
          <cell r="G6" t="str">
            <v>Arterials</v>
          </cell>
          <cell r="H6" t="str">
            <v>Arterials</v>
          </cell>
        </row>
        <row r="7">
          <cell r="C7">
            <v>4</v>
          </cell>
          <cell r="D7" t="str">
            <v>Ramp</v>
          </cell>
          <cell r="E7">
            <v>1600</v>
          </cell>
          <cell r="F7">
            <v>35</v>
          </cell>
          <cell r="G7" t="str">
            <v>Ramps</v>
          </cell>
          <cell r="H7" t="str">
            <v>Arterials</v>
          </cell>
        </row>
        <row r="10">
          <cell r="C10"/>
          <cell r="D10"/>
          <cell r="E10"/>
          <cell r="F10"/>
          <cell r="G10"/>
        </row>
        <row r="11">
          <cell r="C11"/>
          <cell r="D11"/>
          <cell r="E11"/>
          <cell r="F11"/>
          <cell r="G11"/>
        </row>
        <row r="12">
          <cell r="C12"/>
          <cell r="D12"/>
          <cell r="E12"/>
          <cell r="F12"/>
          <cell r="G12"/>
        </row>
        <row r="13">
          <cell r="C13"/>
          <cell r="D13"/>
          <cell r="E13"/>
          <cell r="F13"/>
          <cell r="G13"/>
        </row>
        <row r="14">
          <cell r="C14"/>
          <cell r="D14"/>
          <cell r="E14"/>
          <cell r="F14"/>
          <cell r="G14"/>
        </row>
        <row r="15">
          <cell r="C15"/>
          <cell r="D15"/>
          <cell r="E15"/>
          <cell r="F15"/>
          <cell r="G15"/>
        </row>
        <row r="16">
          <cell r="C16"/>
          <cell r="D16"/>
          <cell r="E16"/>
          <cell r="F16"/>
          <cell r="G16"/>
        </row>
        <row r="17">
          <cell r="C17"/>
          <cell r="D17"/>
          <cell r="E17"/>
          <cell r="F17"/>
          <cell r="G17"/>
        </row>
        <row r="18">
          <cell r="C18"/>
          <cell r="D18"/>
          <cell r="E18"/>
          <cell r="F18"/>
          <cell r="G18"/>
        </row>
        <row r="19">
          <cell r="C19"/>
          <cell r="D19"/>
          <cell r="E19"/>
          <cell r="F19"/>
          <cell r="G19"/>
        </row>
      </sheetData>
      <sheetData sheetId="7">
        <row r="24">
          <cell r="B24" t="str">
            <v>FHWA Tool for Operations Benefit/Cost (TOPS-BC):  Version 4.0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9">
          <cell r="AN9">
            <v>26.2</v>
          </cell>
        </row>
        <row r="10">
          <cell r="AN10">
            <v>18.8</v>
          </cell>
        </row>
        <row r="11">
          <cell r="W11">
            <v>30.8</v>
          </cell>
          <cell r="Z11" t="str">
            <v>Freeways</v>
          </cell>
          <cell r="AA11"/>
          <cell r="AB11">
            <v>0.2</v>
          </cell>
          <cell r="AC11">
            <v>0.99997589519681684</v>
          </cell>
        </row>
        <row r="12">
          <cell r="W12">
            <v>16.5</v>
          </cell>
          <cell r="Z12"/>
          <cell r="AA12"/>
          <cell r="AB12">
            <v>0.3</v>
          </cell>
          <cell r="AC12">
            <v>0.99973821471643498</v>
          </cell>
          <cell r="AP12">
            <v>1</v>
          </cell>
          <cell r="AQ12">
            <v>5.0000000745057997E-2</v>
          </cell>
          <cell r="AR12">
            <v>3.4378498270370897E-8</v>
          </cell>
          <cell r="AS12">
            <v>1.4375299839386399E-9</v>
          </cell>
          <cell r="AT12">
            <v>4.3918900634320999E-12</v>
          </cell>
        </row>
        <row r="13">
          <cell r="W13">
            <v>27.9</v>
          </cell>
          <cell r="Z13"/>
          <cell r="AA13"/>
          <cell r="AB13">
            <v>0.5</v>
          </cell>
          <cell r="AC13">
            <v>0.99474097618293567</v>
          </cell>
          <cell r="AP13"/>
          <cell r="AQ13">
            <v>0.10000000149011599</v>
          </cell>
          <cell r="AR13">
            <v>5.2400400818442005E-7</v>
          </cell>
          <cell r="AS13">
            <v>4.6320998592364002E-8</v>
          </cell>
          <cell r="AT13">
            <v>5.8198701413658599E-10</v>
          </cell>
        </row>
        <row r="14">
          <cell r="Z14"/>
          <cell r="AA14"/>
          <cell r="AB14">
            <v>0.7</v>
          </cell>
          <cell r="AC14">
            <v>0.9631399630200248</v>
          </cell>
          <cell r="AP14"/>
          <cell r="AQ14">
            <v>0.15000000596046401</v>
          </cell>
          <cell r="AR14">
            <v>2.57854003393731E-6</v>
          </cell>
          <cell r="AS14">
            <v>3.5318001323503199E-7</v>
          </cell>
          <cell r="AT14">
            <v>1.0147400253401799E-8</v>
          </cell>
        </row>
        <row r="15">
          <cell r="W15">
            <v>30.8</v>
          </cell>
          <cell r="Z15"/>
          <cell r="AA15"/>
          <cell r="AB15">
            <v>0.8</v>
          </cell>
          <cell r="AC15">
            <v>0.92254975673796347</v>
          </cell>
          <cell r="AP15"/>
          <cell r="AQ15">
            <v>0.20000000298023199</v>
          </cell>
          <cell r="AR15">
            <v>7.9869796536513604E-6</v>
          </cell>
          <cell r="AS15">
            <v>1.4925800542187001E-6</v>
          </cell>
          <cell r="AT15">
            <v>7.7121399044699501E-8</v>
          </cell>
        </row>
        <row r="16">
          <cell r="W16">
            <v>16.5</v>
          </cell>
          <cell r="Z16"/>
          <cell r="AA16"/>
          <cell r="AB16">
            <v>0.9</v>
          </cell>
          <cell r="AC16">
            <v>0.85626246752641844</v>
          </cell>
          <cell r="AP16"/>
          <cell r="AQ16">
            <v>0.25</v>
          </cell>
          <cell r="AR16">
            <v>1.9197299479856102E-5</v>
          </cell>
          <cell r="AS16">
            <v>4.5651800064660998E-6</v>
          </cell>
          <cell r="AT16">
            <v>3.7186899248808898E-7</v>
          </cell>
        </row>
        <row r="17">
          <cell r="W17">
            <v>27.9</v>
          </cell>
          <cell r="Z17"/>
          <cell r="AA17"/>
          <cell r="AB17">
            <v>1</v>
          </cell>
          <cell r="AC17">
            <v>0.76219512195121952</v>
          </cell>
          <cell r="AP17"/>
          <cell r="AQ17">
            <v>0.30000001192092901</v>
          </cell>
          <cell r="AR17">
            <v>3.9302598452195498E-5</v>
          </cell>
          <cell r="AS17">
            <v>1.1380399882909799E-5</v>
          </cell>
          <cell r="AT17">
            <v>1.3446799584926301E-6</v>
          </cell>
        </row>
        <row r="18">
          <cell r="Z18"/>
          <cell r="AA18"/>
          <cell r="AB18">
            <v>1.1000000000000001</v>
          </cell>
          <cell r="AC18">
            <v>0.64658057607853736</v>
          </cell>
          <cell r="AP18"/>
          <cell r="AQ18">
            <v>0.34999999403953502</v>
          </cell>
          <cell r="AR18">
            <v>7.2031500167213299E-5</v>
          </cell>
          <cell r="AS18">
            <v>2.46353993134107E-5</v>
          </cell>
          <cell r="AT18">
            <v>3.9865099097369196E-6</v>
          </cell>
        </row>
        <row r="19">
          <cell r="Z19"/>
          <cell r="AA19"/>
          <cell r="AB19">
            <v>1.2</v>
          </cell>
          <cell r="AC19">
            <v>0.5230223025061661</v>
          </cell>
          <cell r="AP19"/>
          <cell r="AQ19">
            <v>0.40000000596046398</v>
          </cell>
          <cell r="AR19">
            <v>1.21739998576231E-4</v>
          </cell>
          <cell r="AS19">
            <v>4.8094898374984E-5</v>
          </cell>
          <cell r="AT19">
            <v>1.02195999716059E-5</v>
          </cell>
        </row>
        <row r="20">
          <cell r="W20">
            <v>12071000</v>
          </cell>
          <cell r="Z20"/>
          <cell r="AA20"/>
          <cell r="AB20">
            <v>1.4</v>
          </cell>
          <cell r="AC20">
            <v>0.30688686525764458</v>
          </cell>
          <cell r="AP20"/>
          <cell r="AQ20">
            <v>0.44999998807907099</v>
          </cell>
          <cell r="AR20">
            <v>1.9340700237080401E-4</v>
          </cell>
          <cell r="AS20">
            <v>8.6770902271382497E-5</v>
          </cell>
          <cell r="AT20">
            <v>2.34456001635408E-5</v>
          </cell>
        </row>
        <row r="21">
          <cell r="W21">
            <v>284100</v>
          </cell>
          <cell r="Z21"/>
          <cell r="AA21"/>
          <cell r="AB21">
            <v>1.6</v>
          </cell>
          <cell r="AC21">
            <v>0.16794258809305412</v>
          </cell>
          <cell r="AP21"/>
          <cell r="AQ21">
            <v>0.5</v>
          </cell>
          <cell r="AR21">
            <v>2.9264501063153099E-4</v>
          </cell>
          <cell r="AS21">
            <v>1.4710400137119001E-4</v>
          </cell>
          <cell r="AT21">
            <v>4.9277801736025099E-5</v>
          </cell>
        </row>
        <row r="22">
          <cell r="P22">
            <v>8.6900000000000005E-2</v>
          </cell>
          <cell r="W22">
            <v>4500</v>
          </cell>
          <cell r="Z22"/>
          <cell r="AA22"/>
          <cell r="AB22">
            <v>1.8</v>
          </cell>
          <cell r="AC22">
            <v>9.1687963712172985E-2</v>
          </cell>
          <cell r="AP22"/>
          <cell r="AQ22">
            <v>0.55000001192092896</v>
          </cell>
          <cell r="AR22">
            <v>4.2577399290166801E-4</v>
          </cell>
          <cell r="AS22">
            <v>2.37155007198453E-4</v>
          </cell>
          <cell r="AT22">
            <v>9.6487303380854401E-5</v>
          </cell>
        </row>
        <row r="23">
          <cell r="P23">
            <v>0.2</v>
          </cell>
          <cell r="Z23"/>
          <cell r="AA23"/>
          <cell r="AB23">
            <v>2</v>
          </cell>
          <cell r="AC23">
            <v>5.1513054154259788E-2</v>
          </cell>
          <cell r="AP23"/>
          <cell r="AQ23">
            <v>0.60000002384185702</v>
          </cell>
          <cell r="AR23">
            <v>6.0015200870111498E-4</v>
          </cell>
          <cell r="AS23">
            <v>3.6684799124486701E-4</v>
          </cell>
          <cell r="AT23">
            <v>1.7818900232668901E-4</v>
          </cell>
        </row>
        <row r="24">
          <cell r="P24">
            <v>1.67</v>
          </cell>
          <cell r="Z24"/>
          <cell r="AA24"/>
          <cell r="AB24">
            <v>2.5</v>
          </cell>
          <cell r="AC24">
            <v>1.4403351291415541E-2</v>
          </cell>
          <cell r="AP24"/>
          <cell r="AQ24">
            <v>0.64999997615814198</v>
          </cell>
          <cell r="AR24">
            <v>8.2539697177708095E-4</v>
          </cell>
          <cell r="AS24">
            <v>5.4846797138452497E-4</v>
          </cell>
          <cell r="AT24">
            <v>3.1330098863690999E-4</v>
          </cell>
        </row>
        <row r="25">
          <cell r="W25">
            <v>2.82</v>
          </cell>
          <cell r="Z25"/>
          <cell r="AA25"/>
          <cell r="AB25">
            <v>3</v>
          </cell>
          <cell r="AC25">
            <v>4.9747945134242929E-3</v>
          </cell>
          <cell r="AP25"/>
          <cell r="AQ25">
            <v>0.69999998807907104</v>
          </cell>
          <cell r="AR25">
            <v>1.1174599640071301E-3</v>
          </cell>
          <cell r="AS25">
            <v>7.9827697481960004E-4</v>
          </cell>
          <cell r="AT25">
            <v>5.2834302186965899E-4</v>
          </cell>
        </row>
        <row r="26">
          <cell r="Z26"/>
          <cell r="AA26"/>
          <cell r="AB26">
            <v>4</v>
          </cell>
          <cell r="AC26">
            <v>9.1944759741879162E-4</v>
          </cell>
          <cell r="AP26"/>
          <cell r="AQ26">
            <v>0.75</v>
          </cell>
          <cell r="AR26">
            <v>1.5108600491657799E-3</v>
          </cell>
          <cell r="AS26">
            <v>1.1423700489103701E-3</v>
          </cell>
          <cell r="AT26">
            <v>8.5988797945901697E-4</v>
          </cell>
        </row>
        <row r="27">
          <cell r="Z27"/>
          <cell r="AA27"/>
          <cell r="AB27">
            <v>5</v>
          </cell>
          <cell r="AC27">
            <v>2.4756961372172844E-4</v>
          </cell>
          <cell r="AP27"/>
          <cell r="AQ27">
            <v>0.80000001192092896</v>
          </cell>
          <cell r="AR27">
            <v>2.0928799640387301E-3</v>
          </cell>
          <cell r="AS27">
            <v>1.6373799880966501E-3</v>
          </cell>
          <cell r="AT27">
            <v>1.35971000418067E-3</v>
          </cell>
        </row>
        <row r="28">
          <cell r="Z28"/>
          <cell r="AA28"/>
          <cell r="AB28">
            <v>6</v>
          </cell>
          <cell r="AC28">
            <v>8.4711975262117615E-5</v>
          </cell>
          <cell r="AP28"/>
          <cell r="AQ28">
            <v>0.85000002384185702</v>
          </cell>
          <cell r="AR28">
            <v>3.09209991246461E-3</v>
          </cell>
          <cell r="AS28">
            <v>2.4384700227528802E-3</v>
          </cell>
          <cell r="AT28">
            <v>2.11483007296919E-3</v>
          </cell>
        </row>
        <row r="29">
          <cell r="Z29"/>
          <cell r="AA29"/>
          <cell r="AB29">
            <v>12</v>
          </cell>
          <cell r="AC29">
            <v>1.4355605396039601E-6</v>
          </cell>
          <cell r="AP29"/>
          <cell r="AQ29">
            <v>0.89999997615814198</v>
          </cell>
          <cell r="AR29">
            <v>5.0949798896908699E-3</v>
          </cell>
          <cell r="AS29">
            <v>4.0077199228107903E-3</v>
          </cell>
          <cell r="AT29">
            <v>3.3482699654996399E-3</v>
          </cell>
        </row>
        <row r="30">
          <cell r="Z30" t="str">
            <v>Arterials</v>
          </cell>
          <cell r="AA30"/>
          <cell r="AB30">
            <v>0.2</v>
          </cell>
          <cell r="AC30">
            <v>0.99591139798077677</v>
          </cell>
          <cell r="AP30"/>
          <cell r="AQ30">
            <v>0.94999998807907104</v>
          </cell>
          <cell r="AR30">
            <v>9.5471199601888605E-3</v>
          </cell>
          <cell r="AS30">
            <v>7.7119697816669898E-3</v>
          </cell>
          <cell r="AT30">
            <v>5.9221801348030498E-3</v>
          </cell>
        </row>
        <row r="31">
          <cell r="Z31"/>
          <cell r="AA31"/>
          <cell r="AB31">
            <v>0.3</v>
          </cell>
          <cell r="AC31">
            <v>0.98632820751539418</v>
          </cell>
          <cell r="AP31"/>
          <cell r="AQ31">
            <v>1</v>
          </cell>
          <cell r="AR31">
            <v>1.9859999418258601E-2</v>
          </cell>
          <cell r="AS31">
            <v>1.7440000548958699E-2</v>
          </cell>
          <cell r="AT31">
            <v>1.36799998581409E-2</v>
          </cell>
        </row>
        <row r="32">
          <cell r="Z32"/>
          <cell r="AA32"/>
          <cell r="AB32">
            <v>0.5</v>
          </cell>
          <cell r="AC32">
            <v>0.93966815442360063</v>
          </cell>
          <cell r="AP32">
            <v>2</v>
          </cell>
          <cell r="AQ32">
            <v>0.10000000149011599</v>
          </cell>
          <cell r="AR32">
            <v>3.5302299750128401E-8</v>
          </cell>
          <cell r="AS32">
            <v>1.49765000401203E-9</v>
          </cell>
          <cell r="AT32">
            <v>4.7395498983804303E-12</v>
          </cell>
        </row>
        <row r="33">
          <cell r="Z33"/>
          <cell r="AA33"/>
          <cell r="AB33">
            <v>0.7</v>
          </cell>
          <cell r="AC33">
            <v>0.8501672624164951</v>
          </cell>
          <cell r="AP33"/>
          <cell r="AQ33">
            <v>0.20000000298023199</v>
          </cell>
          <cell r="AR33">
            <v>5.3808400934940405E-7</v>
          </cell>
          <cell r="AS33">
            <v>4.82582009908583E-8</v>
          </cell>
          <cell r="AT33">
            <v>6.2805699529988601E-10</v>
          </cell>
        </row>
        <row r="34">
          <cell r="Z34"/>
          <cell r="AA34"/>
          <cell r="AB34">
            <v>0.8</v>
          </cell>
          <cell r="AC34">
            <v>0.79169713500298222</v>
          </cell>
          <cell r="AP34"/>
          <cell r="AQ34">
            <v>0.30000001192092901</v>
          </cell>
          <cell r="AR34">
            <v>2.6478201107238398E-6</v>
          </cell>
          <cell r="AS34">
            <v>3.6794901348002901E-7</v>
          </cell>
          <cell r="AT34">
            <v>1.09506999024233E-8</v>
          </cell>
        </row>
        <row r="35">
          <cell r="Z35"/>
          <cell r="AA35"/>
          <cell r="AB35">
            <v>0.9</v>
          </cell>
          <cell r="AC35">
            <v>0.72744915466320226</v>
          </cell>
          <cell r="AP35"/>
          <cell r="AQ35">
            <v>0.40000000596046398</v>
          </cell>
          <cell r="AR35">
            <v>8.2015903899446096E-6</v>
          </cell>
          <cell r="AS35">
            <v>1.5550000398434301E-6</v>
          </cell>
          <cell r="AT35">
            <v>8.3226197489238905E-8</v>
          </cell>
        </row>
        <row r="36">
          <cell r="Z36"/>
          <cell r="AA36"/>
          <cell r="AB36">
            <v>1</v>
          </cell>
          <cell r="AC36">
            <v>0.66050198150594452</v>
          </cell>
          <cell r="AP36"/>
          <cell r="AQ36">
            <v>0.5</v>
          </cell>
          <cell r="AR36">
            <v>1.9713099391083199E-5</v>
          </cell>
          <cell r="AS36">
            <v>4.7560902203258499E-6</v>
          </cell>
          <cell r="AT36">
            <v>4.0130601064447499E-7</v>
          </cell>
        </row>
        <row r="37">
          <cell r="Z37"/>
          <cell r="AA37"/>
          <cell r="AB37">
            <v>1.1000000000000001</v>
          </cell>
          <cell r="AC37">
            <v>0.59375399016044705</v>
          </cell>
          <cell r="AP37"/>
          <cell r="AQ37">
            <v>0.60000002384185702</v>
          </cell>
          <cell r="AR37">
            <v>4.0358700061915402E-5</v>
          </cell>
          <cell r="AS37">
            <v>1.18563002615701E-5</v>
          </cell>
          <cell r="AT37">
            <v>1.4511200561173601E-6</v>
          </cell>
        </row>
        <row r="38">
          <cell r="Z38"/>
          <cell r="AA38"/>
          <cell r="AB38">
            <v>1.2</v>
          </cell>
          <cell r="AC38">
            <v>0.52956173777991644</v>
          </cell>
          <cell r="AP38"/>
          <cell r="AQ38">
            <v>0.69999998807907104</v>
          </cell>
          <cell r="AR38">
            <v>7.3966999480035102E-5</v>
          </cell>
          <cell r="AS38">
            <v>2.5665600333013501E-5</v>
          </cell>
          <cell r="AT38">
            <v>4.3020800148951804E-6</v>
          </cell>
        </row>
        <row r="39">
          <cell r="Z39"/>
          <cell r="AA39"/>
          <cell r="AB39">
            <v>1.4</v>
          </cell>
          <cell r="AC39">
            <v>0.41478447054174505</v>
          </cell>
          <cell r="AP39"/>
          <cell r="AQ39">
            <v>0.80000001192092896</v>
          </cell>
          <cell r="AR39">
            <v>1.25011007185094E-4</v>
          </cell>
          <cell r="AS39">
            <v>5.0106198614230298E-5</v>
          </cell>
          <cell r="AT39">
            <v>1.10286000563064E-5</v>
          </cell>
        </row>
        <row r="40">
          <cell r="Z40"/>
          <cell r="AA40"/>
          <cell r="AB40">
            <v>1.6</v>
          </cell>
          <cell r="AC40">
            <v>0.32192290972906806</v>
          </cell>
          <cell r="AP40"/>
          <cell r="AQ40">
            <v>0.89999997615814198</v>
          </cell>
          <cell r="AR40">
            <v>1.9860599422827301E-4</v>
          </cell>
          <cell r="AS40">
            <v>9.0399902546778294E-5</v>
          </cell>
          <cell r="AT40">
            <v>2.5301500500063398E-5</v>
          </cell>
        </row>
        <row r="41">
          <cell r="Z41"/>
          <cell r="AA41"/>
          <cell r="AB41">
            <v>1.8</v>
          </cell>
          <cell r="AC41">
            <v>0.25003684946476989</v>
          </cell>
          <cell r="AP41"/>
          <cell r="AQ41">
            <v>1</v>
          </cell>
          <cell r="AR41">
            <v>3.0052699730731498E-4</v>
          </cell>
          <cell r="AS41">
            <v>1.53258006321266E-4</v>
          </cell>
          <cell r="AT41">
            <v>5.3178700909484103E-5</v>
          </cell>
        </row>
        <row r="42">
          <cell r="Z42"/>
          <cell r="AA42"/>
          <cell r="AB42">
            <v>2</v>
          </cell>
          <cell r="AC42">
            <v>0.1955091084941625</v>
          </cell>
          <cell r="AP42"/>
          <cell r="AQ42">
            <v>1.1000000238418499</v>
          </cell>
          <cell r="AR42">
            <v>4.3732600170187598E-4</v>
          </cell>
          <cell r="AS42">
            <v>2.4708898854441897E-4</v>
          </cell>
          <cell r="AT42">
            <v>1.0412499977974199E-4</v>
          </cell>
        </row>
        <row r="43">
          <cell r="Z43"/>
          <cell r="AA43"/>
          <cell r="AB43">
            <v>2.5</v>
          </cell>
          <cell r="AC43">
            <v>0.11063645205918823</v>
          </cell>
          <cell r="AP43"/>
          <cell r="AQ43">
            <v>1.20000004768371</v>
          </cell>
          <cell r="AR43">
            <v>6.16846024058759E-4</v>
          </cell>
          <cell r="AS43">
            <v>3.8229700294323201E-4</v>
          </cell>
          <cell r="AT43">
            <v>1.9229500321671299E-4</v>
          </cell>
        </row>
        <row r="44">
          <cell r="Z44"/>
          <cell r="AA44"/>
          <cell r="AB44">
            <v>3</v>
          </cell>
          <cell r="AC44">
            <v>6.7144489596794865E-2</v>
          </cell>
          <cell r="AP44"/>
          <cell r="AQ44">
            <v>1.29999995231628</v>
          </cell>
          <cell r="AR44">
            <v>8.5011200280860001E-4</v>
          </cell>
          <cell r="AS44">
            <v>5.7204801123589201E-4</v>
          </cell>
          <cell r="AT44">
            <v>3.3811401226557699E-4</v>
          </cell>
        </row>
        <row r="45">
          <cell r="Z45"/>
          <cell r="AA45"/>
          <cell r="AB45">
            <v>4</v>
          </cell>
          <cell r="AC45">
            <v>2.9462340136876448E-2</v>
          </cell>
          <cell r="AP45"/>
          <cell r="AQ45">
            <v>1.3999999761581401</v>
          </cell>
          <cell r="AR45">
            <v>1.1576199904084199E-3</v>
          </cell>
          <cell r="AS45">
            <v>8.3501602057367498E-4</v>
          </cell>
          <cell r="AT45">
            <v>5.7029601885005799E-4</v>
          </cell>
        </row>
        <row r="46">
          <cell r="Z46"/>
          <cell r="AA46"/>
          <cell r="AB46">
            <v>5</v>
          </cell>
          <cell r="AC46">
            <v>1.5301401737737691E-2</v>
          </cell>
          <cell r="AP46"/>
          <cell r="AQ46">
            <v>1.5</v>
          </cell>
          <cell r="AR46">
            <v>1.5882999869063501E-3</v>
          </cell>
          <cell r="AS46">
            <v>1.2057799613103199E-3</v>
          </cell>
          <cell r="AT46">
            <v>9.2915201094001499E-4</v>
          </cell>
        </row>
        <row r="47">
          <cell r="Z47"/>
          <cell r="AA47"/>
          <cell r="AB47">
            <v>6</v>
          </cell>
          <cell r="AC47">
            <v>8.9108208645114501E-3</v>
          </cell>
          <cell r="AP47"/>
          <cell r="AQ47">
            <v>1.6000000238418499</v>
          </cell>
          <cell r="AR47">
            <v>2.2722599096596202E-3</v>
          </cell>
          <cell r="AS47">
            <v>1.77176995202899E-3</v>
          </cell>
          <cell r="AT47">
            <v>1.4768800465389999E-3</v>
          </cell>
        </row>
        <row r="48">
          <cell r="Z48"/>
          <cell r="AA48"/>
          <cell r="AB48">
            <v>12</v>
          </cell>
          <cell r="AC48">
            <v>1.1218285391159583E-3</v>
          </cell>
          <cell r="AP48"/>
          <cell r="AQ48">
            <v>1.70000004768371</v>
          </cell>
          <cell r="AR48">
            <v>3.5578000824898399E-3</v>
          </cell>
          <cell r="AS48">
            <v>2.7951800730079399E-3</v>
          </cell>
          <cell r="AT48">
            <v>2.3492099717259398E-3</v>
          </cell>
        </row>
        <row r="49">
          <cell r="Z49" t="str">
            <v>Ramps</v>
          </cell>
          <cell r="AA49"/>
          <cell r="AB49">
            <v>0.2</v>
          </cell>
          <cell r="AC49">
            <v>0.99997589519681684</v>
          </cell>
          <cell r="AP49"/>
          <cell r="AQ49">
            <v>1.79999995231628</v>
          </cell>
          <cell r="AR49">
            <v>6.3460902310907797E-3</v>
          </cell>
          <cell r="AS49">
            <v>5.0866100937127998E-3</v>
          </cell>
          <cell r="AT49">
            <v>4.0342002175748296E-3</v>
          </cell>
        </row>
        <row r="50">
          <cell r="Z50"/>
          <cell r="AA50"/>
          <cell r="AB50">
            <v>0.3</v>
          </cell>
          <cell r="AC50">
            <v>0.99973821471643498</v>
          </cell>
          <cell r="AP50"/>
          <cell r="AQ50">
            <v>1.8999999761581401</v>
          </cell>
          <cell r="AR50">
            <v>1.2865999713539999E-2</v>
          </cell>
          <cell r="AS50">
            <v>1.10772997140884E-2</v>
          </cell>
          <cell r="AT50">
            <v>8.7860198691487295E-3</v>
          </cell>
        </row>
        <row r="51">
          <cell r="Z51"/>
          <cell r="AA51"/>
          <cell r="AB51">
            <v>0.5</v>
          </cell>
          <cell r="AC51">
            <v>0.99474097618293567</v>
          </cell>
          <cell r="AP51"/>
          <cell r="AQ51">
            <v>2</v>
          </cell>
          <cell r="AR51">
            <v>1.9859999418258601E-2</v>
          </cell>
          <cell r="AS51">
            <v>1.7440000548958699E-2</v>
          </cell>
          <cell r="AT51">
            <v>1.36799998581409E-2</v>
          </cell>
        </row>
        <row r="52">
          <cell r="Z52"/>
          <cell r="AA52"/>
          <cell r="AB52">
            <v>0.7</v>
          </cell>
          <cell r="AC52">
            <v>0.9631399630200248</v>
          </cell>
          <cell r="AP52">
            <v>3</v>
          </cell>
          <cell r="AQ52">
            <v>0.15000000596046401</v>
          </cell>
          <cell r="AR52">
            <v>3.7135500008389499E-8</v>
          </cell>
          <cell r="AS52">
            <v>1.61786994912205E-9</v>
          </cell>
          <cell r="AT52">
            <v>5.4500202094354101E-12</v>
          </cell>
        </row>
        <row r="53">
          <cell r="Z53"/>
          <cell r="AA53"/>
          <cell r="AB53">
            <v>0.8</v>
          </cell>
          <cell r="AC53">
            <v>0.92254975673796347</v>
          </cell>
          <cell r="AP53"/>
          <cell r="AQ53">
            <v>0.30000001192092901</v>
          </cell>
          <cell r="AR53">
            <v>5.6602698350616202E-7</v>
          </cell>
          <cell r="AS53">
            <v>5.2131998273807701E-8</v>
          </cell>
          <cell r="AT53">
            <v>7.2220401881040103E-10</v>
          </cell>
        </row>
        <row r="54">
          <cell r="Z54"/>
          <cell r="AA54"/>
          <cell r="AB54">
            <v>0.9</v>
          </cell>
          <cell r="AC54">
            <v>0.85626246752641844</v>
          </cell>
          <cell r="AP54"/>
          <cell r="AQ54">
            <v>0.44999998807907099</v>
          </cell>
          <cell r="AR54">
            <v>2.7853300252900201E-6</v>
          </cell>
          <cell r="AS54">
            <v>3.9748599078848201E-7</v>
          </cell>
          <cell r="AT54">
            <v>1.25922001714684E-8</v>
          </cell>
        </row>
        <row r="55">
          <cell r="Z55"/>
          <cell r="AA55"/>
          <cell r="AB55">
            <v>1</v>
          </cell>
          <cell r="AC55">
            <v>0.76219512195121952</v>
          </cell>
          <cell r="AP55"/>
          <cell r="AQ55">
            <v>0.60000002384185702</v>
          </cell>
          <cell r="AR55">
            <v>8.6275103967636807E-6</v>
          </cell>
          <cell r="AS55">
            <v>1.6798300066511699E-6</v>
          </cell>
          <cell r="AT55">
            <v>9.5701999214270406E-8</v>
          </cell>
        </row>
        <row r="56">
          <cell r="Z56"/>
          <cell r="AA56"/>
          <cell r="AB56">
            <v>1.1000000000000001</v>
          </cell>
          <cell r="AC56">
            <v>0.64658057607853736</v>
          </cell>
          <cell r="AP56"/>
          <cell r="AQ56">
            <v>0.75</v>
          </cell>
          <cell r="AR56">
            <v>2.07367993425577E-5</v>
          </cell>
          <cell r="AS56">
            <v>5.1378801799728501E-6</v>
          </cell>
          <cell r="AT56">
            <v>4.6146300292093598E-7</v>
          </cell>
        </row>
        <row r="57">
          <cell r="Z57"/>
          <cell r="AA57"/>
          <cell r="AB57">
            <v>1.2</v>
          </cell>
          <cell r="AC57">
            <v>0.5230223025061661</v>
          </cell>
          <cell r="AP57"/>
          <cell r="AQ57">
            <v>0.89999997615814198</v>
          </cell>
          <cell r="AR57">
            <v>4.24544996349141E-5</v>
          </cell>
          <cell r="AS57">
            <v>1.2808000064978799E-5</v>
          </cell>
          <cell r="AT57">
            <v>1.6686500430296201E-6</v>
          </cell>
        </row>
        <row r="58">
          <cell r="Z58"/>
          <cell r="AA58"/>
          <cell r="AB58">
            <v>1.4</v>
          </cell>
          <cell r="AC58">
            <v>0.30688686525764458</v>
          </cell>
          <cell r="AP58"/>
          <cell r="AQ58">
            <v>1.04999995231628</v>
          </cell>
          <cell r="AR58">
            <v>7.7808203059248599E-5</v>
          </cell>
          <cell r="AS58">
            <v>2.7725900508812602E-5</v>
          </cell>
          <cell r="AT58">
            <v>4.9469699661131E-6</v>
          </cell>
        </row>
        <row r="59">
          <cell r="Z59"/>
          <cell r="AA59"/>
          <cell r="AB59">
            <v>1.6</v>
          </cell>
          <cell r="AC59">
            <v>0.16794258809305412</v>
          </cell>
          <cell r="AP59"/>
          <cell r="AQ59">
            <v>1.20000004768371</v>
          </cell>
          <cell r="AR59">
            <v>1.3150399900041499E-4</v>
          </cell>
          <cell r="AS59">
            <v>5.4128398915054202E-5</v>
          </cell>
          <cell r="AT59">
            <v>1.26819004435674E-5</v>
          </cell>
        </row>
        <row r="60">
          <cell r="Z60"/>
          <cell r="AA60"/>
          <cell r="AB60">
            <v>1.8</v>
          </cell>
          <cell r="AC60">
            <v>9.1687963712172985E-2</v>
          </cell>
          <cell r="AP60"/>
          <cell r="AQ60">
            <v>1.3500000238418499</v>
          </cell>
          <cell r="AR60">
            <v>2.08926998311653E-4</v>
          </cell>
          <cell r="AS60">
            <v>9.7657102742232301E-5</v>
          </cell>
          <cell r="AT60">
            <v>2.90943007712485E-5</v>
          </cell>
        </row>
        <row r="61">
          <cell r="Z61"/>
          <cell r="AA61"/>
          <cell r="AB61">
            <v>2</v>
          </cell>
          <cell r="AC61">
            <v>5.1513054154259788E-2</v>
          </cell>
          <cell r="AP61"/>
          <cell r="AQ61">
            <v>1.5</v>
          </cell>
          <cell r="AR61">
            <v>3.1618401408195501E-4</v>
          </cell>
          <cell r="AS61">
            <v>1.6556600166950299E-4</v>
          </cell>
          <cell r="AT61">
            <v>6.1150298279244399E-5</v>
          </cell>
        </row>
        <row r="62">
          <cell r="Z62"/>
          <cell r="AA62"/>
          <cell r="AB62">
            <v>2.5</v>
          </cell>
          <cell r="AC62">
            <v>1.4403351291415541E-2</v>
          </cell>
          <cell r="AP62"/>
          <cell r="AQ62">
            <v>1.6499999761581401</v>
          </cell>
          <cell r="AR62">
            <v>4.6033700346015302E-4</v>
          </cell>
          <cell r="AS62">
            <v>2.6697100838646201E-4</v>
          </cell>
          <cell r="AT62">
            <v>1.19734002510085E-4</v>
          </cell>
        </row>
        <row r="63">
          <cell r="Z63"/>
          <cell r="AA63"/>
          <cell r="AB63">
            <v>3</v>
          </cell>
          <cell r="AC63">
            <v>4.9747945134242929E-3</v>
          </cell>
          <cell r="AP63"/>
          <cell r="AQ63">
            <v>1.79999995231628</v>
          </cell>
          <cell r="AR63">
            <v>6.5040698973461996E-4</v>
          </cell>
          <cell r="AS63">
            <v>4.1331499232910498E-4</v>
          </cell>
          <cell r="AT63">
            <v>2.2112499573267999E-4</v>
          </cell>
        </row>
        <row r="64">
          <cell r="Z64"/>
          <cell r="AA64"/>
          <cell r="AB64">
            <v>4</v>
          </cell>
          <cell r="AC64">
            <v>9.1944759741879162E-4</v>
          </cell>
          <cell r="AP64"/>
          <cell r="AQ64">
            <v>1.95000004768371</v>
          </cell>
          <cell r="AR64">
            <v>9.0108200674876495E-4</v>
          </cell>
          <cell r="AS64">
            <v>6.1993201961740797E-4</v>
          </cell>
          <cell r="AT64">
            <v>3.8885298999957702E-4</v>
          </cell>
        </row>
        <row r="65">
          <cell r="Z65"/>
          <cell r="AA65"/>
          <cell r="AB65">
            <v>5</v>
          </cell>
          <cell r="AC65">
            <v>2.4756961372172844E-4</v>
          </cell>
          <cell r="AP65"/>
          <cell r="AQ65">
            <v>2.0999999046325599</v>
          </cell>
          <cell r="AR65">
            <v>1.2450199574232099E-3</v>
          </cell>
          <cell r="AS65">
            <v>9.12301009520888E-4</v>
          </cell>
          <cell r="AT65">
            <v>6.5638602245598999E-4</v>
          </cell>
        </row>
        <row r="66">
          <cell r="Z66"/>
          <cell r="AA66"/>
          <cell r="AB66">
            <v>6</v>
          </cell>
          <cell r="AC66">
            <v>8.4711975262117615E-5</v>
          </cell>
          <cell r="AP66"/>
          <cell r="AQ66">
            <v>2.25</v>
          </cell>
          <cell r="AR66">
            <v>1.7698999727144801E-3</v>
          </cell>
          <cell r="AS66">
            <v>1.35033996775746E-3</v>
          </cell>
          <cell r="AT66">
            <v>1.0739599820226401E-3</v>
          </cell>
        </row>
        <row r="67">
          <cell r="Z67"/>
          <cell r="AA67"/>
          <cell r="AB67">
            <v>12</v>
          </cell>
          <cell r="AC67">
            <v>1.4355605396039601E-6</v>
          </cell>
          <cell r="AP67"/>
          <cell r="AQ67">
            <v>2.4000000953674299</v>
          </cell>
          <cell r="AR67">
            <v>2.7216400485485701E-3</v>
          </cell>
          <cell r="AS67">
            <v>2.1154501009732398E-3</v>
          </cell>
          <cell r="AT67">
            <v>1.74234004225581E-3</v>
          </cell>
        </row>
        <row r="68">
          <cell r="Z68"/>
          <cell r="AA68"/>
          <cell r="AB68"/>
          <cell r="AC68"/>
          <cell r="AP68"/>
          <cell r="AQ68">
            <v>2.5499999523162802</v>
          </cell>
          <cell r="AR68">
            <v>4.77219000458717E-3</v>
          </cell>
          <cell r="AS68">
            <v>3.7981700152158698E-3</v>
          </cell>
          <cell r="AT68">
            <v>3.0110799707472298E-3</v>
          </cell>
        </row>
        <row r="69">
          <cell r="AP69"/>
          <cell r="AQ69">
            <v>2.70000004768371</v>
          </cell>
          <cell r="AR69">
            <v>9.67399962246418E-3</v>
          </cell>
          <cell r="AS69">
            <v>8.2803200930356893E-3</v>
          </cell>
          <cell r="AT69">
            <v>6.5856399014592101E-3</v>
          </cell>
        </row>
        <row r="70">
          <cell r="AP70"/>
          <cell r="AQ70">
            <v>2.8499999046325599</v>
          </cell>
          <cell r="AR70">
            <v>1.48590002208948E-2</v>
          </cell>
          <cell r="AS70">
            <v>1.29658998921513E-2</v>
          </cell>
          <cell r="AT70">
            <v>1.02306995540857E-2</v>
          </cell>
        </row>
        <row r="71">
          <cell r="AP71"/>
          <cell r="AQ71">
            <v>3</v>
          </cell>
          <cell r="AR71">
            <v>1.9859999418258601E-2</v>
          </cell>
          <cell r="AS71">
            <v>1.7440000548958699E-2</v>
          </cell>
          <cell r="AT71">
            <v>1.36799998581409E-2</v>
          </cell>
        </row>
        <row r="72">
          <cell r="AP72">
            <v>4</v>
          </cell>
          <cell r="AQ72">
            <v>0.20000000298023199</v>
          </cell>
          <cell r="AR72">
            <v>4.2178299963779798E-8</v>
          </cell>
          <cell r="AS72">
            <v>1.9484500679567402E-9</v>
          </cell>
          <cell r="AT72">
            <v>7.4387102380612999E-12</v>
          </cell>
        </row>
        <row r="73">
          <cell r="AP73"/>
          <cell r="AQ73">
            <v>0.40000000596046398</v>
          </cell>
          <cell r="AR73">
            <v>6.4289099555025999E-7</v>
          </cell>
          <cell r="AS73">
            <v>6.2783897192275604E-8</v>
          </cell>
          <cell r="AT73">
            <v>9.8573305074012296E-10</v>
          </cell>
        </row>
        <row r="74">
          <cell r="AP74"/>
          <cell r="AQ74">
            <v>0.60000002384185702</v>
          </cell>
          <cell r="AR74">
            <v>3.1635599953006001E-6</v>
          </cell>
          <cell r="AS74">
            <v>4.7870298658381195E-7</v>
          </cell>
          <cell r="AT74">
            <v>1.7187099743409801E-8</v>
          </cell>
        </row>
        <row r="75">
          <cell r="AP75"/>
          <cell r="AQ75">
            <v>0.80000001192092896</v>
          </cell>
          <cell r="AR75">
            <v>9.7990696303895607E-6</v>
          </cell>
          <cell r="AS75">
            <v>2.02306000574026E-6</v>
          </cell>
          <cell r="AT75">
            <v>1.3062299331068E-7</v>
          </cell>
        </row>
        <row r="76">
          <cell r="AP76"/>
          <cell r="AQ76">
            <v>1</v>
          </cell>
          <cell r="AR76">
            <v>2.3552700440632101E-5</v>
          </cell>
          <cell r="AS76">
            <v>6.1876799009041801E-6</v>
          </cell>
          <cell r="AT76">
            <v>6.2984901205709299E-7</v>
          </cell>
        </row>
        <row r="77">
          <cell r="AP77"/>
          <cell r="AQ77">
            <v>1.20000004768371</v>
          </cell>
          <cell r="AR77">
            <v>4.8219601012533497E-5</v>
          </cell>
          <cell r="AS77">
            <v>1.5424999219248999E-5</v>
          </cell>
          <cell r="AT77">
            <v>2.27753002945974E-6</v>
          </cell>
        </row>
        <row r="78">
          <cell r="AP78"/>
          <cell r="AQ78">
            <v>1.3999999761581401</v>
          </cell>
          <cell r="AR78">
            <v>8.8374399638269097E-5</v>
          </cell>
          <cell r="AS78">
            <v>3.3390999305993298E-5</v>
          </cell>
          <cell r="AT78">
            <v>6.7521000346459897E-6</v>
          </cell>
        </row>
        <row r="79">
          <cell r="AP79"/>
          <cell r="AQ79">
            <v>1.6000000238418499</v>
          </cell>
          <cell r="AR79">
            <v>1.4936500519979699E-4</v>
          </cell>
          <cell r="AS79">
            <v>6.5188498410861899E-5</v>
          </cell>
          <cell r="AT79">
            <v>1.73093994817463E-5</v>
          </cell>
        </row>
        <row r="80">
          <cell r="AP80"/>
          <cell r="AQ80">
            <v>1.79999995231628</v>
          </cell>
          <cell r="AR80">
            <v>2.3732800036668699E-4</v>
          </cell>
          <cell r="AS80">
            <v>1.17613999464083E-4</v>
          </cell>
          <cell r="AT80">
            <v>3.9710699638817398E-5</v>
          </cell>
        </row>
        <row r="81">
          <cell r="AP81"/>
          <cell r="AQ81">
            <v>2</v>
          </cell>
          <cell r="AR81">
            <v>3.5933399340137801E-4</v>
          </cell>
          <cell r="AS81">
            <v>1.99425005121156E-4</v>
          </cell>
          <cell r="AT81">
            <v>8.3463899500202306E-5</v>
          </cell>
        </row>
        <row r="82">
          <cell r="AP82"/>
          <cell r="AQ82">
            <v>2.20000004768371</v>
          </cell>
          <cell r="AR82">
            <v>5.2412197692319697E-4</v>
          </cell>
          <cell r="AS82">
            <v>3.2176499371416802E-4</v>
          </cell>
          <cell r="AT82">
            <v>1.6342700109817001E-4</v>
          </cell>
        </row>
        <row r="83">
          <cell r="AP83"/>
          <cell r="AQ83">
            <v>2.4000000953674299</v>
          </cell>
          <cell r="AR83">
            <v>7.4521201895549796E-4</v>
          </cell>
          <cell r="AS83">
            <v>4.9947202205657905E-4</v>
          </cell>
          <cell r="AT83">
            <v>3.0185299692675401E-4</v>
          </cell>
        </row>
        <row r="84">
          <cell r="AP84"/>
          <cell r="AQ84">
            <v>2.5999999046325599</v>
          </cell>
          <cell r="AR84">
            <v>1.05240999255329E-3</v>
          </cell>
          <cell r="AS84">
            <v>7.5676699634641398E-4</v>
          </cell>
          <cell r="AT84">
            <v>5.3127302089705998E-4</v>
          </cell>
        </row>
        <row r="85">
          <cell r="AP85"/>
          <cell r="AQ85">
            <v>2.7999999523162802</v>
          </cell>
          <cell r="AR85">
            <v>1.5298799844458699E-3</v>
          </cell>
          <cell r="AS85">
            <v>1.15178001578897E-3</v>
          </cell>
          <cell r="AT85">
            <v>9.0162898413836902E-4</v>
          </cell>
        </row>
        <row r="86">
          <cell r="AP86"/>
          <cell r="AQ86">
            <v>3</v>
          </cell>
          <cell r="AR86">
            <v>2.4309901054948499E-3</v>
          </cell>
          <cell r="AS86">
            <v>1.8734500044956799E-3</v>
          </cell>
          <cell r="AT86">
            <v>1.5185499796643799E-3</v>
          </cell>
        </row>
        <row r="87">
          <cell r="AQ87">
            <v>3.20000004768371</v>
          </cell>
          <cell r="AR87">
            <v>4.4977799989282998E-3</v>
          </cell>
          <cell r="AS87">
            <v>3.5902499221265299E-3</v>
          </cell>
          <cell r="AT87">
            <v>2.7980499435216102E-3</v>
          </cell>
        </row>
        <row r="88">
          <cell r="AQ88">
            <v>3.4000000953674299</v>
          </cell>
          <cell r="AR88">
            <v>8.5121197625994596E-3</v>
          </cell>
          <cell r="AS88">
            <v>7.2244601324200604E-3</v>
          </cell>
          <cell r="AT88">
            <v>5.6865899823605997E-3</v>
          </cell>
        </row>
        <row r="89">
          <cell r="AQ89">
            <v>3.5999999046325599</v>
          </cell>
          <cell r="AR89">
            <v>1.2545799836516301E-2</v>
          </cell>
          <cell r="AS89">
            <v>1.0862999595701601E-2</v>
          </cell>
          <cell r="AT89">
            <v>8.5518900305032695E-3</v>
          </cell>
        </row>
        <row r="90">
          <cell r="AQ90">
            <v>3.7999999523162802</v>
          </cell>
          <cell r="AR90">
            <v>1.6119599342346101E-2</v>
          </cell>
          <cell r="AS90">
            <v>1.41131002455949E-2</v>
          </cell>
          <cell r="AT90">
            <v>1.10863000154495E-2</v>
          </cell>
        </row>
        <row r="91">
          <cell r="AQ91">
            <v>4</v>
          </cell>
          <cell r="AR91">
            <v>1.9859999418258601E-2</v>
          </cell>
          <cell r="AS91">
            <v>1.7440000548958699E-2</v>
          </cell>
          <cell r="AT91">
            <v>1.36799998581409E-2</v>
          </cell>
        </row>
      </sheetData>
      <sheetData sheetId="45"/>
      <sheetData sheetId="46"/>
      <sheetData sheetId="47"/>
      <sheetData sheetId="48">
        <row r="13">
          <cell r="R13">
            <v>2</v>
          </cell>
        </row>
      </sheetData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ransportation.gov/sites/dot.gov/files/2021-02/Benefit%20Cost%20Analysis%20Guidance%202021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engineering.unl.edu/downloads/files/GHG%20FOR%20WEBSITE.docx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687DE-1C04-497C-8D0C-6B8CCAF80A1A}">
  <sheetPr codeName="Sheet1"/>
  <dimension ref="A1:O86"/>
  <sheetViews>
    <sheetView view="pageLayout" zoomScaleNormal="100" workbookViewId="0"/>
  </sheetViews>
  <sheetFormatPr defaultColWidth="8.7109375" defaultRowHeight="15" x14ac:dyDescent="0.25"/>
  <cols>
    <col min="1" max="1" width="6.140625" style="111" customWidth="1"/>
    <col min="2" max="2" width="39.140625" style="50" customWidth="1"/>
    <col min="3" max="3" width="12.42578125" style="4" bestFit="1" customWidth="1"/>
    <col min="4" max="4" width="8.140625" style="4" bestFit="1" customWidth="1"/>
    <col min="5" max="7" width="11.140625" style="4" customWidth="1"/>
    <col min="8" max="8" width="8.7109375" style="4"/>
    <col min="9" max="9" width="6" style="4" customWidth="1"/>
    <col min="10" max="10" width="10.5703125" style="4" customWidth="1"/>
    <col min="11" max="11" width="6" style="4" customWidth="1"/>
    <col min="12" max="15" width="9.140625" style="4" customWidth="1"/>
    <col min="16" max="16" width="9.42578125" style="4" bestFit="1" customWidth="1"/>
    <col min="17" max="16384" width="8.7109375" style="4"/>
  </cols>
  <sheetData>
    <row r="1" spans="1:4" x14ac:dyDescent="0.25">
      <c r="A1" s="110" t="s">
        <v>0</v>
      </c>
    </row>
    <row r="2" spans="1:4" x14ac:dyDescent="0.25">
      <c r="B2" s="7" t="s">
        <v>1</v>
      </c>
      <c r="C2" s="4" t="s">
        <v>2</v>
      </c>
    </row>
    <row r="3" spans="1:4" x14ac:dyDescent="0.25">
      <c r="B3" s="7" t="s">
        <v>3</v>
      </c>
      <c r="C3" s="4" t="s">
        <v>4</v>
      </c>
    </row>
    <row r="5" spans="1:4" x14ac:dyDescent="0.25">
      <c r="A5" s="110" t="s">
        <v>5</v>
      </c>
    </row>
    <row r="6" spans="1:4" x14ac:dyDescent="0.25">
      <c r="B6" s="7" t="s">
        <v>6</v>
      </c>
      <c r="C6" s="3">
        <v>2019</v>
      </c>
    </row>
    <row r="7" spans="1:4" x14ac:dyDescent="0.25">
      <c r="B7" s="7" t="s">
        <v>7</v>
      </c>
      <c r="C7" s="3">
        <v>2022</v>
      </c>
    </row>
    <row r="8" spans="1:4" x14ac:dyDescent="0.25">
      <c r="B8" s="7" t="s">
        <v>8</v>
      </c>
      <c r="C8" s="3">
        <v>2023</v>
      </c>
    </row>
    <row r="9" spans="1:4" x14ac:dyDescent="0.25">
      <c r="B9" s="7" t="s">
        <v>9</v>
      </c>
      <c r="C9" s="3">
        <v>5</v>
      </c>
    </row>
    <row r="10" spans="1:4" x14ac:dyDescent="0.25">
      <c r="B10" s="7" t="s">
        <v>10</v>
      </c>
      <c r="C10" s="3">
        <f>C8+C9</f>
        <v>2028</v>
      </c>
    </row>
    <row r="11" spans="1:4" x14ac:dyDescent="0.25">
      <c r="B11" s="7" t="s">
        <v>11</v>
      </c>
      <c r="C11" s="3">
        <v>25</v>
      </c>
      <c r="D11" s="4" t="s">
        <v>12</v>
      </c>
    </row>
    <row r="12" spans="1:4" x14ac:dyDescent="0.25">
      <c r="B12" s="50" t="s">
        <v>13</v>
      </c>
      <c r="C12" s="3">
        <v>365</v>
      </c>
    </row>
    <row r="13" spans="1:4" x14ac:dyDescent="0.25">
      <c r="B13" s="50" t="s">
        <v>14</v>
      </c>
      <c r="C13" s="185">
        <v>0.75</v>
      </c>
    </row>
    <row r="14" spans="1:4" x14ac:dyDescent="0.25">
      <c r="B14" s="50" t="s">
        <v>15</v>
      </c>
      <c r="C14" s="3">
        <v>2030</v>
      </c>
      <c r="D14" s="529" t="s">
        <v>691</v>
      </c>
    </row>
    <row r="16" spans="1:4" x14ac:dyDescent="0.25">
      <c r="A16" s="112" t="s">
        <v>16</v>
      </c>
    </row>
    <row r="17" spans="1:12" x14ac:dyDescent="0.25">
      <c r="B17" s="50" t="s">
        <v>17</v>
      </c>
      <c r="C17" s="3" t="s">
        <v>206</v>
      </c>
    </row>
    <row r="19" spans="1:12" x14ac:dyDescent="0.25">
      <c r="A19" s="112" t="s">
        <v>18</v>
      </c>
      <c r="C19" s="51"/>
    </row>
    <row r="20" spans="1:12" x14ac:dyDescent="0.25">
      <c r="B20" s="35"/>
      <c r="C20" s="52" t="s">
        <v>19</v>
      </c>
      <c r="D20" s="49" t="s">
        <v>20</v>
      </c>
      <c r="E20" s="49" t="s">
        <v>21</v>
      </c>
    </row>
    <row r="21" spans="1:12" x14ac:dyDescent="0.25">
      <c r="B21" s="50" t="s">
        <v>23</v>
      </c>
      <c r="C21" s="154">
        <v>17.899999999999999</v>
      </c>
      <c r="D21" s="4" t="s">
        <v>22</v>
      </c>
      <c r="E21" s="4" t="str">
        <f t="shared" ref="E21:E22" si="0">$C$17</f>
        <v>USDOT Benefit-Cost Analysis Guidance for Discretionary Grant Programs 2021</v>
      </c>
    </row>
    <row r="22" spans="1:12" ht="30" x14ac:dyDescent="0.25">
      <c r="B22" s="155" t="s">
        <v>24</v>
      </c>
      <c r="C22" s="154">
        <v>30.8</v>
      </c>
      <c r="D22" s="4" t="s">
        <v>22</v>
      </c>
      <c r="E22" s="4" t="str">
        <f t="shared" si="0"/>
        <v>USDOT Benefit-Cost Analysis Guidance for Discretionary Grant Programs 2021</v>
      </c>
    </row>
    <row r="23" spans="1:12" x14ac:dyDescent="0.25">
      <c r="B23" s="50" t="s">
        <v>25</v>
      </c>
      <c r="C23" s="3">
        <v>1.67</v>
      </c>
      <c r="E23" s="4" t="str">
        <f>$C$17&amp;". Passenger vehicles (all travel)."</f>
        <v>USDOT Benefit-Cost Analysis Guidance for Discretionary Grant Programs 2021. Passenger vehicles (all travel).</v>
      </c>
    </row>
    <row r="24" spans="1:12" x14ac:dyDescent="0.25">
      <c r="B24" s="50" t="s">
        <v>26</v>
      </c>
      <c r="C24" s="3">
        <v>1</v>
      </c>
      <c r="E24" s="4" t="str">
        <f>$C$17&amp;". Assume 1 driver per truck."</f>
        <v>USDOT Benefit-Cost Analysis Guidance for Discretionary Grant Programs 2021. Assume 1 driver per truck.</v>
      </c>
    </row>
    <row r="25" spans="1:12" x14ac:dyDescent="0.25">
      <c r="C25" s="3"/>
    </row>
    <row r="26" spans="1:12" x14ac:dyDescent="0.25">
      <c r="A26" s="112" t="s">
        <v>27</v>
      </c>
      <c r="B26" s="4"/>
    </row>
    <row r="27" spans="1:12" x14ac:dyDescent="0.25">
      <c r="A27" s="112"/>
      <c r="B27" s="4"/>
      <c r="C27" s="52" t="s">
        <v>19</v>
      </c>
      <c r="D27" s="49" t="s">
        <v>20</v>
      </c>
      <c r="E27" s="49" t="s">
        <v>21</v>
      </c>
    </row>
    <row r="28" spans="1:12" x14ac:dyDescent="0.25">
      <c r="A28" s="112"/>
      <c r="B28" s="4" t="s">
        <v>28</v>
      </c>
      <c r="C28" s="51">
        <v>8.6900000000000005E-2</v>
      </c>
      <c r="D28" s="4" t="s">
        <v>29</v>
      </c>
      <c r="E28" s="4" t="s">
        <v>30</v>
      </c>
    </row>
    <row r="29" spans="1:12" x14ac:dyDescent="0.25">
      <c r="B29" s="50" t="s">
        <v>205</v>
      </c>
      <c r="C29" s="51">
        <v>0.6</v>
      </c>
      <c r="D29" s="4" t="s">
        <v>29</v>
      </c>
      <c r="E29" s="156"/>
      <c r="F29" s="156"/>
      <c r="G29" s="156"/>
      <c r="H29" s="156"/>
      <c r="I29" s="156"/>
      <c r="J29" s="156"/>
      <c r="K29" s="156"/>
      <c r="L29" s="156"/>
    </row>
    <row r="30" spans="1:12" x14ac:dyDescent="0.25">
      <c r="B30" s="50" t="s">
        <v>31</v>
      </c>
      <c r="C30" s="3">
        <v>5.9279999999999999</v>
      </c>
      <c r="D30" s="4" t="s">
        <v>32</v>
      </c>
      <c r="E30" s="4" t="s">
        <v>690</v>
      </c>
      <c r="F30" s="156"/>
      <c r="G30" s="156"/>
      <c r="H30" s="156"/>
      <c r="I30" s="156"/>
      <c r="J30" s="156"/>
      <c r="K30" s="156"/>
      <c r="L30" s="156"/>
    </row>
    <row r="31" spans="1:12" x14ac:dyDescent="0.25">
      <c r="B31" s="50" t="s">
        <v>33</v>
      </c>
      <c r="C31" s="3">
        <v>90928</v>
      </c>
      <c r="D31" s="4" t="s">
        <v>34</v>
      </c>
      <c r="E31" s="4" t="s">
        <v>637</v>
      </c>
      <c r="F31" s="156"/>
      <c r="G31" s="156"/>
      <c r="H31" s="156"/>
      <c r="I31" s="156"/>
      <c r="J31" s="156"/>
      <c r="K31" s="156"/>
      <c r="L31" s="156"/>
    </row>
    <row r="32" spans="1:12" x14ac:dyDescent="0.25">
      <c r="B32" s="50" t="s">
        <v>35</v>
      </c>
      <c r="C32" s="3">
        <v>73351</v>
      </c>
      <c r="D32" s="4" t="s">
        <v>34</v>
      </c>
      <c r="E32" s="4" t="s">
        <v>637</v>
      </c>
      <c r="F32" s="156"/>
      <c r="G32" s="156"/>
      <c r="H32" s="156"/>
      <c r="I32" s="156"/>
      <c r="J32" s="156"/>
      <c r="K32" s="156"/>
      <c r="L32" s="156"/>
    </row>
    <row r="33" spans="1:15" x14ac:dyDescent="0.25">
      <c r="B33" s="50" t="s">
        <v>36</v>
      </c>
      <c r="C33" s="3">
        <v>166634</v>
      </c>
      <c r="D33" s="4" t="s">
        <v>34</v>
      </c>
      <c r="E33" s="4" t="s">
        <v>637</v>
      </c>
      <c r="F33" s="156"/>
      <c r="G33" s="156"/>
      <c r="H33" s="156"/>
      <c r="I33" s="156"/>
      <c r="J33" s="156"/>
      <c r="K33" s="156"/>
      <c r="L33" s="156"/>
    </row>
    <row r="34" spans="1:15" x14ac:dyDescent="0.25">
      <c r="B34" s="50" t="s">
        <v>37</v>
      </c>
      <c r="C34" s="3">
        <v>115581</v>
      </c>
      <c r="D34" s="4" t="s">
        <v>34</v>
      </c>
      <c r="E34" s="4" t="s">
        <v>637</v>
      </c>
      <c r="F34" s="156"/>
      <c r="G34" s="156"/>
      <c r="H34" s="156"/>
      <c r="I34" s="156"/>
      <c r="J34" s="156"/>
      <c r="K34" s="156"/>
      <c r="L34" s="156"/>
    </row>
    <row r="35" spans="1:15" x14ac:dyDescent="0.25">
      <c r="B35" s="50" t="s">
        <v>195</v>
      </c>
      <c r="C35" s="3">
        <v>51</v>
      </c>
      <c r="D35" s="4" t="s">
        <v>39</v>
      </c>
      <c r="E35" s="4" t="s">
        <v>636</v>
      </c>
      <c r="F35" s="156"/>
      <c r="G35" s="156"/>
      <c r="H35" s="156"/>
      <c r="I35" s="156"/>
      <c r="J35" s="156"/>
      <c r="K35" s="156"/>
      <c r="L35" s="156"/>
    </row>
    <row r="36" spans="1:15" x14ac:dyDescent="0.25">
      <c r="B36" s="50" t="s">
        <v>196</v>
      </c>
      <c r="C36" s="3">
        <v>46</v>
      </c>
      <c r="D36" s="4" t="s">
        <v>39</v>
      </c>
      <c r="E36" s="4" t="s">
        <v>636</v>
      </c>
      <c r="F36" s="156"/>
      <c r="G36" s="156"/>
      <c r="H36" s="156"/>
      <c r="I36" s="156"/>
      <c r="J36" s="156"/>
      <c r="K36" s="156"/>
      <c r="L36" s="156"/>
    </row>
    <row r="37" spans="1:15" x14ac:dyDescent="0.25">
      <c r="B37" s="50" t="s">
        <v>197</v>
      </c>
      <c r="C37" s="3">
        <v>48</v>
      </c>
      <c r="D37" s="4" t="s">
        <v>39</v>
      </c>
      <c r="E37" s="4" t="s">
        <v>636</v>
      </c>
      <c r="F37" s="156"/>
      <c r="G37" s="156"/>
      <c r="H37" s="156"/>
      <c r="I37" s="156"/>
      <c r="J37" s="156"/>
      <c r="K37" s="156"/>
      <c r="L37" s="156"/>
    </row>
    <row r="38" spans="1:15" x14ac:dyDescent="0.25">
      <c r="B38" s="50" t="s">
        <v>198</v>
      </c>
      <c r="C38" s="3">
        <v>42</v>
      </c>
      <c r="D38" s="4" t="s">
        <v>39</v>
      </c>
      <c r="E38" s="4" t="s">
        <v>636</v>
      </c>
      <c r="F38" s="156"/>
      <c r="G38" s="156"/>
      <c r="H38" s="156"/>
      <c r="I38" s="156"/>
      <c r="J38" s="156"/>
      <c r="K38" s="156"/>
      <c r="L38" s="156"/>
    </row>
    <row r="39" spans="1:15" x14ac:dyDescent="0.25">
      <c r="B39" s="50" t="s">
        <v>38</v>
      </c>
      <c r="C39" s="3">
        <v>45</v>
      </c>
      <c r="D39" s="4" t="s">
        <v>39</v>
      </c>
      <c r="E39" s="4" t="s">
        <v>636</v>
      </c>
      <c r="F39" s="156"/>
      <c r="G39" s="156"/>
      <c r="H39" s="156"/>
      <c r="I39" s="156"/>
      <c r="J39" s="156"/>
      <c r="K39" s="156"/>
      <c r="L39" s="156"/>
    </row>
    <row r="40" spans="1:15" x14ac:dyDescent="0.25">
      <c r="B40" s="50" t="s">
        <v>40</v>
      </c>
      <c r="C40" s="3">
        <v>42</v>
      </c>
      <c r="D40" s="4" t="s">
        <v>39</v>
      </c>
      <c r="E40" s="4" t="s">
        <v>636</v>
      </c>
      <c r="F40" s="156"/>
      <c r="G40" s="156"/>
      <c r="H40" s="156"/>
      <c r="I40" s="156"/>
      <c r="J40" s="156"/>
      <c r="K40" s="156"/>
      <c r="L40" s="156"/>
    </row>
    <row r="41" spans="1:15" x14ac:dyDescent="0.25">
      <c r="B41" s="50" t="s">
        <v>41</v>
      </c>
      <c r="C41" s="3">
        <v>32</v>
      </c>
      <c r="D41" s="4" t="s">
        <v>39</v>
      </c>
      <c r="E41" s="4" t="s">
        <v>636</v>
      </c>
      <c r="F41" s="156"/>
      <c r="G41" s="156"/>
      <c r="H41" s="156"/>
      <c r="I41" s="156"/>
      <c r="J41" s="156"/>
      <c r="K41" s="156"/>
      <c r="L41" s="156"/>
    </row>
    <row r="42" spans="1:15" x14ac:dyDescent="0.25">
      <c r="B42" s="50" t="s">
        <v>42</v>
      </c>
      <c r="C42" s="3">
        <v>34</v>
      </c>
      <c r="D42" s="4" t="s">
        <v>39</v>
      </c>
      <c r="E42" s="4" t="s">
        <v>636</v>
      </c>
      <c r="F42" s="156"/>
      <c r="G42" s="156"/>
      <c r="H42" s="156"/>
      <c r="I42" s="156"/>
      <c r="J42" s="156"/>
      <c r="K42" s="156"/>
      <c r="L42" s="156"/>
    </row>
    <row r="43" spans="1:15" x14ac:dyDescent="0.25">
      <c r="C43" s="51"/>
    </row>
    <row r="44" spans="1:15" x14ac:dyDescent="0.25">
      <c r="C44" s="51"/>
    </row>
    <row r="45" spans="1:15" x14ac:dyDescent="0.25">
      <c r="A45" s="112"/>
      <c r="B45" s="4"/>
      <c r="C45" s="50"/>
      <c r="E45" s="366" t="s">
        <v>43</v>
      </c>
      <c r="F45" s="367"/>
      <c r="G45" s="367"/>
      <c r="H45" s="367"/>
      <c r="J45" s="366"/>
      <c r="L45" s="366" t="s">
        <v>677</v>
      </c>
      <c r="M45" s="366"/>
      <c r="N45" s="503" t="s">
        <v>678</v>
      </c>
      <c r="O45" s="366"/>
    </row>
    <row r="46" spans="1:15" s="87" customFormat="1" ht="30" x14ac:dyDescent="0.25">
      <c r="A46" s="368"/>
      <c r="C46" s="97" t="s">
        <v>45</v>
      </c>
      <c r="D46" s="97" t="s">
        <v>46</v>
      </c>
      <c r="E46" s="97" t="s">
        <v>113</v>
      </c>
      <c r="F46" s="97" t="s">
        <v>44</v>
      </c>
      <c r="G46" s="97" t="s">
        <v>47</v>
      </c>
      <c r="H46" s="97" t="s">
        <v>48</v>
      </c>
      <c r="J46" s="369" t="s">
        <v>621</v>
      </c>
      <c r="L46" s="369" t="s">
        <v>44</v>
      </c>
      <c r="M46" s="369" t="s">
        <v>47</v>
      </c>
      <c r="N46" s="369" t="s">
        <v>44</v>
      </c>
      <c r="O46" s="369" t="s">
        <v>47</v>
      </c>
    </row>
    <row r="47" spans="1:15" x14ac:dyDescent="0.25">
      <c r="B47" s="4"/>
      <c r="C47" s="67">
        <f>C7</f>
        <v>2022</v>
      </c>
      <c r="D47" s="436">
        <v>0</v>
      </c>
      <c r="E47" s="4">
        <f t="shared" ref="E47:E82" si="1">MAX(C47-BenefitStart+1,0)</f>
        <v>0</v>
      </c>
      <c r="F47" s="159">
        <f>$C$31</f>
        <v>90928</v>
      </c>
      <c r="G47" s="159">
        <f>$C$31</f>
        <v>90928</v>
      </c>
      <c r="H47" s="159">
        <f>F47-G47</f>
        <v>0</v>
      </c>
      <c r="J47" s="374">
        <f>IF(AND(C47&gt;=BenefitStart,C47&lt;$C$14),$C$13,1)</f>
        <v>1</v>
      </c>
      <c r="L47" s="67">
        <f t="shared" ref="L47:M51" si="2">L48</f>
        <v>45</v>
      </c>
      <c r="M47" s="67">
        <f t="shared" si="2"/>
        <v>51</v>
      </c>
      <c r="N47" s="67">
        <f t="shared" ref="N47:N51" si="3">N48</f>
        <v>42</v>
      </c>
      <c r="O47" s="67">
        <f t="shared" ref="O47:O51" si="4">O48</f>
        <v>46</v>
      </c>
    </row>
    <row r="48" spans="1:15" x14ac:dyDescent="0.25">
      <c r="B48" s="4"/>
      <c r="C48" s="67">
        <f>C47+1</f>
        <v>2023</v>
      </c>
      <c r="D48" s="67">
        <v>1</v>
      </c>
      <c r="E48" s="4">
        <f t="shared" si="1"/>
        <v>0</v>
      </c>
      <c r="F48" s="159">
        <f t="shared" ref="F48:G52" si="5">$C$31</f>
        <v>90928</v>
      </c>
      <c r="G48" s="159">
        <f t="shared" si="5"/>
        <v>90928</v>
      </c>
      <c r="H48" s="159">
        <f t="shared" ref="H48:H52" si="6">F48-G48</f>
        <v>0</v>
      </c>
      <c r="J48" s="370">
        <f>J47</f>
        <v>1</v>
      </c>
      <c r="L48" s="67">
        <f t="shared" si="2"/>
        <v>45</v>
      </c>
      <c r="M48" s="67">
        <f t="shared" si="2"/>
        <v>51</v>
      </c>
      <c r="N48" s="67">
        <f t="shared" si="3"/>
        <v>42</v>
      </c>
      <c r="O48" s="67">
        <f t="shared" si="4"/>
        <v>46</v>
      </c>
    </row>
    <row r="49" spans="2:15" x14ac:dyDescent="0.25">
      <c r="B49" s="4"/>
      <c r="C49" s="67">
        <f t="shared" ref="C49:C64" si="7">C48+1</f>
        <v>2024</v>
      </c>
      <c r="D49" s="67">
        <f>D48+1</f>
        <v>2</v>
      </c>
      <c r="E49" s="4">
        <f t="shared" si="1"/>
        <v>0</v>
      </c>
      <c r="F49" s="159">
        <f t="shared" si="5"/>
        <v>90928</v>
      </c>
      <c r="G49" s="159">
        <f t="shared" si="5"/>
        <v>90928</v>
      </c>
      <c r="H49" s="159">
        <f t="shared" si="6"/>
        <v>0</v>
      </c>
      <c r="J49" s="370">
        <f t="shared" ref="J49:J52" si="8">J48</f>
        <v>1</v>
      </c>
      <c r="L49" s="67">
        <f t="shared" si="2"/>
        <v>45</v>
      </c>
      <c r="M49" s="67">
        <f t="shared" si="2"/>
        <v>51</v>
      </c>
      <c r="N49" s="67">
        <f t="shared" si="3"/>
        <v>42</v>
      </c>
      <c r="O49" s="67">
        <f t="shared" si="4"/>
        <v>46</v>
      </c>
    </row>
    <row r="50" spans="2:15" x14ac:dyDescent="0.25">
      <c r="B50" s="4"/>
      <c r="C50" s="67">
        <f t="shared" si="7"/>
        <v>2025</v>
      </c>
      <c r="D50" s="67">
        <f t="shared" ref="D50:D65" si="9">D49+1</f>
        <v>3</v>
      </c>
      <c r="E50" s="4">
        <f t="shared" si="1"/>
        <v>0</v>
      </c>
      <c r="F50" s="159">
        <f t="shared" si="5"/>
        <v>90928</v>
      </c>
      <c r="G50" s="159">
        <f t="shared" si="5"/>
        <v>90928</v>
      </c>
      <c r="H50" s="159">
        <f t="shared" si="6"/>
        <v>0</v>
      </c>
      <c r="J50" s="370">
        <f t="shared" si="8"/>
        <v>1</v>
      </c>
      <c r="L50" s="67">
        <f t="shared" si="2"/>
        <v>45</v>
      </c>
      <c r="M50" s="67">
        <f t="shared" si="2"/>
        <v>51</v>
      </c>
      <c r="N50" s="67">
        <f t="shared" si="3"/>
        <v>42</v>
      </c>
      <c r="O50" s="67">
        <f t="shared" si="4"/>
        <v>46</v>
      </c>
    </row>
    <row r="51" spans="2:15" x14ac:dyDescent="0.25">
      <c r="B51" s="4"/>
      <c r="C51" s="67">
        <f t="shared" si="7"/>
        <v>2026</v>
      </c>
      <c r="D51" s="67">
        <f t="shared" si="9"/>
        <v>4</v>
      </c>
      <c r="E51" s="4">
        <f t="shared" si="1"/>
        <v>0</v>
      </c>
      <c r="F51" s="159">
        <f t="shared" si="5"/>
        <v>90928</v>
      </c>
      <c r="G51" s="159">
        <f t="shared" si="5"/>
        <v>90928</v>
      </c>
      <c r="H51" s="159">
        <f t="shared" si="6"/>
        <v>0</v>
      </c>
      <c r="J51" s="370">
        <f t="shared" si="8"/>
        <v>1</v>
      </c>
      <c r="L51" s="67">
        <f t="shared" si="2"/>
        <v>45</v>
      </c>
      <c r="M51" s="67">
        <f t="shared" si="2"/>
        <v>51</v>
      </c>
      <c r="N51" s="67">
        <f t="shared" si="3"/>
        <v>42</v>
      </c>
      <c r="O51" s="67">
        <f t="shared" si="4"/>
        <v>46</v>
      </c>
    </row>
    <row r="52" spans="2:15" x14ac:dyDescent="0.25">
      <c r="B52" s="4"/>
      <c r="C52" s="67">
        <f t="shared" si="7"/>
        <v>2027</v>
      </c>
      <c r="D52" s="67">
        <f t="shared" si="9"/>
        <v>5</v>
      </c>
      <c r="E52" s="4">
        <f t="shared" si="1"/>
        <v>0</v>
      </c>
      <c r="F52" s="159">
        <f t="shared" si="5"/>
        <v>90928</v>
      </c>
      <c r="G52" s="159">
        <f t="shared" si="5"/>
        <v>90928</v>
      </c>
      <c r="H52" s="159">
        <f t="shared" si="6"/>
        <v>0</v>
      </c>
      <c r="J52" s="370">
        <f t="shared" si="8"/>
        <v>1</v>
      </c>
      <c r="L52" s="67">
        <f>L53</f>
        <v>45</v>
      </c>
      <c r="M52" s="67">
        <f>M53</f>
        <v>51</v>
      </c>
      <c r="N52" s="67">
        <f>N53</f>
        <v>42</v>
      </c>
      <c r="O52" s="67">
        <f>O53</f>
        <v>46</v>
      </c>
    </row>
    <row r="53" spans="2:15" x14ac:dyDescent="0.25">
      <c r="B53" s="4"/>
      <c r="C53" s="67">
        <f t="shared" si="7"/>
        <v>2028</v>
      </c>
      <c r="D53" s="67">
        <f t="shared" si="9"/>
        <v>6</v>
      </c>
      <c r="E53" s="4">
        <f t="shared" si="1"/>
        <v>1</v>
      </c>
      <c r="F53" s="309">
        <f>C31</f>
        <v>90928</v>
      </c>
      <c r="G53" s="309">
        <f>C32</f>
        <v>73351</v>
      </c>
      <c r="H53" s="186">
        <f>F53-G53</f>
        <v>17577</v>
      </c>
      <c r="J53" s="372">
        <f>IF(AND(C53&gt;=BenefitStart,C53&lt;$C$14),$C$13,1)</f>
        <v>0.75</v>
      </c>
      <c r="L53" s="311">
        <f>$C$39</f>
        <v>45</v>
      </c>
      <c r="M53" s="311">
        <f>C35</f>
        <v>51</v>
      </c>
      <c r="N53" s="311">
        <f>C40</f>
        <v>42</v>
      </c>
      <c r="O53" s="311">
        <f>C36</f>
        <v>46</v>
      </c>
    </row>
    <row r="54" spans="2:15" x14ac:dyDescent="0.25">
      <c r="B54" s="4"/>
      <c r="C54" s="67">
        <f t="shared" si="7"/>
        <v>2029</v>
      </c>
      <c r="D54" s="67">
        <f t="shared" si="9"/>
        <v>7</v>
      </c>
      <c r="E54" s="4">
        <f t="shared" si="1"/>
        <v>2</v>
      </c>
      <c r="F54" s="310">
        <f t="shared" ref="F54:F72" si="10">(($F$73-$F$53)*(C54-$C$53)/($C$73-$C$53))+$F$53</f>
        <v>94713.3</v>
      </c>
      <c r="G54" s="310">
        <f t="shared" ref="G54:G72" si="11">(($G$73-$G$53)*(C54-$C$53)/($C$73-$C$53))+$G$53</f>
        <v>75462.5</v>
      </c>
      <c r="H54" s="186">
        <f t="shared" ref="H54:H73" si="12">F54-G54</f>
        <v>19250.800000000003</v>
      </c>
      <c r="I54" s="153"/>
      <c r="J54" s="373">
        <f>AVERAGE(J53,J55)</f>
        <v>0.875</v>
      </c>
      <c r="K54" s="153"/>
      <c r="L54" s="310">
        <f>((L$73-L$53)*($C54-$C$53)/($C$73-$C$53))+L$53</f>
        <v>44.35</v>
      </c>
      <c r="M54" s="310">
        <f>((M$73-M$53)*($C54-$C$53)/($C$73-$C$53))+M$53</f>
        <v>50.85</v>
      </c>
      <c r="N54" s="310">
        <f>((N$73-N$53)*($C54-$C$53)/($C$73-$C$53))+N$53</f>
        <v>41.6</v>
      </c>
      <c r="O54" s="310">
        <f>((O$73-O$53)*($C54-$C$53)/($C$73-$C$53))+O$53</f>
        <v>45.8</v>
      </c>
    </row>
    <row r="55" spans="2:15" x14ac:dyDescent="0.25">
      <c r="B55" s="4"/>
      <c r="C55" s="67">
        <f t="shared" si="7"/>
        <v>2030</v>
      </c>
      <c r="D55" s="67">
        <f t="shared" si="9"/>
        <v>8</v>
      </c>
      <c r="E55" s="4">
        <f t="shared" si="1"/>
        <v>3</v>
      </c>
      <c r="F55" s="310">
        <f t="shared" si="10"/>
        <v>98498.6</v>
      </c>
      <c r="G55" s="310">
        <f t="shared" si="11"/>
        <v>77574</v>
      </c>
      <c r="H55" s="186">
        <f t="shared" si="12"/>
        <v>20924.600000000006</v>
      </c>
      <c r="I55" s="153"/>
      <c r="J55" s="374">
        <f>IF(AND(C55&gt;=BenefitStart,C55&lt;$C$14),$C$13,1)</f>
        <v>1</v>
      </c>
      <c r="K55" s="153"/>
      <c r="L55" s="310">
        <f t="shared" ref="L55:M72" si="13">((L$73-L$53)*($C55-$C$53)/($C$73-$C$53))+L$53</f>
        <v>43.7</v>
      </c>
      <c r="M55" s="310">
        <f t="shared" si="13"/>
        <v>50.7</v>
      </c>
      <c r="N55" s="310">
        <f t="shared" ref="N55:O72" si="14">((N$73-N$53)*($C55-$C$53)/($C$73-$C$53))+N$53</f>
        <v>41.2</v>
      </c>
      <c r="O55" s="310">
        <f t="shared" si="14"/>
        <v>45.6</v>
      </c>
    </row>
    <row r="56" spans="2:15" x14ac:dyDescent="0.25">
      <c r="B56" s="4"/>
      <c r="C56" s="67">
        <f t="shared" si="7"/>
        <v>2031</v>
      </c>
      <c r="D56" s="67">
        <f t="shared" si="9"/>
        <v>9</v>
      </c>
      <c r="E56" s="4">
        <f t="shared" si="1"/>
        <v>4</v>
      </c>
      <c r="F56" s="310">
        <f t="shared" si="10"/>
        <v>102283.9</v>
      </c>
      <c r="G56" s="310">
        <f t="shared" si="11"/>
        <v>79685.5</v>
      </c>
      <c r="H56" s="186">
        <f t="shared" si="12"/>
        <v>22598.399999999994</v>
      </c>
      <c r="I56" s="153"/>
      <c r="J56" s="370">
        <f>J55</f>
        <v>1</v>
      </c>
      <c r="K56" s="153"/>
      <c r="L56" s="310">
        <f t="shared" si="13"/>
        <v>43.05</v>
      </c>
      <c r="M56" s="310">
        <f t="shared" si="13"/>
        <v>50.55</v>
      </c>
      <c r="N56" s="310">
        <f t="shared" si="14"/>
        <v>40.799999999999997</v>
      </c>
      <c r="O56" s="310">
        <f t="shared" si="14"/>
        <v>45.4</v>
      </c>
    </row>
    <row r="57" spans="2:15" x14ac:dyDescent="0.25">
      <c r="B57" s="4"/>
      <c r="C57" s="67">
        <f t="shared" si="7"/>
        <v>2032</v>
      </c>
      <c r="D57" s="67">
        <f t="shared" si="9"/>
        <v>10</v>
      </c>
      <c r="E57" s="4">
        <f t="shared" si="1"/>
        <v>5</v>
      </c>
      <c r="F57" s="310">
        <f t="shared" si="10"/>
        <v>106069.2</v>
      </c>
      <c r="G57" s="310">
        <f t="shared" si="11"/>
        <v>81797</v>
      </c>
      <c r="H57" s="186">
        <f t="shared" si="12"/>
        <v>24272.199999999997</v>
      </c>
      <c r="I57" s="153"/>
      <c r="J57" s="370">
        <f t="shared" ref="J57:J82" si="15">J56</f>
        <v>1</v>
      </c>
      <c r="K57" s="153"/>
      <c r="L57" s="310">
        <f t="shared" si="13"/>
        <v>42.4</v>
      </c>
      <c r="M57" s="310">
        <f t="shared" si="13"/>
        <v>50.4</v>
      </c>
      <c r="N57" s="310">
        <f t="shared" si="14"/>
        <v>40.4</v>
      </c>
      <c r="O57" s="310">
        <f t="shared" si="14"/>
        <v>45.2</v>
      </c>
    </row>
    <row r="58" spans="2:15" x14ac:dyDescent="0.25">
      <c r="B58" s="4"/>
      <c r="C58" s="67">
        <f t="shared" si="7"/>
        <v>2033</v>
      </c>
      <c r="D58" s="67">
        <f t="shared" si="9"/>
        <v>11</v>
      </c>
      <c r="E58" s="4">
        <f t="shared" si="1"/>
        <v>6</v>
      </c>
      <c r="F58" s="310">
        <f t="shared" si="10"/>
        <v>109854.5</v>
      </c>
      <c r="G58" s="310">
        <f t="shared" si="11"/>
        <v>83908.5</v>
      </c>
      <c r="H58" s="186">
        <f t="shared" si="12"/>
        <v>25946</v>
      </c>
      <c r="I58" s="153"/>
      <c r="J58" s="370">
        <f t="shared" si="15"/>
        <v>1</v>
      </c>
      <c r="K58" s="153"/>
      <c r="L58" s="310">
        <f t="shared" si="13"/>
        <v>41.75</v>
      </c>
      <c r="M58" s="310">
        <f t="shared" si="13"/>
        <v>50.25</v>
      </c>
      <c r="N58" s="310">
        <f t="shared" si="14"/>
        <v>40</v>
      </c>
      <c r="O58" s="310">
        <f t="shared" si="14"/>
        <v>45</v>
      </c>
    </row>
    <row r="59" spans="2:15" x14ac:dyDescent="0.25">
      <c r="B59" s="4"/>
      <c r="C59" s="67">
        <f t="shared" si="7"/>
        <v>2034</v>
      </c>
      <c r="D59" s="67">
        <f t="shared" si="9"/>
        <v>12</v>
      </c>
      <c r="E59" s="4">
        <f t="shared" si="1"/>
        <v>7</v>
      </c>
      <c r="F59" s="310">
        <f t="shared" si="10"/>
        <v>113639.8</v>
      </c>
      <c r="G59" s="310">
        <f t="shared" si="11"/>
        <v>86020</v>
      </c>
      <c r="H59" s="186">
        <f t="shared" si="12"/>
        <v>27619.800000000003</v>
      </c>
      <c r="I59" s="153"/>
      <c r="J59" s="370">
        <f t="shared" si="15"/>
        <v>1</v>
      </c>
      <c r="K59" s="153"/>
      <c r="L59" s="310">
        <f t="shared" si="13"/>
        <v>41.1</v>
      </c>
      <c r="M59" s="310">
        <f t="shared" si="13"/>
        <v>50.1</v>
      </c>
      <c r="N59" s="310">
        <f t="shared" si="14"/>
        <v>39.6</v>
      </c>
      <c r="O59" s="310">
        <f t="shared" si="14"/>
        <v>44.8</v>
      </c>
    </row>
    <row r="60" spans="2:15" x14ac:dyDescent="0.25">
      <c r="B60" s="4"/>
      <c r="C60" s="67">
        <f t="shared" si="7"/>
        <v>2035</v>
      </c>
      <c r="D60" s="67">
        <f t="shared" si="9"/>
        <v>13</v>
      </c>
      <c r="E60" s="4">
        <f t="shared" si="1"/>
        <v>8</v>
      </c>
      <c r="F60" s="310">
        <f t="shared" si="10"/>
        <v>117425.1</v>
      </c>
      <c r="G60" s="310">
        <f t="shared" si="11"/>
        <v>88131.5</v>
      </c>
      <c r="H60" s="186">
        <f t="shared" si="12"/>
        <v>29293.600000000006</v>
      </c>
      <c r="I60" s="153"/>
      <c r="J60" s="370">
        <f t="shared" si="15"/>
        <v>1</v>
      </c>
      <c r="K60" s="153"/>
      <c r="L60" s="310">
        <f t="shared" si="13"/>
        <v>40.450000000000003</v>
      </c>
      <c r="M60" s="310">
        <f t="shared" si="13"/>
        <v>49.95</v>
      </c>
      <c r="N60" s="310">
        <f t="shared" si="14"/>
        <v>39.200000000000003</v>
      </c>
      <c r="O60" s="310">
        <f t="shared" si="14"/>
        <v>44.6</v>
      </c>
    </row>
    <row r="61" spans="2:15" x14ac:dyDescent="0.25">
      <c r="B61" s="4"/>
      <c r="C61" s="67">
        <f t="shared" si="7"/>
        <v>2036</v>
      </c>
      <c r="D61" s="67">
        <f t="shared" si="9"/>
        <v>14</v>
      </c>
      <c r="E61" s="4">
        <f t="shared" si="1"/>
        <v>9</v>
      </c>
      <c r="F61" s="310">
        <f t="shared" si="10"/>
        <v>121210.4</v>
      </c>
      <c r="G61" s="310">
        <f t="shared" si="11"/>
        <v>90243</v>
      </c>
      <c r="H61" s="186">
        <f t="shared" si="12"/>
        <v>30967.399999999994</v>
      </c>
      <c r="I61" s="153"/>
      <c r="J61" s="370">
        <f t="shared" si="15"/>
        <v>1</v>
      </c>
      <c r="K61" s="153"/>
      <c r="L61" s="310">
        <f t="shared" si="13"/>
        <v>39.799999999999997</v>
      </c>
      <c r="M61" s="310">
        <f t="shared" si="13"/>
        <v>49.8</v>
      </c>
      <c r="N61" s="310">
        <f t="shared" si="14"/>
        <v>38.799999999999997</v>
      </c>
      <c r="O61" s="310">
        <f t="shared" si="14"/>
        <v>44.4</v>
      </c>
    </row>
    <row r="62" spans="2:15" x14ac:dyDescent="0.25">
      <c r="B62" s="4"/>
      <c r="C62" s="67">
        <f t="shared" si="7"/>
        <v>2037</v>
      </c>
      <c r="D62" s="67">
        <f t="shared" si="9"/>
        <v>15</v>
      </c>
      <c r="E62" s="4">
        <f t="shared" si="1"/>
        <v>10</v>
      </c>
      <c r="F62" s="310">
        <f t="shared" si="10"/>
        <v>124995.7</v>
      </c>
      <c r="G62" s="310">
        <f t="shared" si="11"/>
        <v>92354.5</v>
      </c>
      <c r="H62" s="186">
        <f t="shared" si="12"/>
        <v>32641.199999999997</v>
      </c>
      <c r="I62" s="153"/>
      <c r="J62" s="370">
        <f t="shared" si="15"/>
        <v>1</v>
      </c>
      <c r="K62" s="153"/>
      <c r="L62" s="310">
        <f t="shared" si="13"/>
        <v>39.15</v>
      </c>
      <c r="M62" s="310">
        <f t="shared" si="13"/>
        <v>49.65</v>
      </c>
      <c r="N62" s="310">
        <f t="shared" si="14"/>
        <v>38.4</v>
      </c>
      <c r="O62" s="310">
        <f t="shared" si="14"/>
        <v>44.2</v>
      </c>
    </row>
    <row r="63" spans="2:15" x14ac:dyDescent="0.25">
      <c r="B63" s="4"/>
      <c r="C63" s="67">
        <f t="shared" si="7"/>
        <v>2038</v>
      </c>
      <c r="D63" s="67">
        <f t="shared" si="9"/>
        <v>16</v>
      </c>
      <c r="E63" s="4">
        <f t="shared" si="1"/>
        <v>11</v>
      </c>
      <c r="F63" s="310">
        <f t="shared" si="10"/>
        <v>128781</v>
      </c>
      <c r="G63" s="310">
        <f t="shared" si="11"/>
        <v>94466</v>
      </c>
      <c r="H63" s="186">
        <f t="shared" si="12"/>
        <v>34315</v>
      </c>
      <c r="I63" s="153"/>
      <c r="J63" s="370">
        <f t="shared" si="15"/>
        <v>1</v>
      </c>
      <c r="K63" s="153"/>
      <c r="L63" s="310">
        <f t="shared" si="13"/>
        <v>38.5</v>
      </c>
      <c r="M63" s="310">
        <f t="shared" si="13"/>
        <v>49.5</v>
      </c>
      <c r="N63" s="310">
        <f t="shared" si="14"/>
        <v>38</v>
      </c>
      <c r="O63" s="310">
        <f t="shared" si="14"/>
        <v>44</v>
      </c>
    </row>
    <row r="64" spans="2:15" x14ac:dyDescent="0.25">
      <c r="B64" s="4"/>
      <c r="C64" s="67">
        <f t="shared" si="7"/>
        <v>2039</v>
      </c>
      <c r="D64" s="67">
        <f t="shared" si="9"/>
        <v>17</v>
      </c>
      <c r="E64" s="4">
        <f t="shared" si="1"/>
        <v>12</v>
      </c>
      <c r="F64" s="310">
        <f t="shared" si="10"/>
        <v>132566.29999999999</v>
      </c>
      <c r="G64" s="310">
        <f t="shared" si="11"/>
        <v>96577.5</v>
      </c>
      <c r="H64" s="186">
        <f t="shared" si="12"/>
        <v>35988.799999999988</v>
      </c>
      <c r="I64" s="153"/>
      <c r="J64" s="370">
        <f t="shared" si="15"/>
        <v>1</v>
      </c>
      <c r="K64" s="153"/>
      <c r="L64" s="310">
        <f t="shared" si="13"/>
        <v>37.85</v>
      </c>
      <c r="M64" s="310">
        <f t="shared" si="13"/>
        <v>49.35</v>
      </c>
      <c r="N64" s="310">
        <f t="shared" si="14"/>
        <v>37.6</v>
      </c>
      <c r="O64" s="310">
        <f t="shared" si="14"/>
        <v>43.8</v>
      </c>
    </row>
    <row r="65" spans="2:15" x14ac:dyDescent="0.25">
      <c r="B65" s="4"/>
      <c r="C65" s="67">
        <f t="shared" ref="C65:C73" si="16">C64+1</f>
        <v>2040</v>
      </c>
      <c r="D65" s="67">
        <f t="shared" si="9"/>
        <v>18</v>
      </c>
      <c r="E65" s="4">
        <f t="shared" si="1"/>
        <v>13</v>
      </c>
      <c r="F65" s="310">
        <f t="shared" si="10"/>
        <v>136351.6</v>
      </c>
      <c r="G65" s="310">
        <f t="shared" si="11"/>
        <v>98689</v>
      </c>
      <c r="H65" s="186">
        <f t="shared" si="12"/>
        <v>37662.600000000006</v>
      </c>
      <c r="I65" s="153"/>
      <c r="J65" s="370">
        <f t="shared" si="15"/>
        <v>1</v>
      </c>
      <c r="K65" s="153"/>
      <c r="L65" s="310">
        <f t="shared" si="13"/>
        <v>37.200000000000003</v>
      </c>
      <c r="M65" s="310">
        <f t="shared" si="13"/>
        <v>49.2</v>
      </c>
      <c r="N65" s="310">
        <f t="shared" si="14"/>
        <v>37.200000000000003</v>
      </c>
      <c r="O65" s="310">
        <f t="shared" si="14"/>
        <v>43.6</v>
      </c>
    </row>
    <row r="66" spans="2:15" x14ac:dyDescent="0.25">
      <c r="B66" s="4"/>
      <c r="C66" s="67">
        <f t="shared" si="16"/>
        <v>2041</v>
      </c>
      <c r="D66" s="67">
        <f t="shared" ref="D66:D74" si="17">D65+1</f>
        <v>19</v>
      </c>
      <c r="E66" s="4">
        <f t="shared" si="1"/>
        <v>14</v>
      </c>
      <c r="F66" s="310">
        <f t="shared" si="10"/>
        <v>140136.9</v>
      </c>
      <c r="G66" s="310">
        <f t="shared" si="11"/>
        <v>100800.5</v>
      </c>
      <c r="H66" s="186">
        <f t="shared" si="12"/>
        <v>39336.399999999994</v>
      </c>
      <c r="I66" s="153"/>
      <c r="J66" s="370">
        <f t="shared" si="15"/>
        <v>1</v>
      </c>
      <c r="K66" s="153"/>
      <c r="L66" s="310">
        <f t="shared" si="13"/>
        <v>36.549999999999997</v>
      </c>
      <c r="M66" s="310">
        <f t="shared" si="13"/>
        <v>49.05</v>
      </c>
      <c r="N66" s="310">
        <f t="shared" si="14"/>
        <v>36.799999999999997</v>
      </c>
      <c r="O66" s="310">
        <f t="shared" si="14"/>
        <v>43.4</v>
      </c>
    </row>
    <row r="67" spans="2:15" x14ac:dyDescent="0.25">
      <c r="B67" s="4"/>
      <c r="C67" s="67">
        <f t="shared" si="16"/>
        <v>2042</v>
      </c>
      <c r="D67" s="67">
        <f t="shared" si="17"/>
        <v>20</v>
      </c>
      <c r="E67" s="4">
        <f t="shared" si="1"/>
        <v>15</v>
      </c>
      <c r="F67" s="310">
        <f t="shared" si="10"/>
        <v>143922.20000000001</v>
      </c>
      <c r="G67" s="310">
        <f t="shared" si="11"/>
        <v>102912</v>
      </c>
      <c r="H67" s="186">
        <f t="shared" si="12"/>
        <v>41010.200000000012</v>
      </c>
      <c r="I67" s="153"/>
      <c r="J67" s="370">
        <f t="shared" si="15"/>
        <v>1</v>
      </c>
      <c r="K67" s="153"/>
      <c r="L67" s="310">
        <f t="shared" si="13"/>
        <v>35.9</v>
      </c>
      <c r="M67" s="310">
        <f t="shared" si="13"/>
        <v>48.9</v>
      </c>
      <c r="N67" s="310">
        <f t="shared" si="14"/>
        <v>36.4</v>
      </c>
      <c r="O67" s="310">
        <f t="shared" si="14"/>
        <v>43.2</v>
      </c>
    </row>
    <row r="68" spans="2:15" x14ac:dyDescent="0.25">
      <c r="B68" s="4"/>
      <c r="C68" s="67">
        <f t="shared" si="16"/>
        <v>2043</v>
      </c>
      <c r="D68" s="67">
        <f t="shared" si="17"/>
        <v>21</v>
      </c>
      <c r="E68" s="4">
        <f t="shared" si="1"/>
        <v>16</v>
      </c>
      <c r="F68" s="310">
        <f t="shared" si="10"/>
        <v>147707.5</v>
      </c>
      <c r="G68" s="310">
        <f t="shared" si="11"/>
        <v>105023.5</v>
      </c>
      <c r="H68" s="186">
        <f t="shared" si="12"/>
        <v>42684</v>
      </c>
      <c r="I68" s="153"/>
      <c r="J68" s="370">
        <f t="shared" si="15"/>
        <v>1</v>
      </c>
      <c r="K68" s="153"/>
      <c r="L68" s="310">
        <f t="shared" si="13"/>
        <v>35.25</v>
      </c>
      <c r="M68" s="310">
        <f t="shared" si="13"/>
        <v>48.75</v>
      </c>
      <c r="N68" s="310">
        <f t="shared" si="14"/>
        <v>36</v>
      </c>
      <c r="O68" s="310">
        <f t="shared" si="14"/>
        <v>43</v>
      </c>
    </row>
    <row r="69" spans="2:15" x14ac:dyDescent="0.25">
      <c r="B69" s="4"/>
      <c r="C69" s="67">
        <f t="shared" si="16"/>
        <v>2044</v>
      </c>
      <c r="D69" s="67">
        <f t="shared" si="17"/>
        <v>22</v>
      </c>
      <c r="E69" s="4">
        <f t="shared" si="1"/>
        <v>17</v>
      </c>
      <c r="F69" s="310">
        <f t="shared" si="10"/>
        <v>151492.79999999999</v>
      </c>
      <c r="G69" s="310">
        <f t="shared" si="11"/>
        <v>107135</v>
      </c>
      <c r="H69" s="186">
        <f t="shared" si="12"/>
        <v>44357.799999999988</v>
      </c>
      <c r="I69" s="153"/>
      <c r="J69" s="370">
        <f t="shared" si="15"/>
        <v>1</v>
      </c>
      <c r="K69" s="153"/>
      <c r="L69" s="310">
        <f t="shared" si="13"/>
        <v>34.6</v>
      </c>
      <c r="M69" s="310">
        <f t="shared" si="13"/>
        <v>48.6</v>
      </c>
      <c r="N69" s="310">
        <f t="shared" si="14"/>
        <v>35.6</v>
      </c>
      <c r="O69" s="310">
        <f t="shared" si="14"/>
        <v>42.8</v>
      </c>
    </row>
    <row r="70" spans="2:15" x14ac:dyDescent="0.25">
      <c r="B70" s="4"/>
      <c r="C70" s="67">
        <f t="shared" si="16"/>
        <v>2045</v>
      </c>
      <c r="D70" s="67">
        <f t="shared" si="17"/>
        <v>23</v>
      </c>
      <c r="E70" s="4">
        <f t="shared" si="1"/>
        <v>18</v>
      </c>
      <c r="F70" s="310">
        <f t="shared" si="10"/>
        <v>155278.1</v>
      </c>
      <c r="G70" s="310">
        <f t="shared" si="11"/>
        <v>109246.5</v>
      </c>
      <c r="H70" s="186">
        <f t="shared" si="12"/>
        <v>46031.600000000006</v>
      </c>
      <c r="I70" s="153"/>
      <c r="J70" s="370">
        <f t="shared" si="15"/>
        <v>1</v>
      </c>
      <c r="K70" s="153"/>
      <c r="L70" s="310">
        <f t="shared" si="13"/>
        <v>33.950000000000003</v>
      </c>
      <c r="M70" s="310">
        <f t="shared" si="13"/>
        <v>48.45</v>
      </c>
      <c r="N70" s="310">
        <f t="shared" si="14"/>
        <v>35.200000000000003</v>
      </c>
      <c r="O70" s="310">
        <f t="shared" si="14"/>
        <v>42.6</v>
      </c>
    </row>
    <row r="71" spans="2:15" x14ac:dyDescent="0.25">
      <c r="B71" s="4"/>
      <c r="C71" s="67">
        <f t="shared" si="16"/>
        <v>2046</v>
      </c>
      <c r="D71" s="67">
        <f t="shared" si="17"/>
        <v>24</v>
      </c>
      <c r="E71" s="4">
        <f t="shared" si="1"/>
        <v>19</v>
      </c>
      <c r="F71" s="310">
        <f t="shared" si="10"/>
        <v>159063.4</v>
      </c>
      <c r="G71" s="310">
        <f t="shared" si="11"/>
        <v>111358</v>
      </c>
      <c r="H71" s="186">
        <f t="shared" si="12"/>
        <v>47705.399999999994</v>
      </c>
      <c r="I71" s="153"/>
      <c r="J71" s="370">
        <f t="shared" si="15"/>
        <v>1</v>
      </c>
      <c r="K71" s="153"/>
      <c r="L71" s="310">
        <f t="shared" si="13"/>
        <v>33.299999999999997</v>
      </c>
      <c r="M71" s="310">
        <f t="shared" si="13"/>
        <v>48.3</v>
      </c>
      <c r="N71" s="310">
        <f t="shared" si="14"/>
        <v>34.799999999999997</v>
      </c>
      <c r="O71" s="310">
        <f t="shared" si="14"/>
        <v>42.4</v>
      </c>
    </row>
    <row r="72" spans="2:15" x14ac:dyDescent="0.25">
      <c r="B72" s="4"/>
      <c r="C72" s="67">
        <f t="shared" si="16"/>
        <v>2047</v>
      </c>
      <c r="D72" s="67">
        <f t="shared" si="17"/>
        <v>25</v>
      </c>
      <c r="E72" s="4">
        <f t="shared" si="1"/>
        <v>20</v>
      </c>
      <c r="F72" s="310">
        <f t="shared" si="10"/>
        <v>162848.70000000001</v>
      </c>
      <c r="G72" s="310">
        <f t="shared" si="11"/>
        <v>113469.5</v>
      </c>
      <c r="H72" s="186">
        <f t="shared" si="12"/>
        <v>49379.200000000012</v>
      </c>
      <c r="I72" s="153"/>
      <c r="J72" s="370">
        <f t="shared" si="15"/>
        <v>1</v>
      </c>
      <c r="K72" s="153"/>
      <c r="L72" s="310">
        <f t="shared" si="13"/>
        <v>32.65</v>
      </c>
      <c r="M72" s="310">
        <f t="shared" si="13"/>
        <v>48.15</v>
      </c>
      <c r="N72" s="310">
        <f t="shared" si="14"/>
        <v>34.4</v>
      </c>
      <c r="O72" s="310">
        <f t="shared" si="14"/>
        <v>42.2</v>
      </c>
    </row>
    <row r="73" spans="2:15" x14ac:dyDescent="0.25">
      <c r="B73" s="4"/>
      <c r="C73" s="67">
        <f t="shared" si="16"/>
        <v>2048</v>
      </c>
      <c r="D73" s="67">
        <f t="shared" si="17"/>
        <v>26</v>
      </c>
      <c r="E73" s="4">
        <f t="shared" si="1"/>
        <v>21</v>
      </c>
      <c r="F73" s="309">
        <f>C33</f>
        <v>166634</v>
      </c>
      <c r="G73" s="309">
        <f>C34</f>
        <v>115581</v>
      </c>
      <c r="H73" s="186">
        <f t="shared" si="12"/>
        <v>51053</v>
      </c>
      <c r="I73" s="153"/>
      <c r="J73" s="370">
        <f t="shared" si="15"/>
        <v>1</v>
      </c>
      <c r="K73" s="153"/>
      <c r="L73" s="311">
        <f>C41</f>
        <v>32</v>
      </c>
      <c r="M73" s="311">
        <f>C37</f>
        <v>48</v>
      </c>
      <c r="N73" s="311">
        <f>C42</f>
        <v>34</v>
      </c>
      <c r="O73" s="311">
        <f>C38</f>
        <v>42</v>
      </c>
    </row>
    <row r="74" spans="2:15" x14ac:dyDescent="0.25">
      <c r="B74" s="4"/>
      <c r="C74" s="67">
        <f>C73+1</f>
        <v>2049</v>
      </c>
      <c r="D74" s="67">
        <f t="shared" si="17"/>
        <v>27</v>
      </c>
      <c r="E74" s="4">
        <f t="shared" si="1"/>
        <v>22</v>
      </c>
      <c r="F74" s="186">
        <f>F73</f>
        <v>166634</v>
      </c>
      <c r="G74" s="186">
        <f>G73</f>
        <v>115581</v>
      </c>
      <c r="H74" s="186">
        <f>H73</f>
        <v>51053</v>
      </c>
      <c r="J74" s="370">
        <f t="shared" si="15"/>
        <v>1</v>
      </c>
      <c r="L74" s="67">
        <f>L73</f>
        <v>32</v>
      </c>
      <c r="M74" s="67">
        <f>M73</f>
        <v>48</v>
      </c>
      <c r="N74" s="67">
        <f>N73</f>
        <v>34</v>
      </c>
      <c r="O74" s="67">
        <f>O73</f>
        <v>42</v>
      </c>
    </row>
    <row r="75" spans="2:15" x14ac:dyDescent="0.25">
      <c r="B75" s="4"/>
      <c r="C75" s="67">
        <f t="shared" ref="C75:C82" si="18">C74+1</f>
        <v>2050</v>
      </c>
      <c r="D75" s="67">
        <f>D74+1</f>
        <v>28</v>
      </c>
      <c r="E75" s="4">
        <f t="shared" si="1"/>
        <v>23</v>
      </c>
      <c r="F75" s="186">
        <f>F73</f>
        <v>166634</v>
      </c>
      <c r="G75" s="186">
        <f>G73</f>
        <v>115581</v>
      </c>
      <c r="H75" s="186">
        <f>H73</f>
        <v>51053</v>
      </c>
      <c r="J75" s="370">
        <f t="shared" si="15"/>
        <v>1</v>
      </c>
      <c r="L75" s="67">
        <f t="shared" ref="L75:M82" si="19">L74</f>
        <v>32</v>
      </c>
      <c r="M75" s="67">
        <f t="shared" si="19"/>
        <v>48</v>
      </c>
      <c r="N75" s="67">
        <f t="shared" ref="N75:N82" si="20">N74</f>
        <v>34</v>
      </c>
      <c r="O75" s="67">
        <f t="shared" ref="O75:O82" si="21">O74</f>
        <v>42</v>
      </c>
    </row>
    <row r="76" spans="2:15" x14ac:dyDescent="0.25">
      <c r="B76" s="4"/>
      <c r="C76" s="67">
        <f t="shared" si="18"/>
        <v>2051</v>
      </c>
      <c r="D76" s="67">
        <f t="shared" ref="D76:D82" si="22">D75+1</f>
        <v>29</v>
      </c>
      <c r="E76" s="4">
        <f t="shared" si="1"/>
        <v>24</v>
      </c>
      <c r="F76" s="186">
        <f>F73</f>
        <v>166634</v>
      </c>
      <c r="G76" s="186">
        <f>G73</f>
        <v>115581</v>
      </c>
      <c r="H76" s="186">
        <f>H73</f>
        <v>51053</v>
      </c>
      <c r="J76" s="370">
        <f t="shared" si="15"/>
        <v>1</v>
      </c>
      <c r="L76" s="67">
        <f t="shared" si="19"/>
        <v>32</v>
      </c>
      <c r="M76" s="67">
        <f t="shared" si="19"/>
        <v>48</v>
      </c>
      <c r="N76" s="67">
        <f t="shared" si="20"/>
        <v>34</v>
      </c>
      <c r="O76" s="67">
        <f t="shared" si="21"/>
        <v>42</v>
      </c>
    </row>
    <row r="77" spans="2:15" x14ac:dyDescent="0.25">
      <c r="B77" s="4"/>
      <c r="C77" s="67">
        <f t="shared" si="18"/>
        <v>2052</v>
      </c>
      <c r="D77" s="67">
        <f t="shared" si="22"/>
        <v>30</v>
      </c>
      <c r="E77" s="4">
        <f t="shared" si="1"/>
        <v>25</v>
      </c>
      <c r="F77" s="186">
        <f>F73</f>
        <v>166634</v>
      </c>
      <c r="G77" s="186">
        <f>G73</f>
        <v>115581</v>
      </c>
      <c r="H77" s="186">
        <f>H73</f>
        <v>51053</v>
      </c>
      <c r="J77" s="370">
        <f t="shared" si="15"/>
        <v>1</v>
      </c>
      <c r="L77" s="67">
        <f t="shared" si="19"/>
        <v>32</v>
      </c>
      <c r="M77" s="67">
        <f t="shared" si="19"/>
        <v>48</v>
      </c>
      <c r="N77" s="67">
        <f t="shared" si="20"/>
        <v>34</v>
      </c>
      <c r="O77" s="67">
        <f t="shared" si="21"/>
        <v>42</v>
      </c>
    </row>
    <row r="78" spans="2:15" x14ac:dyDescent="0.25">
      <c r="B78" s="4"/>
      <c r="C78" s="67">
        <f t="shared" si="18"/>
        <v>2053</v>
      </c>
      <c r="D78" s="67">
        <f t="shared" si="22"/>
        <v>31</v>
      </c>
      <c r="E78" s="4">
        <f t="shared" si="1"/>
        <v>26</v>
      </c>
      <c r="F78" s="186">
        <f>F73</f>
        <v>166634</v>
      </c>
      <c r="G78" s="186">
        <f>G73</f>
        <v>115581</v>
      </c>
      <c r="H78" s="186">
        <f>H73</f>
        <v>51053</v>
      </c>
      <c r="J78" s="370">
        <f t="shared" si="15"/>
        <v>1</v>
      </c>
      <c r="L78" s="67">
        <f t="shared" si="19"/>
        <v>32</v>
      </c>
      <c r="M78" s="67">
        <f t="shared" si="19"/>
        <v>48</v>
      </c>
      <c r="N78" s="67">
        <f t="shared" si="20"/>
        <v>34</v>
      </c>
      <c r="O78" s="67">
        <f t="shared" si="21"/>
        <v>42</v>
      </c>
    </row>
    <row r="79" spans="2:15" x14ac:dyDescent="0.25">
      <c r="C79" s="67">
        <f t="shared" si="18"/>
        <v>2054</v>
      </c>
      <c r="D79" s="67">
        <f t="shared" si="22"/>
        <v>32</v>
      </c>
      <c r="E79" s="4">
        <f t="shared" si="1"/>
        <v>27</v>
      </c>
      <c r="F79" s="186">
        <f t="shared" ref="F79:H79" si="23">F74</f>
        <v>166634</v>
      </c>
      <c r="G79" s="186">
        <f t="shared" si="23"/>
        <v>115581</v>
      </c>
      <c r="H79" s="186">
        <f t="shared" si="23"/>
        <v>51053</v>
      </c>
      <c r="J79" s="370">
        <f t="shared" si="15"/>
        <v>1</v>
      </c>
      <c r="L79" s="67">
        <f t="shared" si="19"/>
        <v>32</v>
      </c>
      <c r="M79" s="67">
        <f t="shared" si="19"/>
        <v>48</v>
      </c>
      <c r="N79" s="67">
        <f t="shared" si="20"/>
        <v>34</v>
      </c>
      <c r="O79" s="67">
        <f t="shared" si="21"/>
        <v>42</v>
      </c>
    </row>
    <row r="80" spans="2:15" x14ac:dyDescent="0.25">
      <c r="B80" s="4"/>
      <c r="C80" s="67">
        <f t="shared" si="18"/>
        <v>2055</v>
      </c>
      <c r="D80" s="67">
        <f t="shared" si="22"/>
        <v>33</v>
      </c>
      <c r="E80" s="4">
        <f t="shared" si="1"/>
        <v>28</v>
      </c>
      <c r="F80" s="186">
        <f t="shared" ref="F80:H80" si="24">F75</f>
        <v>166634</v>
      </c>
      <c r="G80" s="186">
        <f t="shared" si="24"/>
        <v>115581</v>
      </c>
      <c r="H80" s="186">
        <f t="shared" si="24"/>
        <v>51053</v>
      </c>
      <c r="J80" s="370">
        <f t="shared" si="15"/>
        <v>1</v>
      </c>
      <c r="L80" s="67">
        <f t="shared" si="19"/>
        <v>32</v>
      </c>
      <c r="M80" s="67">
        <f t="shared" si="19"/>
        <v>48</v>
      </c>
      <c r="N80" s="67">
        <f t="shared" si="20"/>
        <v>34</v>
      </c>
      <c r="O80" s="67">
        <f t="shared" si="21"/>
        <v>42</v>
      </c>
    </row>
    <row r="81" spans="2:15" x14ac:dyDescent="0.25">
      <c r="C81" s="67">
        <f t="shared" si="18"/>
        <v>2056</v>
      </c>
      <c r="D81" s="67">
        <f t="shared" si="22"/>
        <v>34</v>
      </c>
      <c r="E81" s="4">
        <f t="shared" si="1"/>
        <v>29</v>
      </c>
      <c r="F81" s="186">
        <f t="shared" ref="F81:H81" si="25">F76</f>
        <v>166634</v>
      </c>
      <c r="G81" s="186">
        <f t="shared" si="25"/>
        <v>115581</v>
      </c>
      <c r="H81" s="186">
        <f t="shared" si="25"/>
        <v>51053</v>
      </c>
      <c r="J81" s="370">
        <f t="shared" si="15"/>
        <v>1</v>
      </c>
      <c r="L81" s="67">
        <f t="shared" si="19"/>
        <v>32</v>
      </c>
      <c r="M81" s="67">
        <f t="shared" si="19"/>
        <v>48</v>
      </c>
      <c r="N81" s="67">
        <f t="shared" si="20"/>
        <v>34</v>
      </c>
      <c r="O81" s="67">
        <f t="shared" si="21"/>
        <v>42</v>
      </c>
    </row>
    <row r="82" spans="2:15" x14ac:dyDescent="0.25">
      <c r="C82" s="67">
        <f t="shared" si="18"/>
        <v>2057</v>
      </c>
      <c r="D82" s="67">
        <f t="shared" si="22"/>
        <v>35</v>
      </c>
      <c r="E82" s="4">
        <f t="shared" si="1"/>
        <v>30</v>
      </c>
      <c r="F82" s="186">
        <f t="shared" ref="F82:H82" si="26">F77</f>
        <v>166634</v>
      </c>
      <c r="G82" s="186">
        <f t="shared" si="26"/>
        <v>115581</v>
      </c>
      <c r="H82" s="186">
        <f t="shared" si="26"/>
        <v>51053</v>
      </c>
      <c r="J82" s="370">
        <f t="shared" si="15"/>
        <v>1</v>
      </c>
      <c r="L82" s="67">
        <f t="shared" si="19"/>
        <v>32</v>
      </c>
      <c r="M82" s="67">
        <f t="shared" si="19"/>
        <v>48</v>
      </c>
      <c r="N82" s="67">
        <f t="shared" si="20"/>
        <v>34</v>
      </c>
      <c r="O82" s="67">
        <f t="shared" si="21"/>
        <v>42</v>
      </c>
    </row>
    <row r="86" spans="2:15" x14ac:dyDescent="0.25">
      <c r="B86" s="4"/>
    </row>
  </sheetData>
  <phoneticPr fontId="51" type="noConversion"/>
  <hyperlinks>
    <hyperlink ref="C17" r:id="rId1" xr:uid="{76653815-70B8-4A18-B076-4582B585D562}"/>
  </hyperlinks>
  <pageMargins left="0.7" right="0.7" top="0.75" bottom="0.75" header="0.3" footer="0.3"/>
  <pageSetup scale="68" fitToWidth="0" fitToHeight="2" orientation="landscape" horizontalDpi="300" r:id="rId2"/>
  <headerFooter>
    <oddHeader>&amp;L&amp;"Arial,Bold"FDOT INFRA Grant for I-95&amp;R&amp;"Arial,Bold"&amp;A</oddHeader>
    <oddFooter>&amp;CPage A-&amp;P</oddFooter>
  </headerFooter>
  <rowBreaks count="1" manualBreakCount="1">
    <brk id="4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FCA3E-14C2-444B-87BE-49F57389257C}">
  <sheetPr codeName="Sheet2"/>
  <dimension ref="A1:E15"/>
  <sheetViews>
    <sheetView view="pageLayout" zoomScaleNormal="100" workbookViewId="0">
      <selection activeCell="C13" sqref="C13:E15"/>
    </sheetView>
  </sheetViews>
  <sheetFormatPr defaultRowHeight="12.75" outlineLevelCol="1" x14ac:dyDescent="0.2"/>
  <cols>
    <col min="1" max="1" width="16.28515625" style="1" customWidth="1"/>
    <col min="2" max="2" width="25.140625" style="121" customWidth="1"/>
    <col min="3" max="3" width="12.5703125" style="1" customWidth="1"/>
    <col min="4" max="4" width="12.5703125" style="1" hidden="1" customWidth="1" outlineLevel="1"/>
    <col min="5" max="5" width="12.5703125" style="1" customWidth="1" collapsed="1"/>
  </cols>
  <sheetData>
    <row r="1" spans="1:5" ht="45" customHeight="1" x14ac:dyDescent="0.2">
      <c r="A1" s="120" t="s">
        <v>49</v>
      </c>
      <c r="B1" s="120" t="s">
        <v>50</v>
      </c>
      <c r="C1" s="120" t="s">
        <v>51</v>
      </c>
      <c r="D1" s="120" t="s">
        <v>52</v>
      </c>
      <c r="E1" s="120" t="s">
        <v>53</v>
      </c>
    </row>
    <row r="2" spans="1:5" ht="14.1" customHeight="1" x14ac:dyDescent="0.2">
      <c r="A2" s="122" t="s">
        <v>54</v>
      </c>
      <c r="B2" s="123"/>
      <c r="C2" s="123"/>
      <c r="D2" s="123"/>
      <c r="E2" s="123"/>
    </row>
    <row r="3" spans="1:5" ht="30" customHeight="1" x14ac:dyDescent="0.2">
      <c r="A3" s="124" t="s">
        <v>55</v>
      </c>
      <c r="B3" s="124" t="s">
        <v>56</v>
      </c>
      <c r="C3" s="125">
        <f>'H - Travel Time'!T47</f>
        <v>33106940.428422697</v>
      </c>
      <c r="D3" s="125">
        <f>'H - Travel Time'!U47</f>
        <v>18423375.130876176</v>
      </c>
      <c r="E3" s="125">
        <f>'H - Travel Time'!V47</f>
        <v>9005022.7821115032</v>
      </c>
    </row>
    <row r="4" spans="1:5" ht="36.75" customHeight="1" x14ac:dyDescent="0.2">
      <c r="A4" s="124" t="s">
        <v>672</v>
      </c>
      <c r="B4" s="124" t="s">
        <v>674</v>
      </c>
      <c r="C4" s="125">
        <f>'K - Economic Output'!G48</f>
        <v>204511661.95948946</v>
      </c>
      <c r="D4" s="125">
        <f>'K - Economic Output'!H48</f>
        <v>170481774.01706609</v>
      </c>
      <c r="E4" s="125">
        <f>'K - Economic Output'!I48</f>
        <v>135103887.90150991</v>
      </c>
    </row>
    <row r="5" spans="1:5" ht="14.1" customHeight="1" x14ac:dyDescent="0.2">
      <c r="A5" s="126" t="s">
        <v>57</v>
      </c>
      <c r="B5" s="127"/>
      <c r="C5" s="128"/>
      <c r="D5" s="128"/>
      <c r="E5" s="128"/>
    </row>
    <row r="6" spans="1:5" ht="30" customHeight="1" x14ac:dyDescent="0.2">
      <c r="A6" s="124" t="s">
        <v>58</v>
      </c>
      <c r="B6" s="124" t="s">
        <v>59</v>
      </c>
      <c r="C6" s="125">
        <f>'G - Safety'!AK59</f>
        <v>307402025.39999974</v>
      </c>
      <c r="D6" s="125">
        <f>'G - Safety'!AL59</f>
        <v>180512863.8628706</v>
      </c>
      <c r="E6" s="125">
        <f>'G - Safety'!AM59</f>
        <v>94769166.299157843</v>
      </c>
    </row>
    <row r="7" spans="1:5" ht="14.1" customHeight="1" x14ac:dyDescent="0.2">
      <c r="A7" s="126" t="s">
        <v>60</v>
      </c>
      <c r="B7" s="127"/>
      <c r="C7" s="128"/>
      <c r="D7" s="128"/>
      <c r="E7" s="128"/>
    </row>
    <row r="8" spans="1:5" ht="30" customHeight="1" x14ac:dyDescent="0.2">
      <c r="A8" s="124" t="s">
        <v>61</v>
      </c>
      <c r="B8" s="124" t="s">
        <v>62</v>
      </c>
      <c r="C8" s="125">
        <f>'I - Environmental'!AL40</f>
        <v>2954840.0848110463</v>
      </c>
      <c r="D8" s="125">
        <f>'I - Environmental'!AM40</f>
        <v>1635675.4142198055</v>
      </c>
      <c r="E8" s="125">
        <f>'I - Environmental'!AN40</f>
        <v>793784.21779056813</v>
      </c>
    </row>
    <row r="9" spans="1:5" ht="14.1" customHeight="1" x14ac:dyDescent="0.2">
      <c r="A9" s="126" t="s">
        <v>63</v>
      </c>
      <c r="B9" s="127"/>
      <c r="C9" s="128"/>
      <c r="D9" s="128"/>
      <c r="E9" s="128"/>
    </row>
    <row r="10" spans="1:5" s="478" customFormat="1" ht="48" x14ac:dyDescent="0.2">
      <c r="A10" s="124" t="s">
        <v>671</v>
      </c>
      <c r="B10" s="124" t="s">
        <v>675</v>
      </c>
      <c r="C10" s="125">
        <f>'J-Technology'!I66</f>
        <v>530680768.07298392</v>
      </c>
      <c r="D10" s="125">
        <f>'J-Technology'!J66</f>
        <v>311626786.18383026</v>
      </c>
      <c r="E10" s="125">
        <f>'J-Technology'!K66</f>
        <v>163603912.15975848</v>
      </c>
    </row>
    <row r="11" spans="1:5" ht="30" customHeight="1" x14ac:dyDescent="0.2">
      <c r="A11" s="124" t="s">
        <v>64</v>
      </c>
      <c r="B11" s="124" t="s">
        <v>65</v>
      </c>
      <c r="C11" s="125">
        <f>'E - Construction &amp; Residual'!M47</f>
        <v>116669683.02570334</v>
      </c>
      <c r="D11" s="125">
        <f>'E - Construction &amp; Residual'!N47</f>
        <v>50993606.250297129</v>
      </c>
      <c r="E11" s="125">
        <f>'E - Construction &amp; Residual'!O47</f>
        <v>17547378.450606417</v>
      </c>
    </row>
    <row r="12" spans="1:5" ht="30" customHeight="1" x14ac:dyDescent="0.2">
      <c r="A12" s="135" t="s">
        <v>66</v>
      </c>
      <c r="B12" s="135" t="s">
        <v>67</v>
      </c>
      <c r="C12" s="136">
        <f>'F - Maintenance Costs'!J48</f>
        <v>-5234848.8400000008</v>
      </c>
      <c r="D12" s="136">
        <f>'F - Maintenance Costs'!K48</f>
        <v>-3063011.1260281075</v>
      </c>
      <c r="E12" s="136">
        <f>'F - Maintenance Costs'!L48</f>
        <v>-1601024.6273321155</v>
      </c>
    </row>
    <row r="13" spans="1:5" ht="14.1" customHeight="1" x14ac:dyDescent="0.2">
      <c r="A13" s="132" t="s">
        <v>51</v>
      </c>
      <c r="B13" s="133"/>
      <c r="C13" s="134">
        <f>SUM(C3:C12)</f>
        <v>1190091070.1314104</v>
      </c>
      <c r="D13" s="134">
        <f>SUM(D3:D12)</f>
        <v>730611069.73313189</v>
      </c>
      <c r="E13" s="134">
        <f>SUM(E3:E12)</f>
        <v>419222127.18360263</v>
      </c>
    </row>
    <row r="14" spans="1:5" ht="14.1" customHeight="1" x14ac:dyDescent="0.2">
      <c r="A14" s="129" t="s">
        <v>68</v>
      </c>
      <c r="B14" s="130"/>
      <c r="C14" s="131">
        <f>-'C - Summary'!D45</f>
        <v>-345150563.33315933</v>
      </c>
      <c r="D14" s="131">
        <f>-'C - Summary'!E45</f>
        <v>-292811351.93604261</v>
      </c>
      <c r="E14" s="131">
        <f>-'C - Summary'!F45</f>
        <v>-237634062.65168041</v>
      </c>
    </row>
    <row r="15" spans="1:5" ht="14.1" customHeight="1" x14ac:dyDescent="0.2">
      <c r="A15" s="137" t="s">
        <v>69</v>
      </c>
      <c r="B15" s="138"/>
      <c r="C15" s="139">
        <f>-C13/C14</f>
        <v>3.4480345581318534</v>
      </c>
      <c r="D15" s="139">
        <f t="shared" ref="D15" si="0">-D13/D14</f>
        <v>2.4951596476789457</v>
      </c>
      <c r="E15" s="139">
        <f t="shared" ref="E15" si="1">-E13/E14</f>
        <v>1.7641499813016732</v>
      </c>
    </row>
  </sheetData>
  <pageMargins left="0.7" right="0.7" top="0.75" bottom="0.75" header="0.3" footer="0.3"/>
  <pageSetup orientation="portrait" r:id="rId1"/>
  <headerFooter>
    <oddHeader>&amp;L&amp;"Arial,Bold"FDOT - INFRA Grant for I-95&amp;R&amp;"Arial,Bold"&amp;A</oddHeader>
    <oddFooter>&amp;CPage B-&amp;P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75649-4A09-4AFC-B219-95C4EB1F7038}">
  <sheetPr codeName="Sheet3"/>
  <dimension ref="A1:S45"/>
  <sheetViews>
    <sheetView view="pageLayout" zoomScaleNormal="100" workbookViewId="0">
      <selection activeCell="C2" sqref="C2:C5"/>
    </sheetView>
  </sheetViews>
  <sheetFormatPr defaultColWidth="8.7109375" defaultRowHeight="15" x14ac:dyDescent="0.25"/>
  <cols>
    <col min="1" max="1" width="8.7109375" style="31"/>
    <col min="2" max="2" width="10" style="31" bestFit="1" customWidth="1"/>
    <col min="3" max="4" width="14.140625" style="31" bestFit="1" customWidth="1"/>
    <col min="5" max="7" width="14.140625" style="31" customWidth="1"/>
    <col min="8" max="9" width="8.7109375" style="31"/>
    <col min="10" max="14" width="13.140625" style="31" customWidth="1"/>
    <col min="15" max="15" width="15.42578125" style="31" bestFit="1" customWidth="1"/>
    <col min="16" max="16" width="13.140625" style="31" customWidth="1"/>
    <col min="17" max="17" width="14.140625" style="31" bestFit="1" customWidth="1"/>
    <col min="18" max="20" width="14.140625" style="31" customWidth="1"/>
    <col min="21" max="16384" width="8.7109375" style="31"/>
  </cols>
  <sheetData>
    <row r="1" spans="1:19" x14ac:dyDescent="0.25">
      <c r="B1" s="70"/>
      <c r="C1" s="118" t="s">
        <v>70</v>
      </c>
      <c r="D1" s="119" t="s">
        <v>71</v>
      </c>
    </row>
    <row r="2" spans="1:19" x14ac:dyDescent="0.25">
      <c r="B2" s="71" t="s">
        <v>72</v>
      </c>
      <c r="C2" s="72">
        <f>Q45</f>
        <v>1190091070.1314104</v>
      </c>
      <c r="D2" s="73">
        <f>S45</f>
        <v>419222127.18360245</v>
      </c>
    </row>
    <row r="3" spans="1:19" x14ac:dyDescent="0.25">
      <c r="B3" s="71" t="s">
        <v>73</v>
      </c>
      <c r="C3" s="72">
        <f>D45</f>
        <v>345150563.33315933</v>
      </c>
      <c r="D3" s="73">
        <f>F45</f>
        <v>237634062.65168041</v>
      </c>
    </row>
    <row r="4" spans="1:19" x14ac:dyDescent="0.25">
      <c r="B4" s="74" t="s">
        <v>74</v>
      </c>
      <c r="C4" s="75">
        <f>C2/C3</f>
        <v>3.4480345581318534</v>
      </c>
      <c r="D4" s="76">
        <f>D2/D3</f>
        <v>1.7641499813016723</v>
      </c>
    </row>
    <row r="5" spans="1:19" ht="15.75" thickBot="1" x14ac:dyDescent="0.3">
      <c r="B5" s="77" t="s">
        <v>75</v>
      </c>
      <c r="C5" s="78">
        <f>C2-C3</f>
        <v>844940506.79825103</v>
      </c>
      <c r="D5" s="79">
        <f>D2-D3</f>
        <v>181588064.53192204</v>
      </c>
    </row>
    <row r="7" spans="1:19" x14ac:dyDescent="0.25">
      <c r="B7" s="80"/>
      <c r="C7" s="8" t="s">
        <v>73</v>
      </c>
      <c r="D7" s="8"/>
      <c r="E7" s="8"/>
      <c r="F7" s="11"/>
      <c r="I7" s="80"/>
      <c r="J7" s="8" t="s">
        <v>72</v>
      </c>
      <c r="K7" s="8"/>
      <c r="L7" s="8"/>
      <c r="M7" s="8"/>
      <c r="N7" s="8"/>
      <c r="O7" s="8"/>
      <c r="P7" s="8"/>
      <c r="Q7" s="8"/>
      <c r="R7" s="8"/>
      <c r="S7" s="11"/>
    </row>
    <row r="8" spans="1:19" s="145" customFormat="1" ht="45" x14ac:dyDescent="0.2">
      <c r="A8" s="140" t="s">
        <v>45</v>
      </c>
      <c r="B8" s="141" t="s">
        <v>46</v>
      </c>
      <c r="C8" s="142" t="s">
        <v>76</v>
      </c>
      <c r="D8" s="143" t="s">
        <v>68</v>
      </c>
      <c r="E8" s="143" t="s">
        <v>52</v>
      </c>
      <c r="F8" s="144" t="s">
        <v>53</v>
      </c>
      <c r="H8" s="140" t="s">
        <v>45</v>
      </c>
      <c r="I8" s="141" t="s">
        <v>46</v>
      </c>
      <c r="J8" s="140" t="s">
        <v>64</v>
      </c>
      <c r="K8" s="140" t="s">
        <v>77</v>
      </c>
      <c r="L8" s="140" t="s">
        <v>57</v>
      </c>
      <c r="M8" s="140" t="s">
        <v>78</v>
      </c>
      <c r="N8" s="140" t="s">
        <v>79</v>
      </c>
      <c r="O8" s="140" t="s">
        <v>670</v>
      </c>
      <c r="P8" s="315" t="s">
        <v>513</v>
      </c>
      <c r="Q8" s="143" t="s">
        <v>51</v>
      </c>
      <c r="R8" s="143" t="s">
        <v>52</v>
      </c>
      <c r="S8" s="144" t="s">
        <v>53</v>
      </c>
    </row>
    <row r="9" spans="1:19" x14ac:dyDescent="0.25">
      <c r="A9" s="40">
        <f>'A - Inputs'!$C$7</f>
        <v>2022</v>
      </c>
      <c r="B9" s="434">
        <v>0</v>
      </c>
      <c r="C9" s="116">
        <f>'E - Construction &amp; Residual'!D11</f>
        <v>38800826</v>
      </c>
      <c r="D9" s="33">
        <f t="shared" ref="D9:D37" si="0">SUM(C9:C9)</f>
        <v>38800826</v>
      </c>
      <c r="E9" s="33">
        <f>$D9/(1+0.03)^($A9-'A - Inputs'!$C$6)</f>
        <v>35508252.289913215</v>
      </c>
      <c r="F9" s="39">
        <f>$D9/(1+0.07)^($A9-'A - Inputs'!$C$6)</f>
        <v>31673031.885411367</v>
      </c>
      <c r="H9" s="40">
        <f>'A - Inputs'!$C$7</f>
        <v>2022</v>
      </c>
      <c r="I9" s="183">
        <v>0</v>
      </c>
      <c r="J9" s="53">
        <f>'E - Construction &amp; Residual'!M11</f>
        <v>0</v>
      </c>
      <c r="K9" s="53">
        <f>'F - Maintenance Costs'!J12</f>
        <v>0</v>
      </c>
      <c r="L9" s="53">
        <f>'G - Safety'!AK23</f>
        <v>0</v>
      </c>
      <c r="M9" s="53">
        <f>'H - Travel Time'!T11</f>
        <v>0</v>
      </c>
      <c r="N9" s="53">
        <f>'I - Environmental'!AL4</f>
        <v>0</v>
      </c>
      <c r="O9" s="53">
        <f>'K - Economic Output'!G12</f>
        <v>0</v>
      </c>
      <c r="P9" s="53">
        <f>'J-Technology'!I30</f>
        <v>0</v>
      </c>
      <c r="Q9" s="33">
        <f t="shared" ref="Q9:Q37" si="1">SUM(J9:P9)</f>
        <v>0</v>
      </c>
      <c r="R9" s="33">
        <f>$Q9/(1+0.03)^($A9-'A - Inputs'!$C$6)</f>
        <v>0</v>
      </c>
      <c r="S9" s="39">
        <f>$Q9/(1+0.07)^($A9-'A - Inputs'!$C$6)</f>
        <v>0</v>
      </c>
    </row>
    <row r="10" spans="1:19" x14ac:dyDescent="0.25">
      <c r="A10" s="161">
        <f t="shared" ref="A10:A44" si="2">A9+1</f>
        <v>2023</v>
      </c>
      <c r="B10" s="183">
        <f t="shared" ref="B10:B44" si="3">B9+1</f>
        <v>1</v>
      </c>
      <c r="C10" s="116">
        <f>'E - Construction &amp; Residual'!D12</f>
        <v>57795551.933315933</v>
      </c>
      <c r="D10" s="33">
        <f t="shared" si="0"/>
        <v>57795551.933315933</v>
      </c>
      <c r="E10" s="33">
        <f>$D10/(1+0.03)^($A10-'A - Inputs'!$C$6)</f>
        <v>51350599.319889762</v>
      </c>
      <c r="F10" s="39">
        <f>$D10/(1+0.07)^($A10-'A - Inputs'!$C$6)</f>
        <v>44091949.847570814</v>
      </c>
      <c r="H10" s="161">
        <f t="shared" ref="H10:H44" si="4">H9+1</f>
        <v>2023</v>
      </c>
      <c r="I10" s="183">
        <f t="shared" ref="I10:I44" si="5">I9+1</f>
        <v>1</v>
      </c>
      <c r="J10" s="53">
        <f>'E - Construction &amp; Residual'!M12</f>
        <v>0</v>
      </c>
      <c r="K10" s="53">
        <f>'F - Maintenance Costs'!J13</f>
        <v>0</v>
      </c>
      <c r="L10" s="53">
        <f>'G - Safety'!AK24</f>
        <v>0</v>
      </c>
      <c r="M10" s="53">
        <f>'H - Travel Time'!T12</f>
        <v>0</v>
      </c>
      <c r="N10" s="53">
        <f>'I - Environmental'!AL5</f>
        <v>0</v>
      </c>
      <c r="O10" s="53">
        <f>'K - Economic Output'!G13</f>
        <v>20451166.195948943</v>
      </c>
      <c r="P10" s="53">
        <f>'J-Technology'!I31</f>
        <v>0</v>
      </c>
      <c r="Q10" s="33">
        <f t="shared" si="1"/>
        <v>20451166.195948943</v>
      </c>
      <c r="R10" s="33">
        <f>$Q10/(1+0.03)^($A10-'A - Inputs'!$C$6)</f>
        <v>18170596.279871807</v>
      </c>
      <c r="S10" s="39">
        <f>$Q10/(1+0.07)^($A10-'A - Inputs'!$C$6)</f>
        <v>15602096.771677649</v>
      </c>
    </row>
    <row r="11" spans="1:19" x14ac:dyDescent="0.25">
      <c r="A11" s="161">
        <f t="shared" si="2"/>
        <v>2024</v>
      </c>
      <c r="B11" s="183">
        <f t="shared" si="3"/>
        <v>2</v>
      </c>
      <c r="C11" s="116">
        <f>'E - Construction &amp; Residual'!D13</f>
        <v>66620925.693295054</v>
      </c>
      <c r="D11" s="33">
        <f t="shared" si="0"/>
        <v>66620925.693295054</v>
      </c>
      <c r="E11" s="33">
        <f>$D11/(1+0.03)^($A11-'A - Inputs'!$C$6)</f>
        <v>57467795.726840973</v>
      </c>
      <c r="F11" s="39">
        <f>$D11/(1+0.07)^($A11-'A - Inputs'!$C$6)</f>
        <v>47499799.283727802</v>
      </c>
      <c r="H11" s="161">
        <f t="shared" si="4"/>
        <v>2024</v>
      </c>
      <c r="I11" s="183">
        <f t="shared" si="5"/>
        <v>2</v>
      </c>
      <c r="J11" s="53">
        <f>'E - Construction &amp; Residual'!M13</f>
        <v>0</v>
      </c>
      <c r="K11" s="53">
        <f>'F - Maintenance Costs'!J14</f>
        <v>0</v>
      </c>
      <c r="L11" s="53">
        <f>'G - Safety'!AK25</f>
        <v>0</v>
      </c>
      <c r="M11" s="53">
        <f>'H - Travel Time'!T13</f>
        <v>0</v>
      </c>
      <c r="N11" s="53">
        <f>'I - Environmental'!AL6</f>
        <v>0</v>
      </c>
      <c r="O11" s="53">
        <f>'K - Economic Output'!G14</f>
        <v>44992565.631087676</v>
      </c>
      <c r="P11" s="53">
        <f>'J-Technology'!I32</f>
        <v>0</v>
      </c>
      <c r="Q11" s="33">
        <f t="shared" si="1"/>
        <v>44992565.631087676</v>
      </c>
      <c r="R11" s="33">
        <f>$Q11/(1+0.03)^($A11-'A - Inputs'!$C$6)</f>
        <v>38810982.345357262</v>
      </c>
      <c r="S11" s="39">
        <f>$Q11/(1+0.07)^($A11-'A - Inputs'!$C$6)</f>
        <v>32079077.474477407</v>
      </c>
    </row>
    <row r="12" spans="1:19" x14ac:dyDescent="0.25">
      <c r="A12" s="161">
        <f t="shared" si="2"/>
        <v>2025</v>
      </c>
      <c r="B12" s="183">
        <f t="shared" si="3"/>
        <v>3</v>
      </c>
      <c r="C12" s="116">
        <f>'E - Construction &amp; Residual'!D14</f>
        <v>69562716.946621433</v>
      </c>
      <c r="D12" s="33">
        <f t="shared" si="0"/>
        <v>69562716.946621433</v>
      </c>
      <c r="E12" s="33">
        <f>$D12/(1+0.03)^($A12-'A - Inputs'!$C$6)</f>
        <v>58257680.294936702</v>
      </c>
      <c r="F12" s="39">
        <f>$D12/(1+0.07)^($A12-'A - Inputs'!$C$6)</f>
        <v>46352575.504930325</v>
      </c>
      <c r="H12" s="161">
        <f t="shared" si="4"/>
        <v>2025</v>
      </c>
      <c r="I12" s="183">
        <f t="shared" si="5"/>
        <v>3</v>
      </c>
      <c r="J12" s="53">
        <f>'E - Construction &amp; Residual'!M14</f>
        <v>0</v>
      </c>
      <c r="K12" s="53">
        <f>'F - Maintenance Costs'!J15</f>
        <v>0</v>
      </c>
      <c r="L12" s="53">
        <f>'G - Safety'!AK26</f>
        <v>0</v>
      </c>
      <c r="M12" s="53">
        <f>'H - Travel Time'!T14</f>
        <v>0</v>
      </c>
      <c r="N12" s="53">
        <f>'I - Environmental'!AL7</f>
        <v>0</v>
      </c>
      <c r="O12" s="53">
        <f>'K - Economic Output'!G15</f>
        <v>53173032.109467261</v>
      </c>
      <c r="P12" s="53">
        <f>'J-Technology'!I33</f>
        <v>0</v>
      </c>
      <c r="Q12" s="33">
        <f t="shared" si="1"/>
        <v>53173032.109467261</v>
      </c>
      <c r="R12" s="33">
        <f>$Q12/(1+0.03)^($A12-'A - Inputs'!$C$6)</f>
        <v>44531577.271813281</v>
      </c>
      <c r="S12" s="39">
        <f>$Q12/(1+0.07)^($A12-'A - Inputs'!$C$6)</f>
        <v>35431436.462889239</v>
      </c>
    </row>
    <row r="13" spans="1:19" x14ac:dyDescent="0.25">
      <c r="A13" s="161">
        <f t="shared" si="2"/>
        <v>2026</v>
      </c>
      <c r="B13" s="183">
        <f t="shared" si="3"/>
        <v>4</v>
      </c>
      <c r="C13" s="116">
        <f>'E - Construction &amp; Residual'!D15</f>
        <v>64211738.719958238</v>
      </c>
      <c r="D13" s="33">
        <f t="shared" si="0"/>
        <v>64211738.719958238</v>
      </c>
      <c r="E13" s="33">
        <f>$D13/(1+0.03)^($A13-'A - Inputs'!$C$6)</f>
        <v>52210019.681795388</v>
      </c>
      <c r="F13" s="39">
        <f>$D13/(1+0.07)^($A13-'A - Inputs'!$C$6)</f>
        <v>39987843.713814795</v>
      </c>
      <c r="H13" s="161">
        <f t="shared" si="4"/>
        <v>2026</v>
      </c>
      <c r="I13" s="183">
        <f t="shared" si="5"/>
        <v>4</v>
      </c>
      <c r="J13" s="53">
        <f>'E - Construction &amp; Residual'!M15</f>
        <v>0</v>
      </c>
      <c r="K13" s="53">
        <f>'F - Maintenance Costs'!J16</f>
        <v>0</v>
      </c>
      <c r="L13" s="53">
        <f>'G - Safety'!AK27</f>
        <v>0</v>
      </c>
      <c r="M13" s="53">
        <f>'H - Travel Time'!T15</f>
        <v>0</v>
      </c>
      <c r="N13" s="53">
        <f>'I - Environmental'!AL8</f>
        <v>0</v>
      </c>
      <c r="O13" s="53">
        <f>'K - Economic Output'!G16</f>
        <v>49082798.870277457</v>
      </c>
      <c r="P13" s="53">
        <f>'J-Technology'!I34</f>
        <v>0</v>
      </c>
      <c r="Q13" s="33">
        <f t="shared" si="1"/>
        <v>49082798.870277457</v>
      </c>
      <c r="R13" s="33">
        <f>$Q13/(1+0.03)^($A13-'A - Inputs'!$C$6)</f>
        <v>39908807.114395753</v>
      </c>
      <c r="S13" s="39">
        <f>$Q13/(1+0.07)^($A13-'A - Inputs'!$C$6)</f>
        <v>30566300.327438585</v>
      </c>
    </row>
    <row r="14" spans="1:19" x14ac:dyDescent="0.25">
      <c r="A14" s="161">
        <f t="shared" si="2"/>
        <v>2027</v>
      </c>
      <c r="B14" s="183">
        <f t="shared" si="3"/>
        <v>5</v>
      </c>
      <c r="C14" s="116">
        <f>'E - Construction &amp; Residual'!D16</f>
        <v>48158804.039968677</v>
      </c>
      <c r="D14" s="33">
        <f t="shared" si="0"/>
        <v>48158804.039968677</v>
      </c>
      <c r="E14" s="33">
        <f>$D14/(1+0.03)^($A14-'A - Inputs'!$C$6)</f>
        <v>38017004.622666553</v>
      </c>
      <c r="F14" s="39">
        <f>$D14/(1+0.07)^($A14-'A - Inputs'!$C$6)</f>
        <v>28028862.416225325</v>
      </c>
      <c r="H14" s="161">
        <f t="shared" si="4"/>
        <v>2027</v>
      </c>
      <c r="I14" s="183">
        <f t="shared" si="5"/>
        <v>5</v>
      </c>
      <c r="J14" s="53">
        <f>'E - Construction &amp; Residual'!M16</f>
        <v>0</v>
      </c>
      <c r="K14" s="53">
        <f>'F - Maintenance Costs'!J17</f>
        <v>0</v>
      </c>
      <c r="L14" s="53">
        <f>'G - Safety'!AK28</f>
        <v>0</v>
      </c>
      <c r="M14" s="53">
        <f>'H - Travel Time'!T16</f>
        <v>0</v>
      </c>
      <c r="N14" s="53">
        <f>'I - Environmental'!AL9</f>
        <v>0</v>
      </c>
      <c r="O14" s="53">
        <f>'K - Economic Output'!G17</f>
        <v>36812099.152708098</v>
      </c>
      <c r="P14" s="53">
        <f>'J-Technology'!I35</f>
        <v>0</v>
      </c>
      <c r="Q14" s="33">
        <f t="shared" si="1"/>
        <v>36812099.152708098</v>
      </c>
      <c r="R14" s="33">
        <f>$Q14/(1+0.03)^($A14-'A - Inputs'!$C$6)</f>
        <v>29059811.005627982</v>
      </c>
      <c r="S14" s="39">
        <f>$Q14/(1+0.07)^($A14-'A - Inputs'!$C$6)</f>
        <v>21424976.865027051</v>
      </c>
    </row>
    <row r="15" spans="1:19" x14ac:dyDescent="0.25">
      <c r="A15" s="161">
        <f t="shared" si="2"/>
        <v>2028</v>
      </c>
      <c r="B15" s="183">
        <f t="shared" si="3"/>
        <v>6</v>
      </c>
      <c r="C15" s="116">
        <f>'E - Construction &amp; Residual'!D17</f>
        <v>0</v>
      </c>
      <c r="D15" s="33">
        <f t="shared" si="0"/>
        <v>0</v>
      </c>
      <c r="E15" s="33">
        <f>$D15/(1+0.03)^($A15-'A - Inputs'!$C$6)</f>
        <v>0</v>
      </c>
      <c r="F15" s="39">
        <f>$D15/(1+0.07)^($A15-'A - Inputs'!$C$6)</f>
        <v>0</v>
      </c>
      <c r="H15" s="161">
        <f t="shared" si="4"/>
        <v>2028</v>
      </c>
      <c r="I15" s="183">
        <f t="shared" si="5"/>
        <v>6</v>
      </c>
      <c r="J15" s="53">
        <f>'E - Construction &amp; Residual'!M17</f>
        <v>0</v>
      </c>
      <c r="K15" s="53">
        <f>'F - Maintenance Costs'!J18</f>
        <v>-255358.47999999998</v>
      </c>
      <c r="L15" s="53">
        <f>'G - Safety'!AK29</f>
        <v>15370101.269999996</v>
      </c>
      <c r="M15" s="53">
        <f>'H - Travel Time'!T17</f>
        <v>658518.31282387546</v>
      </c>
      <c r="N15" s="53">
        <f>'I - Environmental'!AL10</f>
        <v>53762.018288352876</v>
      </c>
      <c r="O15" s="53">
        <f>'K - Economic Output'!G18</f>
        <v>0</v>
      </c>
      <c r="P15" s="53">
        <f>'J-Technology'!I36</f>
        <v>26534038.403649189</v>
      </c>
      <c r="Q15" s="33">
        <f t="shared" si="1"/>
        <v>42361061.524761409</v>
      </c>
      <c r="R15" s="33">
        <f>$Q15/(1+0.03)^($A15-'A - Inputs'!$C$6)</f>
        <v>32466226.352414977</v>
      </c>
      <c r="S15" s="39">
        <f>$Q15/(1+0.07)^($A15-'A - Inputs'!$C$6)</f>
        <v>23041610.73500083</v>
      </c>
    </row>
    <row r="16" spans="1:19" x14ac:dyDescent="0.25">
      <c r="A16" s="161">
        <f t="shared" si="2"/>
        <v>2029</v>
      </c>
      <c r="B16" s="183">
        <f t="shared" si="3"/>
        <v>7</v>
      </c>
      <c r="C16" s="116">
        <f>'E - Construction &amp; Residual'!D18</f>
        <v>0</v>
      </c>
      <c r="D16" s="33">
        <f t="shared" si="0"/>
        <v>0</v>
      </c>
      <c r="E16" s="33">
        <f>$D16/(1+0.03)^($A16-'A - Inputs'!$C$6)</f>
        <v>0</v>
      </c>
      <c r="F16" s="39">
        <f>$D16/(1+0.07)^($A16-'A - Inputs'!$C$6)</f>
        <v>0</v>
      </c>
      <c r="H16" s="161">
        <f t="shared" si="4"/>
        <v>2029</v>
      </c>
      <c r="I16" s="183">
        <f t="shared" si="5"/>
        <v>7</v>
      </c>
      <c r="J16" s="53">
        <f>'E - Construction &amp; Residual'!M18</f>
        <v>0</v>
      </c>
      <c r="K16" s="53">
        <f>'F - Maintenance Costs'!J19</f>
        <v>-255358.47999999998</v>
      </c>
      <c r="L16" s="53">
        <f>'G - Safety'!AK30</f>
        <v>15370101.269999996</v>
      </c>
      <c r="M16" s="53">
        <f>'H - Travel Time'!T18</f>
        <v>841431.32460572466</v>
      </c>
      <c r="N16" s="53">
        <f>'I - Environmental'!AL11</f>
        <v>69758.960312383395</v>
      </c>
      <c r="O16" s="53">
        <f>'K - Economic Output'!G19</f>
        <v>0</v>
      </c>
      <c r="P16" s="53">
        <f>'J-Technology'!I37</f>
        <v>26534038.403649189</v>
      </c>
      <c r="Q16" s="33">
        <f t="shared" si="1"/>
        <v>42559971.478567287</v>
      </c>
      <c r="R16" s="33">
        <f>$Q16/(1+0.03)^($A16-'A - Inputs'!$C$6)</f>
        <v>31668615.795380097</v>
      </c>
      <c r="S16" s="39">
        <f>$Q16/(1+0.07)^($A16-'A - Inputs'!$C$6)</f>
        <v>21635331.374403458</v>
      </c>
    </row>
    <row r="17" spans="1:19" x14ac:dyDescent="0.25">
      <c r="A17" s="161">
        <f t="shared" si="2"/>
        <v>2030</v>
      </c>
      <c r="B17" s="183">
        <f t="shared" si="3"/>
        <v>8</v>
      </c>
      <c r="C17" s="116">
        <f>'E - Construction &amp; Residual'!D19</f>
        <v>0</v>
      </c>
      <c r="D17" s="33">
        <f t="shared" si="0"/>
        <v>0</v>
      </c>
      <c r="E17" s="33">
        <f>$D17/(1+0.03)^($A17-'A - Inputs'!$C$6)</f>
        <v>0</v>
      </c>
      <c r="F17" s="39">
        <f>$D17/(1+0.07)^($A17-'A - Inputs'!$C$6)</f>
        <v>0</v>
      </c>
      <c r="H17" s="161">
        <f t="shared" si="4"/>
        <v>2030</v>
      </c>
      <c r="I17" s="183">
        <f t="shared" si="5"/>
        <v>8</v>
      </c>
      <c r="J17" s="53">
        <f>'E - Construction &amp; Residual'!M19</f>
        <v>0</v>
      </c>
      <c r="K17" s="53">
        <f>'F - Maintenance Costs'!J20</f>
        <v>-255358.47999999998</v>
      </c>
      <c r="L17" s="53">
        <f>'G - Safety'!AK31</f>
        <v>15370101.269999996</v>
      </c>
      <c r="M17" s="53">
        <f>'H - Travel Time'!T19</f>
        <v>1045247.1820002997</v>
      </c>
      <c r="N17" s="53">
        <f>'I - Environmental'!AL12</f>
        <v>88073.910813146838</v>
      </c>
      <c r="O17" s="53">
        <f>'K - Economic Output'!G20</f>
        <v>0</v>
      </c>
      <c r="P17" s="53">
        <f>'J-Technology'!I38</f>
        <v>26534038.403649189</v>
      </c>
      <c r="Q17" s="33">
        <f t="shared" si="1"/>
        <v>42782102.286462635</v>
      </c>
      <c r="R17" s="33">
        <f>$Q17/(1+0.03)^($A17-'A - Inputs'!$C$6)</f>
        <v>30906700.949365165</v>
      </c>
      <c r="S17" s="39">
        <f>$Q17/(1+0.07)^($A17-'A - Inputs'!$C$6)</f>
        <v>20325468.610615298</v>
      </c>
    </row>
    <row r="18" spans="1:19" x14ac:dyDescent="0.25">
      <c r="A18" s="161">
        <f t="shared" si="2"/>
        <v>2031</v>
      </c>
      <c r="B18" s="183">
        <f t="shared" si="3"/>
        <v>9</v>
      </c>
      <c r="C18" s="116">
        <f>'E - Construction &amp; Residual'!D20</f>
        <v>0</v>
      </c>
      <c r="D18" s="33">
        <f t="shared" si="0"/>
        <v>0</v>
      </c>
      <c r="E18" s="33">
        <f>$D18/(1+0.03)^($A18-'A - Inputs'!$C$6)</f>
        <v>0</v>
      </c>
      <c r="F18" s="39">
        <f>$D18/(1+0.07)^($A18-'A - Inputs'!$C$6)</f>
        <v>0</v>
      </c>
      <c r="H18" s="161">
        <f t="shared" si="4"/>
        <v>2031</v>
      </c>
      <c r="I18" s="183">
        <f t="shared" si="5"/>
        <v>9</v>
      </c>
      <c r="J18" s="53">
        <f>'E - Construction &amp; Residual'!M20</f>
        <v>0</v>
      </c>
      <c r="K18" s="53">
        <f>'F - Maintenance Costs'!J21</f>
        <v>-255358.47999999998</v>
      </c>
      <c r="L18" s="53">
        <f>'G - Safety'!AK32</f>
        <v>15370101.269999996</v>
      </c>
      <c r="M18" s="53">
        <f>'H - Travel Time'!T20</f>
        <v>1128858.5644511986</v>
      </c>
      <c r="N18" s="53">
        <f>'I - Environmental'!AL13</f>
        <v>95803.816798667292</v>
      </c>
      <c r="O18" s="53">
        <f>'K - Economic Output'!G21</f>
        <v>0</v>
      </c>
      <c r="P18" s="53">
        <f>'J-Technology'!I39</f>
        <v>26534038.403649189</v>
      </c>
      <c r="Q18" s="33">
        <f t="shared" si="1"/>
        <v>42873443.574899048</v>
      </c>
      <c r="R18" s="33">
        <f>$Q18/(1+0.03)^($A18-'A - Inputs'!$C$6)</f>
        <v>30070570.71802289</v>
      </c>
      <c r="S18" s="39">
        <f>$Q18/(1+0.07)^($A18-'A - Inputs'!$C$6)</f>
        <v>19036321.681088042</v>
      </c>
    </row>
    <row r="19" spans="1:19" x14ac:dyDescent="0.25">
      <c r="A19" s="161">
        <f t="shared" si="2"/>
        <v>2032</v>
      </c>
      <c r="B19" s="183">
        <f t="shared" si="3"/>
        <v>10</v>
      </c>
      <c r="C19" s="116">
        <f>'E - Construction &amp; Residual'!D21</f>
        <v>0</v>
      </c>
      <c r="D19" s="33">
        <f t="shared" si="0"/>
        <v>0</v>
      </c>
      <c r="E19" s="33">
        <f>$D19/(1+0.03)^($A19-'A - Inputs'!$C$6)</f>
        <v>0</v>
      </c>
      <c r="F19" s="39">
        <f>$D19/(1+0.07)^($A19-'A - Inputs'!$C$6)</f>
        <v>0</v>
      </c>
      <c r="H19" s="161">
        <f t="shared" si="4"/>
        <v>2032</v>
      </c>
      <c r="I19" s="183">
        <f t="shared" si="5"/>
        <v>10</v>
      </c>
      <c r="J19" s="53">
        <f>'E - Construction &amp; Residual'!M21</f>
        <v>0</v>
      </c>
      <c r="K19" s="53">
        <f>'F - Maintenance Costs'!J22</f>
        <v>-255358.47999999998</v>
      </c>
      <c r="L19" s="53">
        <f>'G - Safety'!AK33</f>
        <v>15370101.269999996</v>
      </c>
      <c r="M19" s="53">
        <f>'H - Travel Time'!T21</f>
        <v>1212469.9469020998</v>
      </c>
      <c r="N19" s="53">
        <f>'I - Environmental'!AL14</f>
        <v>103585.91071557449</v>
      </c>
      <c r="O19" s="53">
        <f>'K - Economic Output'!G22</f>
        <v>0</v>
      </c>
      <c r="P19" s="53">
        <f>'J-Technology'!I40</f>
        <v>26534038.403649189</v>
      </c>
      <c r="Q19" s="33">
        <f t="shared" si="1"/>
        <v>42964837.051266856</v>
      </c>
      <c r="R19" s="33">
        <f>$Q19/(1+0.03)^($A19-'A - Inputs'!$C$6)</f>
        <v>29256963.362648703</v>
      </c>
      <c r="S19" s="39">
        <f>$Q19/(1+0.07)^($A19-'A - Inputs'!$C$6)</f>
        <v>17828879.885599937</v>
      </c>
    </row>
    <row r="20" spans="1:19" x14ac:dyDescent="0.25">
      <c r="A20" s="161">
        <f t="shared" si="2"/>
        <v>2033</v>
      </c>
      <c r="B20" s="183">
        <f t="shared" si="3"/>
        <v>11</v>
      </c>
      <c r="C20" s="116">
        <f>'E - Construction &amp; Residual'!D22</f>
        <v>0</v>
      </c>
      <c r="D20" s="33">
        <f t="shared" si="0"/>
        <v>0</v>
      </c>
      <c r="E20" s="33">
        <f>$D20/(1+0.03)^($A20-'A - Inputs'!$C$6)</f>
        <v>0</v>
      </c>
      <c r="F20" s="39">
        <f>$D20/(1+0.07)^($A20-'A - Inputs'!$C$6)</f>
        <v>0</v>
      </c>
      <c r="H20" s="161">
        <f t="shared" si="4"/>
        <v>2033</v>
      </c>
      <c r="I20" s="183">
        <f t="shared" si="5"/>
        <v>11</v>
      </c>
      <c r="J20" s="53">
        <f>'E - Construction &amp; Residual'!M22</f>
        <v>0</v>
      </c>
      <c r="K20" s="53">
        <f>'F - Maintenance Costs'!J23</f>
        <v>-255358.47999999998</v>
      </c>
      <c r="L20" s="53">
        <f>'G - Safety'!AK34</f>
        <v>15370101.269999996</v>
      </c>
      <c r="M20" s="53">
        <f>'H - Travel Time'!T22</f>
        <v>1296081.329353</v>
      </c>
      <c r="N20" s="53">
        <f>'I - Environmental'!AL15</f>
        <v>111419.17172829929</v>
      </c>
      <c r="O20" s="53">
        <f>'K - Economic Output'!G23</f>
        <v>0</v>
      </c>
      <c r="P20" s="53">
        <f>'J-Technology'!I41</f>
        <v>26534038.403649189</v>
      </c>
      <c r="Q20" s="33">
        <f t="shared" si="1"/>
        <v>43056281.694730483</v>
      </c>
      <c r="R20" s="33">
        <f>$Q20/(1+0.03)^($A20-'A - Inputs'!$C$6)</f>
        <v>28465274.480728596</v>
      </c>
      <c r="S20" s="39">
        <f>$Q20/(1+0.07)^($A20-'A - Inputs'!$C$6)</f>
        <v>16697968.375315126</v>
      </c>
    </row>
    <row r="21" spans="1:19" x14ac:dyDescent="0.25">
      <c r="A21" s="161">
        <f t="shared" si="2"/>
        <v>2034</v>
      </c>
      <c r="B21" s="183">
        <f t="shared" si="3"/>
        <v>12</v>
      </c>
      <c r="C21" s="116">
        <f>'E - Construction &amp; Residual'!D23</f>
        <v>0</v>
      </c>
      <c r="D21" s="33">
        <f t="shared" si="0"/>
        <v>0</v>
      </c>
      <c r="E21" s="33">
        <f>$D21/(1+0.03)^($A21-'A - Inputs'!$C$6)</f>
        <v>0</v>
      </c>
      <c r="F21" s="39">
        <f>$D21/(1+0.07)^($A21-'A - Inputs'!$C$6)</f>
        <v>0</v>
      </c>
      <c r="H21" s="161">
        <f t="shared" si="4"/>
        <v>2034</v>
      </c>
      <c r="I21" s="183">
        <f t="shared" si="5"/>
        <v>12</v>
      </c>
      <c r="J21" s="53">
        <f>'E - Construction &amp; Residual'!M23</f>
        <v>0</v>
      </c>
      <c r="K21" s="53">
        <f>'F - Maintenance Costs'!J24</f>
        <v>-255358.47999999998</v>
      </c>
      <c r="L21" s="53">
        <f>'G - Safety'!AK35</f>
        <v>15370101.269999996</v>
      </c>
      <c r="M21" s="53">
        <f>'H - Travel Time'!T23</f>
        <v>1379692.7118039001</v>
      </c>
      <c r="N21" s="53">
        <f>'I - Environmental'!AL16</f>
        <v>120129.83205626599</v>
      </c>
      <c r="O21" s="53">
        <f>'K - Economic Output'!G24</f>
        <v>0</v>
      </c>
      <c r="P21" s="53">
        <f>'J-Technology'!I42</f>
        <v>26534038.403649189</v>
      </c>
      <c r="Q21" s="33">
        <f t="shared" si="1"/>
        <v>43148603.737509347</v>
      </c>
      <c r="R21" s="33">
        <f>$Q21/(1+0.03)^($A21-'A - Inputs'!$C$6)</f>
        <v>27695446.822407041</v>
      </c>
      <c r="S21" s="39">
        <f>$Q21/(1+0.07)^($A21-'A - Inputs'!$C$6)</f>
        <v>15639039.677785708</v>
      </c>
    </row>
    <row r="22" spans="1:19" x14ac:dyDescent="0.25">
      <c r="A22" s="161">
        <f t="shared" si="2"/>
        <v>2035</v>
      </c>
      <c r="B22" s="183">
        <f t="shared" si="3"/>
        <v>13</v>
      </c>
      <c r="C22" s="116">
        <f>'E - Construction &amp; Residual'!D24</f>
        <v>0</v>
      </c>
      <c r="D22" s="33">
        <f t="shared" si="0"/>
        <v>0</v>
      </c>
      <c r="E22" s="33">
        <f>$D22/(1+0.03)^($A22-'A - Inputs'!$C$6)</f>
        <v>0</v>
      </c>
      <c r="F22" s="39">
        <f>$D22/(1+0.07)^($A22-'A - Inputs'!$C$6)</f>
        <v>0</v>
      </c>
      <c r="H22" s="161">
        <f t="shared" si="4"/>
        <v>2035</v>
      </c>
      <c r="I22" s="183">
        <f t="shared" si="5"/>
        <v>13</v>
      </c>
      <c r="J22" s="53">
        <f>'E - Construction &amp; Residual'!M24</f>
        <v>0</v>
      </c>
      <c r="K22" s="53">
        <f>'F - Maintenance Costs'!J25</f>
        <v>-255358.47999999998</v>
      </c>
      <c r="L22" s="53">
        <f>'G - Safety'!AK36</f>
        <v>15370101.269999996</v>
      </c>
      <c r="M22" s="53">
        <f>'H - Travel Time'!T24</f>
        <v>1463304.0942548006</v>
      </c>
      <c r="N22" s="53">
        <f>'I - Environmental'!AL17</f>
        <v>128111.29401811819</v>
      </c>
      <c r="O22" s="53">
        <f>'K - Economic Output'!G25</f>
        <v>0</v>
      </c>
      <c r="P22" s="53">
        <f>'J-Technology'!I43</f>
        <v>26534038.403649189</v>
      </c>
      <c r="Q22" s="33">
        <f t="shared" si="1"/>
        <v>43240196.581922099</v>
      </c>
      <c r="R22" s="33">
        <f>$Q22/(1+0.03)^($A22-'A - Inputs'!$C$6)</f>
        <v>26945860.955232445</v>
      </c>
      <c r="S22" s="39">
        <f>$Q22/(1+0.07)^($A22-'A - Inputs'!$C$6)</f>
        <v>14646950.597823208</v>
      </c>
    </row>
    <row r="23" spans="1:19" x14ac:dyDescent="0.25">
      <c r="A23" s="161">
        <f t="shared" si="2"/>
        <v>2036</v>
      </c>
      <c r="B23" s="183">
        <f t="shared" si="3"/>
        <v>14</v>
      </c>
      <c r="C23" s="116">
        <f>'E - Construction &amp; Residual'!D25</f>
        <v>0</v>
      </c>
      <c r="D23" s="33">
        <f t="shared" si="0"/>
        <v>0</v>
      </c>
      <c r="E23" s="33">
        <f>$D23/(1+0.03)^($A23-'A - Inputs'!$C$6)</f>
        <v>0</v>
      </c>
      <c r="F23" s="39">
        <f>$D23/(1+0.07)^($A23-'A - Inputs'!$C$6)</f>
        <v>0</v>
      </c>
      <c r="H23" s="161">
        <f t="shared" si="4"/>
        <v>2036</v>
      </c>
      <c r="I23" s="183">
        <f t="shared" si="5"/>
        <v>14</v>
      </c>
      <c r="J23" s="53">
        <f>'E - Construction &amp; Residual'!M25</f>
        <v>0</v>
      </c>
      <c r="K23" s="53">
        <f>'F - Maintenance Costs'!J26</f>
        <v>-255358.47999999998</v>
      </c>
      <c r="L23" s="53">
        <f>'G - Safety'!AK37</f>
        <v>15370101.269999996</v>
      </c>
      <c r="M23" s="53">
        <f>'H - Travel Time'!T25</f>
        <v>1546915.4767056997</v>
      </c>
      <c r="N23" s="53">
        <f>'I - Environmental'!AL18</f>
        <v>136140.52029055735</v>
      </c>
      <c r="O23" s="53">
        <f>'K - Economic Output'!G26</f>
        <v>0</v>
      </c>
      <c r="P23" s="53">
        <f>'J-Technology'!I44</f>
        <v>26534038.403649189</v>
      </c>
      <c r="Q23" s="33">
        <f t="shared" si="1"/>
        <v>43331837.190645441</v>
      </c>
      <c r="R23" s="33">
        <f>$Q23/(1+0.03)^($A23-'A - Inputs'!$C$6)</f>
        <v>26216474.12900858</v>
      </c>
      <c r="S23" s="39">
        <f>$Q23/(1+0.07)^($A23-'A - Inputs'!$C$6)</f>
        <v>13717749.946318639</v>
      </c>
    </row>
    <row r="24" spans="1:19" x14ac:dyDescent="0.25">
      <c r="A24" s="161">
        <f t="shared" si="2"/>
        <v>2037</v>
      </c>
      <c r="B24" s="183">
        <f t="shared" si="3"/>
        <v>15</v>
      </c>
      <c r="C24" s="116">
        <f>'E - Construction &amp; Residual'!D26</f>
        <v>0</v>
      </c>
      <c r="D24" s="33">
        <f t="shared" si="0"/>
        <v>0</v>
      </c>
      <c r="E24" s="33">
        <f>$D24/(1+0.03)^($A24-'A - Inputs'!$C$6)</f>
        <v>0</v>
      </c>
      <c r="F24" s="39">
        <f>$D24/(1+0.07)^($A24-'A - Inputs'!$C$6)</f>
        <v>0</v>
      </c>
      <c r="H24" s="161">
        <f t="shared" si="4"/>
        <v>2037</v>
      </c>
      <c r="I24" s="183">
        <f t="shared" si="5"/>
        <v>15</v>
      </c>
      <c r="J24" s="53">
        <f>'E - Construction &amp; Residual'!M26</f>
        <v>0</v>
      </c>
      <c r="K24" s="53">
        <f>'F - Maintenance Costs'!J27</f>
        <v>-255358.47999999998</v>
      </c>
      <c r="L24" s="53">
        <f>'G - Safety'!AK38</f>
        <v>15370101.269999996</v>
      </c>
      <c r="M24" s="53">
        <f>'H - Travel Time'!T26</f>
        <v>1630526.8591565986</v>
      </c>
      <c r="N24" s="53">
        <f>'I - Environmental'!AL19</f>
        <v>144216.49003801428</v>
      </c>
      <c r="O24" s="53">
        <f>'K - Economic Output'!G27</f>
        <v>0</v>
      </c>
      <c r="P24" s="53">
        <f>'J-Technology'!I45</f>
        <v>26534038.403649189</v>
      </c>
      <c r="Q24" s="33">
        <f t="shared" si="1"/>
        <v>43423524.542843796</v>
      </c>
      <c r="R24" s="33">
        <f>$Q24/(1+0.03)^($A24-'A - Inputs'!$C$6)</f>
        <v>25506744.160159755</v>
      </c>
      <c r="S24" s="39">
        <f>$Q24/(1+0.07)^($A24-'A - Inputs'!$C$6)</f>
        <v>12847454.031732805</v>
      </c>
    </row>
    <row r="25" spans="1:19" x14ac:dyDescent="0.25">
      <c r="A25" s="161">
        <f t="shared" si="2"/>
        <v>2038</v>
      </c>
      <c r="B25" s="183">
        <f t="shared" si="3"/>
        <v>16</v>
      </c>
      <c r="C25" s="116">
        <f>'E - Construction &amp; Residual'!D27</f>
        <v>0</v>
      </c>
      <c r="D25" s="33">
        <f t="shared" si="0"/>
        <v>0</v>
      </c>
      <c r="E25" s="33">
        <f>$D25/(1+0.03)^($A25-'A - Inputs'!$C$6)</f>
        <v>0</v>
      </c>
      <c r="F25" s="39">
        <f>$D25/(1+0.07)^($A25-'A - Inputs'!$C$6)</f>
        <v>0</v>
      </c>
      <c r="H25" s="161">
        <f t="shared" si="4"/>
        <v>2038</v>
      </c>
      <c r="I25" s="183">
        <f t="shared" si="5"/>
        <v>16</v>
      </c>
      <c r="J25" s="53">
        <f>'E - Construction &amp; Residual'!M27</f>
        <v>0</v>
      </c>
      <c r="K25" s="53">
        <f>'F - Maintenance Costs'!J28</f>
        <v>-268126.40400000004</v>
      </c>
      <c r="L25" s="53">
        <f>'G - Safety'!AK39</f>
        <v>15370101.269999996</v>
      </c>
      <c r="M25" s="53">
        <f>'H - Travel Time'!T27</f>
        <v>1714138.2416074998</v>
      </c>
      <c r="N25" s="53">
        <f>'I - Environmental'!AL20</f>
        <v>152338.1824249198</v>
      </c>
      <c r="O25" s="53">
        <f>'K - Economic Output'!G28</f>
        <v>0</v>
      </c>
      <c r="P25" s="53">
        <f>'J-Technology'!I46</f>
        <v>26534038.403649189</v>
      </c>
      <c r="Q25" s="33">
        <f t="shared" si="1"/>
        <v>43502489.693681605</v>
      </c>
      <c r="R25" s="33">
        <f>$Q25/(1+0.03)^($A25-'A - Inputs'!$C$6)</f>
        <v>24808862.003836401</v>
      </c>
      <c r="S25" s="39">
        <f>$Q25/(1+0.07)^($A25-'A - Inputs'!$C$6)</f>
        <v>12028800.907021126</v>
      </c>
    </row>
    <row r="26" spans="1:19" x14ac:dyDescent="0.25">
      <c r="A26" s="161">
        <f t="shared" si="2"/>
        <v>2039</v>
      </c>
      <c r="B26" s="183">
        <f t="shared" si="3"/>
        <v>17</v>
      </c>
      <c r="C26" s="116">
        <f>'E - Construction &amp; Residual'!D28</f>
        <v>0</v>
      </c>
      <c r="D26" s="33">
        <f t="shared" si="0"/>
        <v>0</v>
      </c>
      <c r="E26" s="33">
        <f>$D26/(1+0.03)^($A26-'A - Inputs'!$C$6)</f>
        <v>0</v>
      </c>
      <c r="F26" s="39">
        <f>$D26/(1+0.07)^($A26-'A - Inputs'!$C$6)</f>
        <v>0</v>
      </c>
      <c r="H26" s="161">
        <f t="shared" si="4"/>
        <v>2039</v>
      </c>
      <c r="I26" s="183">
        <f t="shared" si="5"/>
        <v>17</v>
      </c>
      <c r="J26" s="53">
        <f>'E - Construction &amp; Residual'!M28</f>
        <v>0</v>
      </c>
      <c r="K26" s="53">
        <f>'F - Maintenance Costs'!J29</f>
        <v>-268126.40400000004</v>
      </c>
      <c r="L26" s="53">
        <f>'G - Safety'!AK40</f>
        <v>15370101.269999996</v>
      </c>
      <c r="M26" s="53">
        <f>'H - Travel Time'!T28</f>
        <v>1797749.624058398</v>
      </c>
      <c r="N26" s="53">
        <f>'I - Environmental'!AL21</f>
        <v>160504.57661570472</v>
      </c>
      <c r="O26" s="53">
        <f>'K - Economic Output'!G29</f>
        <v>0</v>
      </c>
      <c r="P26" s="53">
        <f>'J-Technology'!I47</f>
        <v>26534038.403649189</v>
      </c>
      <c r="Q26" s="33">
        <f t="shared" si="1"/>
        <v>43594267.470323294</v>
      </c>
      <c r="R26" s="33">
        <f>$Q26/(1+0.03)^($A26-'A - Inputs'!$C$6)</f>
        <v>24137088.919832058</v>
      </c>
      <c r="S26" s="39">
        <f>$Q26/(1+0.07)^($A26-'A - Inputs'!$C$6)</f>
        <v>11265587.12808202</v>
      </c>
    </row>
    <row r="27" spans="1:19" x14ac:dyDescent="0.25">
      <c r="A27" s="161">
        <f t="shared" si="2"/>
        <v>2040</v>
      </c>
      <c r="B27" s="183">
        <f t="shared" si="3"/>
        <v>18</v>
      </c>
      <c r="C27" s="116">
        <f>'E - Construction &amp; Residual'!D29</f>
        <v>0</v>
      </c>
      <c r="D27" s="33">
        <f t="shared" si="0"/>
        <v>0</v>
      </c>
      <c r="E27" s="33">
        <f>$D27/(1+0.03)^($A27-'A - Inputs'!$C$6)</f>
        <v>0</v>
      </c>
      <c r="F27" s="39">
        <f>$D27/(1+0.07)^($A27-'A - Inputs'!$C$6)</f>
        <v>0</v>
      </c>
      <c r="H27" s="161">
        <f t="shared" si="4"/>
        <v>2040</v>
      </c>
      <c r="I27" s="183">
        <f t="shared" si="5"/>
        <v>18</v>
      </c>
      <c r="J27" s="53">
        <f>'E - Construction &amp; Residual'!M29</f>
        <v>0</v>
      </c>
      <c r="K27" s="53">
        <f>'F - Maintenance Costs'!J30</f>
        <v>-268126.40400000004</v>
      </c>
      <c r="L27" s="53">
        <f>'G - Safety'!AK41</f>
        <v>15370101.269999996</v>
      </c>
      <c r="M27" s="53">
        <f>'H - Travel Time'!T29</f>
        <v>1881361.0065092999</v>
      </c>
      <c r="N27" s="53">
        <f>'I - Environmental'!AL22</f>
        <v>168714.6517747998</v>
      </c>
      <c r="O27" s="53">
        <f>'K - Economic Output'!G30</f>
        <v>0</v>
      </c>
      <c r="P27" s="53">
        <f>'J-Technology'!I48</f>
        <v>26534038.403649189</v>
      </c>
      <c r="Q27" s="33">
        <f t="shared" si="1"/>
        <v>43686088.927933291</v>
      </c>
      <c r="R27" s="33">
        <f>$Q27/(1+0.03)^($A27-'A - Inputs'!$C$6)</f>
        <v>23483425.470509481</v>
      </c>
      <c r="S27" s="39">
        <f>$Q27/(1+0.07)^($A27-'A - Inputs'!$C$6)</f>
        <v>10550762.184667766</v>
      </c>
    </row>
    <row r="28" spans="1:19" x14ac:dyDescent="0.25">
      <c r="A28" s="161">
        <f t="shared" si="2"/>
        <v>2041</v>
      </c>
      <c r="B28" s="183">
        <f t="shared" si="3"/>
        <v>19</v>
      </c>
      <c r="C28" s="116">
        <f>'E - Construction &amp; Residual'!D30</f>
        <v>0</v>
      </c>
      <c r="D28" s="33">
        <f t="shared" si="0"/>
        <v>0</v>
      </c>
      <c r="E28" s="33">
        <f>$D28/(1+0.03)^($A28-'A - Inputs'!$C$6)</f>
        <v>0</v>
      </c>
      <c r="F28" s="39">
        <f>$D28/(1+0.07)^($A28-'A - Inputs'!$C$6)</f>
        <v>0</v>
      </c>
      <c r="H28" s="161">
        <f t="shared" si="4"/>
        <v>2041</v>
      </c>
      <c r="I28" s="183">
        <f t="shared" si="5"/>
        <v>19</v>
      </c>
      <c r="J28" s="53">
        <f>'E - Construction &amp; Residual'!M30</f>
        <v>0</v>
      </c>
      <c r="K28" s="53">
        <f>'F - Maintenance Costs'!J31</f>
        <v>-268126.40400000004</v>
      </c>
      <c r="L28" s="53">
        <f>'G - Safety'!AK42</f>
        <v>15370101.269999996</v>
      </c>
      <c r="M28" s="53">
        <f>'H - Travel Time'!T30</f>
        <v>1964972.3889601997</v>
      </c>
      <c r="N28" s="53">
        <f>'I - Environmental'!AL23</f>
        <v>176967.38706663589</v>
      </c>
      <c r="O28" s="53">
        <f>'K - Economic Output'!G31</f>
        <v>0</v>
      </c>
      <c r="P28" s="53">
        <f>'J-Technology'!I49</f>
        <v>26534038.403649189</v>
      </c>
      <c r="Q28" s="33">
        <f t="shared" si="1"/>
        <v>43777953.045676023</v>
      </c>
      <c r="R28" s="33">
        <f>$Q28/(1+0.03)^($A28-'A - Inputs'!$C$6)</f>
        <v>22847385.398528263</v>
      </c>
      <c r="S28" s="39">
        <f>$Q28/(1+0.07)^($A28-'A - Inputs'!$C$6)</f>
        <v>9881260.3470136803</v>
      </c>
    </row>
    <row r="29" spans="1:19" x14ac:dyDescent="0.25">
      <c r="A29" s="161">
        <f t="shared" si="2"/>
        <v>2042</v>
      </c>
      <c r="B29" s="183">
        <f t="shared" si="3"/>
        <v>20</v>
      </c>
      <c r="C29" s="116">
        <f>'E - Construction &amp; Residual'!D31</f>
        <v>0</v>
      </c>
      <c r="D29" s="33">
        <f t="shared" si="0"/>
        <v>0</v>
      </c>
      <c r="E29" s="33">
        <f>$D29/(1+0.03)^($A29-'A - Inputs'!$C$6)</f>
        <v>0</v>
      </c>
      <c r="F29" s="39">
        <f>$D29/(1+0.07)^($A29-'A - Inputs'!$C$6)</f>
        <v>0</v>
      </c>
      <c r="H29" s="161">
        <f t="shared" si="4"/>
        <v>2042</v>
      </c>
      <c r="I29" s="183">
        <f t="shared" si="5"/>
        <v>20</v>
      </c>
      <c r="J29" s="53">
        <f>'E - Construction &amp; Residual'!M31</f>
        <v>0</v>
      </c>
      <c r="K29" s="53">
        <f>'F - Maintenance Costs'!J32</f>
        <v>-268126.40400000004</v>
      </c>
      <c r="L29" s="53">
        <f>'G - Safety'!AK43</f>
        <v>15370101.269999996</v>
      </c>
      <c r="M29" s="53">
        <f>'H - Travel Time'!T31</f>
        <v>2048583.7714110997</v>
      </c>
      <c r="N29" s="53">
        <f>'I - Environmental'!AL24</f>
        <v>186470.921025591</v>
      </c>
      <c r="O29" s="53">
        <f>'K - Economic Output'!G32</f>
        <v>0</v>
      </c>
      <c r="P29" s="53">
        <f>'J-Technology'!I50</f>
        <v>26534038.403649189</v>
      </c>
      <c r="Q29" s="33">
        <f t="shared" si="1"/>
        <v>43871067.962085873</v>
      </c>
      <c r="R29" s="33">
        <f>$Q29/(1+0.03)^($A29-'A - Inputs'!$C$6)</f>
        <v>22229108.131187253</v>
      </c>
      <c r="S29" s="39">
        <f>$Q29/(1+0.07)^($A29-'A - Inputs'!$C$6)</f>
        <v>9254465.0556280017</v>
      </c>
    </row>
    <row r="30" spans="1:19" x14ac:dyDescent="0.25">
      <c r="A30" s="161">
        <f t="shared" si="2"/>
        <v>2043</v>
      </c>
      <c r="B30" s="183">
        <f t="shared" si="3"/>
        <v>21</v>
      </c>
      <c r="C30" s="116">
        <f>'E - Construction &amp; Residual'!D32</f>
        <v>0</v>
      </c>
      <c r="D30" s="33">
        <f t="shared" si="0"/>
        <v>0</v>
      </c>
      <c r="E30" s="33">
        <f>$D30/(1+0.03)^($A30-'A - Inputs'!$C$6)</f>
        <v>0</v>
      </c>
      <c r="F30" s="39">
        <f>$D30/(1+0.07)^($A30-'A - Inputs'!$C$6)</f>
        <v>0</v>
      </c>
      <c r="H30" s="161">
        <f t="shared" si="4"/>
        <v>2043</v>
      </c>
      <c r="I30" s="183">
        <f t="shared" si="5"/>
        <v>21</v>
      </c>
      <c r="J30" s="53">
        <f>'E - Construction &amp; Residual'!M32</f>
        <v>0</v>
      </c>
      <c r="K30" s="53">
        <f>'F - Maintenance Costs'!J33</f>
        <v>-268126.40400000004</v>
      </c>
      <c r="L30" s="53">
        <f>'G - Safety'!AK44</f>
        <v>15370101.269999996</v>
      </c>
      <c r="M30" s="53">
        <f>'H - Travel Time'!T32</f>
        <v>2132195.1538619995</v>
      </c>
      <c r="N30" s="53">
        <f>'I - Environmental'!AL25</f>
        <v>194852.12111221705</v>
      </c>
      <c r="O30" s="53">
        <f>'K - Economic Output'!G33</f>
        <v>0</v>
      </c>
      <c r="P30" s="53">
        <f>'J-Technology'!I51</f>
        <v>26534038.403649189</v>
      </c>
      <c r="Q30" s="33">
        <f t="shared" si="1"/>
        <v>43963060.544623405</v>
      </c>
      <c r="R30" s="33">
        <f>$Q30/(1+0.03)^($A30-'A - Inputs'!$C$6)</f>
        <v>21626912.634636659</v>
      </c>
      <c r="S30" s="39">
        <f>$Q30/(1+0.07)^($A30-'A - Inputs'!$C$6)</f>
        <v>8667168.7889767941</v>
      </c>
    </row>
    <row r="31" spans="1:19" x14ac:dyDescent="0.25">
      <c r="A31" s="161">
        <f t="shared" si="2"/>
        <v>2044</v>
      </c>
      <c r="B31" s="183">
        <f t="shared" si="3"/>
        <v>22</v>
      </c>
      <c r="C31" s="116">
        <f>'E - Construction &amp; Residual'!D33</f>
        <v>0</v>
      </c>
      <c r="D31" s="33">
        <f t="shared" si="0"/>
        <v>0</v>
      </c>
      <c r="E31" s="33">
        <f>$D31/(1+0.03)^($A31-'A - Inputs'!$C$6)</f>
        <v>0</v>
      </c>
      <c r="F31" s="39">
        <f>$D31/(1+0.07)^($A31-'A - Inputs'!$C$6)</f>
        <v>0</v>
      </c>
      <c r="H31" s="161">
        <f t="shared" si="4"/>
        <v>2044</v>
      </c>
      <c r="I31" s="183">
        <f t="shared" si="5"/>
        <v>22</v>
      </c>
      <c r="J31" s="53">
        <f>'E - Construction &amp; Residual'!M33</f>
        <v>0</v>
      </c>
      <c r="K31" s="53">
        <f>'F - Maintenance Costs'!J34</f>
        <v>-268126.40400000004</v>
      </c>
      <c r="L31" s="53">
        <f>'G - Safety'!AK45</f>
        <v>15370101.269999996</v>
      </c>
      <c r="M31" s="53">
        <f>'H - Travel Time'!T33</f>
        <v>2215806.5363128996</v>
      </c>
      <c r="N31" s="53">
        <f>'I - Environmental'!AL26</f>
        <v>203272.57854635344</v>
      </c>
      <c r="O31" s="53">
        <f>'K - Economic Output'!G34</f>
        <v>0</v>
      </c>
      <c r="P31" s="53">
        <f>'J-Technology'!I52</f>
        <v>26534038.403649189</v>
      </c>
      <c r="Q31" s="33">
        <f t="shared" si="1"/>
        <v>44055092.384508438</v>
      </c>
      <c r="R31" s="33">
        <f>$Q31/(1+0.03)^($A31-'A - Inputs'!$C$6)</f>
        <v>21040957.47717816</v>
      </c>
      <c r="S31" s="39">
        <f>$Q31/(1+0.07)^($A31-'A - Inputs'!$C$6)</f>
        <v>8117114.5375119597</v>
      </c>
    </row>
    <row r="32" spans="1:19" x14ac:dyDescent="0.25">
      <c r="A32" s="161">
        <f t="shared" si="2"/>
        <v>2045</v>
      </c>
      <c r="B32" s="183">
        <f t="shared" si="3"/>
        <v>23</v>
      </c>
      <c r="C32" s="116">
        <f>'E - Construction &amp; Residual'!D34</f>
        <v>0</v>
      </c>
      <c r="D32" s="33">
        <f t="shared" si="0"/>
        <v>0</v>
      </c>
      <c r="E32" s="33">
        <f>$D32/(1+0.03)^($A32-'A - Inputs'!$C$6)</f>
        <v>0</v>
      </c>
      <c r="F32" s="39">
        <f>$D32/(1+0.07)^($A32-'A - Inputs'!$C$6)</f>
        <v>0</v>
      </c>
      <c r="H32" s="161">
        <f t="shared" si="4"/>
        <v>2045</v>
      </c>
      <c r="I32" s="183">
        <f t="shared" si="5"/>
        <v>23</v>
      </c>
      <c r="J32" s="53">
        <f>'E - Construction &amp; Residual'!M34</f>
        <v>0</v>
      </c>
      <c r="K32" s="53">
        <f>'F - Maintenance Costs'!J35</f>
        <v>-268126.40400000004</v>
      </c>
      <c r="L32" s="53">
        <f>'G - Safety'!AK46</f>
        <v>15370101.269999996</v>
      </c>
      <c r="M32" s="53">
        <f>'H - Travel Time'!T34</f>
        <v>2299417.9187638005</v>
      </c>
      <c r="N32" s="53">
        <f>'I - Environmental'!AL27</f>
        <v>211731.2724924311</v>
      </c>
      <c r="O32" s="53">
        <f>'K - Economic Output'!G35</f>
        <v>0</v>
      </c>
      <c r="P32" s="53">
        <f>'J-Technology'!I53</f>
        <v>26534038.403649189</v>
      </c>
      <c r="Q32" s="33">
        <f t="shared" si="1"/>
        <v>44147162.460905418</v>
      </c>
      <c r="R32" s="33">
        <f>$Q32/(1+0.03)^($A32-'A - Inputs'!$C$6)</f>
        <v>20470806.464492913</v>
      </c>
      <c r="S32" s="39">
        <f>$Q32/(1+0.07)^($A32-'A - Inputs'!$C$6)</f>
        <v>7601942.4050116958</v>
      </c>
    </row>
    <row r="33" spans="1:19" x14ac:dyDescent="0.25">
      <c r="A33" s="161">
        <f t="shared" si="2"/>
        <v>2046</v>
      </c>
      <c r="B33" s="183">
        <f t="shared" si="3"/>
        <v>24</v>
      </c>
      <c r="C33" s="116">
        <f>'E - Construction &amp; Residual'!D35</f>
        <v>0</v>
      </c>
      <c r="D33" s="33">
        <f t="shared" si="0"/>
        <v>0</v>
      </c>
      <c r="E33" s="33">
        <f>$D33/(1+0.03)^($A33-'A - Inputs'!$C$6)</f>
        <v>0</v>
      </c>
      <c r="F33" s="39">
        <f>$D33/(1+0.07)^($A33-'A - Inputs'!$C$6)</f>
        <v>0</v>
      </c>
      <c r="H33" s="161">
        <f t="shared" si="4"/>
        <v>2046</v>
      </c>
      <c r="I33" s="183">
        <f t="shared" si="5"/>
        <v>24</v>
      </c>
      <c r="J33" s="53">
        <f>'E - Construction &amp; Residual'!M35</f>
        <v>0</v>
      </c>
      <c r="K33" s="53">
        <f>'F - Maintenance Costs'!J36</f>
        <v>-268126.40400000004</v>
      </c>
      <c r="L33" s="53">
        <f>'G - Safety'!AK47</f>
        <v>15370101.269999996</v>
      </c>
      <c r="M33" s="53">
        <f>'H - Travel Time'!T35</f>
        <v>2383029.3012147006</v>
      </c>
      <c r="N33" s="53">
        <f>'I - Environmental'!AL28</f>
        <v>220227.18211488071</v>
      </c>
      <c r="O33" s="53">
        <f>'K - Economic Output'!G36</f>
        <v>0</v>
      </c>
      <c r="P33" s="53">
        <f>'J-Technology'!I54</f>
        <v>26534038.403649189</v>
      </c>
      <c r="Q33" s="33">
        <f t="shared" si="1"/>
        <v>44239269.752978772</v>
      </c>
      <c r="R33" s="33">
        <f>$Q33/(1+0.03)^($A33-'A - Inputs'!$C$6)</f>
        <v>19916035.077850454</v>
      </c>
      <c r="S33" s="39">
        <f>$Q33/(1+0.07)^($A33-'A - Inputs'!$C$6)</f>
        <v>7119441.9304487975</v>
      </c>
    </row>
    <row r="34" spans="1:19" x14ac:dyDescent="0.25">
      <c r="A34" s="161">
        <f t="shared" si="2"/>
        <v>2047</v>
      </c>
      <c r="B34" s="183">
        <f t="shared" si="3"/>
        <v>25</v>
      </c>
      <c r="C34" s="116">
        <f>'E - Construction &amp; Residual'!D36</f>
        <v>0</v>
      </c>
      <c r="D34" s="33">
        <f t="shared" si="0"/>
        <v>0</v>
      </c>
      <c r="E34" s="33">
        <f>$D34/(1+0.03)^($A34-'A - Inputs'!$C$6)</f>
        <v>0</v>
      </c>
      <c r="F34" s="39">
        <f>$D34/(1+0.07)^($A34-'A - Inputs'!$C$6)</f>
        <v>0</v>
      </c>
      <c r="H34" s="161">
        <f t="shared" si="4"/>
        <v>2047</v>
      </c>
      <c r="I34" s="183">
        <f t="shared" si="5"/>
        <v>25</v>
      </c>
      <c r="J34" s="53">
        <f>'E - Construction &amp; Residual'!M36</f>
        <v>116669683.02570334</v>
      </c>
      <c r="K34" s="53">
        <f>'F - Maintenance Costs'!J37</f>
        <v>-268126.40400000004</v>
      </c>
      <c r="L34" s="53">
        <f>'G - Safety'!AK48</f>
        <v>15370101.269999996</v>
      </c>
      <c r="M34" s="53">
        <f>'H - Travel Time'!T36</f>
        <v>2466640.6836656025</v>
      </c>
      <c r="N34" s="53">
        <f>'I - Environmental'!AL29</f>
        <v>228759.28657813324</v>
      </c>
      <c r="O34" s="53">
        <f>'K - Economic Output'!G37</f>
        <v>0</v>
      </c>
      <c r="P34" s="53">
        <f>'J-Technology'!I55</f>
        <v>26534038.403649189</v>
      </c>
      <c r="Q34" s="33">
        <f t="shared" si="1"/>
        <v>161001096.26559624</v>
      </c>
      <c r="R34" s="33">
        <f>$Q34/(1+0.03)^($A34-'A - Inputs'!$C$6)</f>
        <v>70369836.412645936</v>
      </c>
      <c r="S34" s="39">
        <f>$Q34/(1+0.07)^($A34-'A - Inputs'!$C$6)</f>
        <v>24214921.082047753</v>
      </c>
    </row>
    <row r="35" spans="1:19" x14ac:dyDescent="0.25">
      <c r="A35" s="161">
        <f t="shared" si="2"/>
        <v>2048</v>
      </c>
      <c r="B35" s="183">
        <f t="shared" si="3"/>
        <v>26</v>
      </c>
      <c r="C35" s="116">
        <f>'E - Construction &amp; Residual'!D37</f>
        <v>0</v>
      </c>
      <c r="D35" s="33">
        <f t="shared" si="0"/>
        <v>0</v>
      </c>
      <c r="E35" s="33">
        <f>$D35/(1+0.03)^($A35-'A - Inputs'!$C$6)</f>
        <v>0</v>
      </c>
      <c r="F35" s="39">
        <f>$D35/(1+0.07)^($A35-'A - Inputs'!$C$6)</f>
        <v>0</v>
      </c>
      <c r="H35" s="161">
        <f t="shared" si="4"/>
        <v>2048</v>
      </c>
      <c r="I35" s="183">
        <f t="shared" si="5"/>
        <v>26</v>
      </c>
      <c r="J35" s="53">
        <f>'E - Construction &amp; Residual'!M37</f>
        <v>0</v>
      </c>
      <c r="K35" s="53">
        <f>'F - Maintenance Costs'!J38</f>
        <v>0</v>
      </c>
      <c r="L35" s="53">
        <f>'G - Safety'!AK49</f>
        <v>0</v>
      </c>
      <c r="M35" s="53">
        <f>'H - Travel Time'!T37</f>
        <v>0</v>
      </c>
      <c r="N35" s="53">
        <f>'I - Environmental'!AL30</f>
        <v>0</v>
      </c>
      <c r="O35" s="53">
        <f>'K - Economic Output'!G38</f>
        <v>0</v>
      </c>
      <c r="P35" s="53">
        <f>'J-Technology'!I56</f>
        <v>0</v>
      </c>
      <c r="Q35" s="33">
        <f t="shared" si="1"/>
        <v>0</v>
      </c>
      <c r="R35" s="33">
        <f>$Q35/(1+0.03)^($A35-'A - Inputs'!$C$6)</f>
        <v>0</v>
      </c>
      <c r="S35" s="39">
        <f>$Q35/(1+0.07)^($A35-'A - Inputs'!$C$6)</f>
        <v>0</v>
      </c>
    </row>
    <row r="36" spans="1:19" x14ac:dyDescent="0.25">
      <c r="A36" s="161">
        <f t="shared" si="2"/>
        <v>2049</v>
      </c>
      <c r="B36" s="183">
        <f t="shared" si="3"/>
        <v>27</v>
      </c>
      <c r="C36" s="116">
        <f>'E - Construction &amp; Residual'!D38</f>
        <v>0</v>
      </c>
      <c r="D36" s="33">
        <f t="shared" si="0"/>
        <v>0</v>
      </c>
      <c r="E36" s="33">
        <f>$D36/(1+0.03)^($A36-'A - Inputs'!$C$6)</f>
        <v>0</v>
      </c>
      <c r="F36" s="39">
        <f>$D36/(1+0.07)^($A36-'A - Inputs'!$C$6)</f>
        <v>0</v>
      </c>
      <c r="H36" s="161">
        <f t="shared" si="4"/>
        <v>2049</v>
      </c>
      <c r="I36" s="183">
        <f t="shared" si="5"/>
        <v>27</v>
      </c>
      <c r="J36" s="53">
        <f>'E - Construction &amp; Residual'!M38</f>
        <v>0</v>
      </c>
      <c r="K36" s="53">
        <f>'F - Maintenance Costs'!J39</f>
        <v>0</v>
      </c>
      <c r="L36" s="53">
        <f>'G - Safety'!AK50</f>
        <v>0</v>
      </c>
      <c r="M36" s="53">
        <f>'H - Travel Time'!T38</f>
        <v>0</v>
      </c>
      <c r="N36" s="53">
        <f>'I - Environmental'!AL31</f>
        <v>0</v>
      </c>
      <c r="O36" s="53">
        <f>'K - Economic Output'!G39</f>
        <v>0</v>
      </c>
      <c r="P36" s="53">
        <f>'J-Technology'!I57</f>
        <v>0</v>
      </c>
      <c r="Q36" s="33">
        <f t="shared" si="1"/>
        <v>0</v>
      </c>
      <c r="R36" s="33">
        <f>$Q36/(1+0.03)^($A36-'A - Inputs'!$C$6)</f>
        <v>0</v>
      </c>
      <c r="S36" s="39">
        <f>$Q36/(1+0.07)^($A36-'A - Inputs'!$C$6)</f>
        <v>0</v>
      </c>
    </row>
    <row r="37" spans="1:19" x14ac:dyDescent="0.25">
      <c r="A37" s="161">
        <f t="shared" si="2"/>
        <v>2050</v>
      </c>
      <c r="B37" s="183">
        <f t="shared" si="3"/>
        <v>28</v>
      </c>
      <c r="C37" s="116">
        <f>'E - Construction &amp; Residual'!D39</f>
        <v>0</v>
      </c>
      <c r="D37" s="33">
        <f t="shared" si="0"/>
        <v>0</v>
      </c>
      <c r="E37" s="33">
        <f>$D37/(1+0.03)^($A37-'A - Inputs'!$C$6)</f>
        <v>0</v>
      </c>
      <c r="F37" s="39">
        <f>$D37/(1+0.07)^($A37-'A - Inputs'!$C$6)</f>
        <v>0</v>
      </c>
      <c r="H37" s="161">
        <f t="shared" si="4"/>
        <v>2050</v>
      </c>
      <c r="I37" s="183">
        <f t="shared" si="5"/>
        <v>28</v>
      </c>
      <c r="J37" s="53">
        <f>'E - Construction &amp; Residual'!M39</f>
        <v>0</v>
      </c>
      <c r="K37" s="53">
        <f>'F - Maintenance Costs'!J40</f>
        <v>0</v>
      </c>
      <c r="L37" s="53">
        <f>'G - Safety'!AK51</f>
        <v>0</v>
      </c>
      <c r="M37" s="53">
        <f>'H - Travel Time'!T39</f>
        <v>0</v>
      </c>
      <c r="N37" s="53">
        <f>'I - Environmental'!AL32</f>
        <v>0</v>
      </c>
      <c r="O37" s="53">
        <f>'K - Economic Output'!G40</f>
        <v>0</v>
      </c>
      <c r="P37" s="53">
        <f>'J-Technology'!I58</f>
        <v>0</v>
      </c>
      <c r="Q37" s="33">
        <f t="shared" si="1"/>
        <v>0</v>
      </c>
      <c r="R37" s="33">
        <f>$Q37/(1+0.03)^($A37-'A - Inputs'!$C$6)</f>
        <v>0</v>
      </c>
      <c r="S37" s="39">
        <f>$Q37/(1+0.07)^($A37-'A - Inputs'!$C$6)</f>
        <v>0</v>
      </c>
    </row>
    <row r="38" spans="1:19" x14ac:dyDescent="0.25">
      <c r="A38" s="161">
        <f t="shared" si="2"/>
        <v>2051</v>
      </c>
      <c r="B38" s="183">
        <f t="shared" si="3"/>
        <v>29</v>
      </c>
      <c r="C38" s="116">
        <f>'E - Construction &amp; Residual'!D40</f>
        <v>0</v>
      </c>
      <c r="D38" s="33">
        <f t="shared" ref="D38:D44" si="6">SUM(C38:C38)</f>
        <v>0</v>
      </c>
      <c r="E38" s="33">
        <f>$D38/(1+0.03)^($A38-'A - Inputs'!$C$6)</f>
        <v>0</v>
      </c>
      <c r="F38" s="39">
        <f>$D38/(1+0.07)^($A38-'A - Inputs'!$C$6)</f>
        <v>0</v>
      </c>
      <c r="H38" s="161">
        <f t="shared" si="4"/>
        <v>2051</v>
      </c>
      <c r="I38" s="183">
        <f t="shared" si="5"/>
        <v>29</v>
      </c>
      <c r="J38" s="53">
        <f>'E - Construction &amp; Residual'!M40</f>
        <v>0</v>
      </c>
      <c r="K38" s="53">
        <f>'F - Maintenance Costs'!J41</f>
        <v>0</v>
      </c>
      <c r="L38" s="53">
        <f>'G - Safety'!AK52</f>
        <v>0</v>
      </c>
      <c r="M38" s="53">
        <f>'H - Travel Time'!T40</f>
        <v>0</v>
      </c>
      <c r="N38" s="53">
        <f>'I - Environmental'!AL33</f>
        <v>0</v>
      </c>
      <c r="O38" s="53">
        <f>'K - Economic Output'!G41</f>
        <v>0</v>
      </c>
      <c r="P38" s="53">
        <f>'J-Technology'!I59</f>
        <v>0</v>
      </c>
      <c r="Q38" s="33">
        <f t="shared" ref="Q38:Q44" si="7">SUM(J38:P38)</f>
        <v>0</v>
      </c>
      <c r="R38" s="33">
        <f>$Q38/(1+0.03)^($A38-'A - Inputs'!$C$6)</f>
        <v>0</v>
      </c>
      <c r="S38" s="39">
        <f>$Q38/(1+0.07)^($A38-'A - Inputs'!$C$6)</f>
        <v>0</v>
      </c>
    </row>
    <row r="39" spans="1:19" x14ac:dyDescent="0.25">
      <c r="A39" s="161">
        <f t="shared" si="2"/>
        <v>2052</v>
      </c>
      <c r="B39" s="183">
        <f t="shared" si="3"/>
        <v>30</v>
      </c>
      <c r="C39" s="116">
        <f>'E - Construction &amp; Residual'!D41</f>
        <v>0</v>
      </c>
      <c r="D39" s="33">
        <f t="shared" si="6"/>
        <v>0</v>
      </c>
      <c r="E39" s="33">
        <f>$D39/(1+0.03)^($A39-'A - Inputs'!$C$6)</f>
        <v>0</v>
      </c>
      <c r="F39" s="39">
        <f>$D39/(1+0.07)^($A39-'A - Inputs'!$C$6)</f>
        <v>0</v>
      </c>
      <c r="H39" s="161">
        <f t="shared" si="4"/>
        <v>2052</v>
      </c>
      <c r="I39" s="183">
        <f t="shared" si="5"/>
        <v>30</v>
      </c>
      <c r="J39" s="53">
        <f>'E - Construction &amp; Residual'!M41</f>
        <v>0</v>
      </c>
      <c r="K39" s="53">
        <f>'F - Maintenance Costs'!J42</f>
        <v>0</v>
      </c>
      <c r="L39" s="53">
        <f>'G - Safety'!AK53</f>
        <v>0</v>
      </c>
      <c r="M39" s="53">
        <f>'H - Travel Time'!T41</f>
        <v>0</v>
      </c>
      <c r="N39" s="53">
        <f>'I - Environmental'!AL34</f>
        <v>0</v>
      </c>
      <c r="O39" s="53">
        <f>'K - Economic Output'!G42</f>
        <v>0</v>
      </c>
      <c r="P39" s="53">
        <f>'J-Technology'!I60</f>
        <v>0</v>
      </c>
      <c r="Q39" s="33">
        <f t="shared" si="7"/>
        <v>0</v>
      </c>
      <c r="R39" s="33">
        <f>$Q39/(1+0.03)^($A39-'A - Inputs'!$C$6)</f>
        <v>0</v>
      </c>
      <c r="S39" s="39">
        <f>$Q39/(1+0.07)^($A39-'A - Inputs'!$C$6)</f>
        <v>0</v>
      </c>
    </row>
    <row r="40" spans="1:19" x14ac:dyDescent="0.25">
      <c r="A40" s="161">
        <f t="shared" si="2"/>
        <v>2053</v>
      </c>
      <c r="B40" s="183">
        <f t="shared" si="3"/>
        <v>31</v>
      </c>
      <c r="C40" s="116">
        <f>'E - Construction &amp; Residual'!D42</f>
        <v>0</v>
      </c>
      <c r="D40" s="33">
        <f t="shared" si="6"/>
        <v>0</v>
      </c>
      <c r="E40" s="33">
        <f>$D40/(1+0.03)^($A40-'A - Inputs'!$C$6)</f>
        <v>0</v>
      </c>
      <c r="F40" s="39">
        <f>$D40/(1+0.07)^($A40-'A - Inputs'!$C$6)</f>
        <v>0</v>
      </c>
      <c r="H40" s="161">
        <f t="shared" si="4"/>
        <v>2053</v>
      </c>
      <c r="I40" s="183">
        <f t="shared" si="5"/>
        <v>31</v>
      </c>
      <c r="J40" s="53">
        <f>'E - Construction &amp; Residual'!M42</f>
        <v>0</v>
      </c>
      <c r="K40" s="53">
        <f>'F - Maintenance Costs'!J43</f>
        <v>0</v>
      </c>
      <c r="L40" s="53">
        <f>'G - Safety'!AK54</f>
        <v>0</v>
      </c>
      <c r="M40" s="53">
        <f>'H - Travel Time'!T42</f>
        <v>0</v>
      </c>
      <c r="N40" s="53">
        <f>'I - Environmental'!AL35</f>
        <v>0</v>
      </c>
      <c r="O40" s="53">
        <f>'K - Economic Output'!G43</f>
        <v>0</v>
      </c>
      <c r="P40" s="53">
        <f>'J-Technology'!I61</f>
        <v>0</v>
      </c>
      <c r="Q40" s="33">
        <f t="shared" si="7"/>
        <v>0</v>
      </c>
      <c r="R40" s="33">
        <f>$Q40/(1+0.03)^($A40-'A - Inputs'!$C$6)</f>
        <v>0</v>
      </c>
      <c r="S40" s="39">
        <f>$Q40/(1+0.07)^($A40-'A - Inputs'!$C$6)</f>
        <v>0</v>
      </c>
    </row>
    <row r="41" spans="1:19" x14ac:dyDescent="0.25">
      <c r="A41" s="161">
        <f t="shared" si="2"/>
        <v>2054</v>
      </c>
      <c r="B41" s="183">
        <f t="shared" si="3"/>
        <v>32</v>
      </c>
      <c r="C41" s="116">
        <f>'E - Construction &amp; Residual'!D43</f>
        <v>0</v>
      </c>
      <c r="D41" s="33">
        <f t="shared" si="6"/>
        <v>0</v>
      </c>
      <c r="E41" s="33">
        <f>$D41/(1+0.03)^($A41-'A - Inputs'!$C$6)</f>
        <v>0</v>
      </c>
      <c r="F41" s="39">
        <f>$D41/(1+0.07)^($A41-'A - Inputs'!$C$6)</f>
        <v>0</v>
      </c>
      <c r="H41" s="161">
        <f t="shared" si="4"/>
        <v>2054</v>
      </c>
      <c r="I41" s="183">
        <f t="shared" si="5"/>
        <v>32</v>
      </c>
      <c r="J41" s="53">
        <f>'E - Construction &amp; Residual'!M43</f>
        <v>0</v>
      </c>
      <c r="K41" s="53">
        <f>'F - Maintenance Costs'!J44</f>
        <v>0</v>
      </c>
      <c r="L41" s="53">
        <f>'G - Safety'!AK55</f>
        <v>0</v>
      </c>
      <c r="M41" s="53">
        <f>'H - Travel Time'!T43</f>
        <v>0</v>
      </c>
      <c r="N41" s="53">
        <f>'I - Environmental'!AL36</f>
        <v>0</v>
      </c>
      <c r="O41" s="53">
        <f>'K - Economic Output'!G44</f>
        <v>0</v>
      </c>
      <c r="P41" s="53">
        <f>'J-Technology'!I62</f>
        <v>0</v>
      </c>
      <c r="Q41" s="33">
        <f t="shared" si="7"/>
        <v>0</v>
      </c>
      <c r="R41" s="33">
        <f>$Q41/(1+0.03)^($A41-'A - Inputs'!$C$6)</f>
        <v>0</v>
      </c>
      <c r="S41" s="39">
        <f>$Q41/(1+0.07)^($A41-'A - Inputs'!$C$6)</f>
        <v>0</v>
      </c>
    </row>
    <row r="42" spans="1:19" x14ac:dyDescent="0.25">
      <c r="A42" s="161">
        <f t="shared" si="2"/>
        <v>2055</v>
      </c>
      <c r="B42" s="183">
        <f t="shared" si="3"/>
        <v>33</v>
      </c>
      <c r="C42" s="116">
        <f>'E - Construction &amp; Residual'!D44</f>
        <v>0</v>
      </c>
      <c r="D42" s="33">
        <f t="shared" si="6"/>
        <v>0</v>
      </c>
      <c r="E42" s="33">
        <f>$D42/(1+0.03)^($A42-'A - Inputs'!$C$6)</f>
        <v>0</v>
      </c>
      <c r="F42" s="39">
        <f>$D42/(1+0.07)^($A42-'A - Inputs'!$C$6)</f>
        <v>0</v>
      </c>
      <c r="H42" s="161">
        <f t="shared" si="4"/>
        <v>2055</v>
      </c>
      <c r="I42" s="183">
        <f t="shared" si="5"/>
        <v>33</v>
      </c>
      <c r="J42" s="53">
        <f>'E - Construction &amp; Residual'!M44</f>
        <v>0</v>
      </c>
      <c r="K42" s="53">
        <f>'F - Maintenance Costs'!J45</f>
        <v>0</v>
      </c>
      <c r="L42" s="53">
        <f>'G - Safety'!AK56</f>
        <v>0</v>
      </c>
      <c r="M42" s="53">
        <f>'H - Travel Time'!T44</f>
        <v>0</v>
      </c>
      <c r="N42" s="53">
        <f>'I - Environmental'!AL37</f>
        <v>0</v>
      </c>
      <c r="O42" s="53">
        <f>'K - Economic Output'!G45</f>
        <v>0</v>
      </c>
      <c r="P42" s="53">
        <f>'J-Technology'!I63</f>
        <v>0</v>
      </c>
      <c r="Q42" s="33">
        <f t="shared" si="7"/>
        <v>0</v>
      </c>
      <c r="R42" s="33">
        <f>$Q42/(1+0.03)^($A42-'A - Inputs'!$C$6)</f>
        <v>0</v>
      </c>
      <c r="S42" s="39">
        <f>$Q42/(1+0.07)^($A42-'A - Inputs'!$C$6)</f>
        <v>0</v>
      </c>
    </row>
    <row r="43" spans="1:19" x14ac:dyDescent="0.25">
      <c r="A43" s="161">
        <f t="shared" si="2"/>
        <v>2056</v>
      </c>
      <c r="B43" s="183">
        <f t="shared" si="3"/>
        <v>34</v>
      </c>
      <c r="C43" s="116">
        <f>'E - Construction &amp; Residual'!D45</f>
        <v>0</v>
      </c>
      <c r="D43" s="33">
        <f t="shared" si="6"/>
        <v>0</v>
      </c>
      <c r="E43" s="33">
        <f>$D43/(1+0.03)^($A43-'A - Inputs'!$C$6)</f>
        <v>0</v>
      </c>
      <c r="F43" s="39">
        <f>$D43/(1+0.07)^($A43-'A - Inputs'!$C$6)</f>
        <v>0</v>
      </c>
      <c r="H43" s="161">
        <f t="shared" si="4"/>
        <v>2056</v>
      </c>
      <c r="I43" s="183">
        <f t="shared" si="5"/>
        <v>34</v>
      </c>
      <c r="J43" s="53">
        <f>'E - Construction &amp; Residual'!M45</f>
        <v>0</v>
      </c>
      <c r="K43" s="53">
        <f>'F - Maintenance Costs'!J46</f>
        <v>0</v>
      </c>
      <c r="L43" s="53">
        <f>'G - Safety'!AK57</f>
        <v>0</v>
      </c>
      <c r="M43" s="53">
        <f>'H - Travel Time'!T45</f>
        <v>0</v>
      </c>
      <c r="N43" s="53">
        <f>'I - Environmental'!AL38</f>
        <v>0</v>
      </c>
      <c r="O43" s="53">
        <f>'K - Economic Output'!G46</f>
        <v>0</v>
      </c>
      <c r="P43" s="53">
        <f>'J-Technology'!I64</f>
        <v>0</v>
      </c>
      <c r="Q43" s="33">
        <f t="shared" si="7"/>
        <v>0</v>
      </c>
      <c r="R43" s="33">
        <f>$Q43/(1+0.03)^($A43-'A - Inputs'!$C$6)</f>
        <v>0</v>
      </c>
      <c r="S43" s="39">
        <f>$Q43/(1+0.07)^($A43-'A - Inputs'!$C$6)</f>
        <v>0</v>
      </c>
    </row>
    <row r="44" spans="1:19" x14ac:dyDescent="0.25">
      <c r="A44" s="161">
        <f t="shared" si="2"/>
        <v>2057</v>
      </c>
      <c r="B44" s="183">
        <f t="shared" si="3"/>
        <v>35</v>
      </c>
      <c r="C44" s="116">
        <f>'E - Construction &amp; Residual'!D46</f>
        <v>0</v>
      </c>
      <c r="D44" s="33">
        <f t="shared" si="6"/>
        <v>0</v>
      </c>
      <c r="E44" s="33">
        <f>$D44/(1+0.03)^($A44-'A - Inputs'!$C$6)</f>
        <v>0</v>
      </c>
      <c r="F44" s="39">
        <f>$D44/(1+0.07)^($A44-'A - Inputs'!$C$6)</f>
        <v>0</v>
      </c>
      <c r="H44" s="161">
        <f t="shared" si="4"/>
        <v>2057</v>
      </c>
      <c r="I44" s="183">
        <f t="shared" si="5"/>
        <v>35</v>
      </c>
      <c r="J44" s="53">
        <f>'E - Construction &amp; Residual'!M46</f>
        <v>0</v>
      </c>
      <c r="K44" s="53">
        <f>'F - Maintenance Costs'!J47</f>
        <v>0</v>
      </c>
      <c r="L44" s="53">
        <f>'G - Safety'!AK58</f>
        <v>0</v>
      </c>
      <c r="M44" s="53">
        <f>'H - Travel Time'!T46</f>
        <v>0</v>
      </c>
      <c r="N44" s="53">
        <f>'I - Environmental'!AL39</f>
        <v>0</v>
      </c>
      <c r="O44" s="53">
        <f>'K - Economic Output'!G47</f>
        <v>0</v>
      </c>
      <c r="P44" s="53">
        <f>'J-Technology'!I65</f>
        <v>0</v>
      </c>
      <c r="Q44" s="33">
        <f t="shared" si="7"/>
        <v>0</v>
      </c>
      <c r="R44" s="33">
        <f>$Q44/(1+0.03)^($A44-'A - Inputs'!$C$6)</f>
        <v>0</v>
      </c>
      <c r="S44" s="39">
        <f>$Q44/(1+0.07)^($A44-'A - Inputs'!$C$6)</f>
        <v>0</v>
      </c>
    </row>
    <row r="45" spans="1:19" x14ac:dyDescent="0.25">
      <c r="A45" s="41" t="s">
        <v>80</v>
      </c>
      <c r="B45" s="42"/>
      <c r="C45" s="117">
        <f>SUM(C9:C44)</f>
        <v>345150563.33315933</v>
      </c>
      <c r="D45" s="45">
        <f t="shared" ref="D45:F45" si="8">SUM(D9:D44)</f>
        <v>345150563.33315933</v>
      </c>
      <c r="E45" s="45">
        <f t="shared" si="8"/>
        <v>292811351.93604261</v>
      </c>
      <c r="F45" s="46">
        <f t="shared" si="8"/>
        <v>237634062.65168041</v>
      </c>
      <c r="H45" s="41" t="s">
        <v>80</v>
      </c>
      <c r="I45" s="42"/>
      <c r="J45" s="81">
        <f>SUM(J9:J44)</f>
        <v>116669683.02570334</v>
      </c>
      <c r="K45" s="83">
        <f>SUM(K9:K44)</f>
        <v>-5234848.8400000008</v>
      </c>
      <c r="L45" s="83">
        <f t="shared" ref="L45:R45" si="9">SUM(L9:L44)</f>
        <v>307402025.39999974</v>
      </c>
      <c r="M45" s="83">
        <f t="shared" si="9"/>
        <v>33106940.428422697</v>
      </c>
      <c r="N45" s="83">
        <f t="shared" si="9"/>
        <v>2954840.0848110463</v>
      </c>
      <c r="O45" s="83">
        <f t="shared" si="9"/>
        <v>204511661.95948946</v>
      </c>
      <c r="P45" s="83">
        <f t="shared" si="9"/>
        <v>530680768.07298392</v>
      </c>
      <c r="Q45" s="83">
        <f t="shared" si="9"/>
        <v>1190091070.1314104</v>
      </c>
      <c r="R45" s="83">
        <f t="shared" si="9"/>
        <v>730611069.73313189</v>
      </c>
      <c r="S45" s="46">
        <f t="shared" ref="S45" si="10">SUM(S9:S44)</f>
        <v>419222127.18360245</v>
      </c>
    </row>
  </sheetData>
  <pageMargins left="0.7" right="0.7" top="0.75" bottom="0.75" header="0.3" footer="0.3"/>
  <pageSetup scale="69" fitToWidth="2" orientation="landscape" r:id="rId1"/>
  <headerFooter>
    <oddHeader>&amp;L&amp;"Arial,Bold"FDOT - INFRA Grant for I-95&amp;R&amp;"Arial,Bold"&amp;A</oddHeader>
    <oddFooter>&amp;CPage C-&amp;P</oddFooter>
  </headerFooter>
  <colBreaks count="1" manualBreakCount="1">
    <brk id="7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FF6A0-2277-4430-AE98-31C35E96F94D}">
  <sheetPr codeName="Sheet4">
    <pageSetUpPr fitToPage="1"/>
  </sheetPr>
  <dimension ref="A1:M236"/>
  <sheetViews>
    <sheetView view="pageLayout" zoomScaleNormal="90" workbookViewId="0">
      <selection activeCell="I22" sqref="I22:L24"/>
    </sheetView>
  </sheetViews>
  <sheetFormatPr defaultColWidth="8.7109375" defaultRowHeight="12.75" x14ac:dyDescent="0.2"/>
  <cols>
    <col min="1" max="1" width="43.28515625" style="28" bestFit="1" customWidth="1"/>
    <col min="2" max="2" width="14.85546875" style="28" bestFit="1" customWidth="1"/>
    <col min="3" max="3" width="14.85546875" style="516" bestFit="1" customWidth="1"/>
    <col min="4" max="4" width="14.85546875" style="28" bestFit="1" customWidth="1"/>
    <col min="5" max="5" width="15.42578125" style="65" bestFit="1" customWidth="1"/>
    <col min="6" max="6" width="11.140625" style="65" bestFit="1" customWidth="1"/>
    <col min="7" max="7" width="8.85546875" style="28" bestFit="1" customWidth="1"/>
    <col min="8" max="8" width="15.7109375" style="28" bestFit="1" customWidth="1"/>
    <col min="9" max="9" width="17.7109375" style="28" bestFit="1" customWidth="1"/>
    <col min="10" max="10" width="16.85546875" style="28" bestFit="1" customWidth="1"/>
    <col min="11" max="11" width="17.7109375" style="28" bestFit="1" customWidth="1"/>
    <col min="12" max="12" width="9" style="28" bestFit="1" customWidth="1"/>
    <col min="13" max="13" width="9.85546875" style="28" bestFit="1" customWidth="1"/>
    <col min="14" max="16384" width="8.7109375" style="28"/>
  </cols>
  <sheetData>
    <row r="1" spans="1:13" ht="18.75" x14ac:dyDescent="0.2">
      <c r="A1" s="54" t="s">
        <v>81</v>
      </c>
      <c r="B1" s="150"/>
      <c r="C1" s="150"/>
      <c r="D1" s="150"/>
      <c r="F1" s="65" t="s">
        <v>645</v>
      </c>
      <c r="G1" s="28" t="s">
        <v>646</v>
      </c>
    </row>
    <row r="2" spans="1:13" ht="15" x14ac:dyDescent="0.2">
      <c r="A2" s="56" t="s">
        <v>416</v>
      </c>
      <c r="B2" s="151"/>
      <c r="C2" s="151"/>
      <c r="D2" s="151"/>
      <c r="G2" s="28" t="s">
        <v>648</v>
      </c>
    </row>
    <row r="3" spans="1:13" ht="15" x14ac:dyDescent="0.2">
      <c r="A3" s="530"/>
      <c r="B3" s="531"/>
      <c r="C3" s="535"/>
      <c r="D3" s="532"/>
      <c r="F3" s="55" t="s">
        <v>680</v>
      </c>
      <c r="G3" s="509">
        <v>0.02</v>
      </c>
    </row>
    <row r="4" spans="1:13" ht="15.75" thickBot="1" x14ac:dyDescent="0.25">
      <c r="A4" s="57"/>
      <c r="B4" s="508"/>
      <c r="C4" s="533"/>
      <c r="D4" s="152"/>
      <c r="I4" s="431" t="s">
        <v>642</v>
      </c>
      <c r="J4" s="431" t="s">
        <v>643</v>
      </c>
      <c r="K4" s="431" t="s">
        <v>80</v>
      </c>
    </row>
    <row r="5" spans="1:13" ht="15.75" thickBot="1" x14ac:dyDescent="0.3">
      <c r="A5" s="58" t="s">
        <v>82</v>
      </c>
      <c r="B5" s="59" t="s">
        <v>682</v>
      </c>
      <c r="C5" s="534" t="s">
        <v>679</v>
      </c>
      <c r="D5" s="59" t="s">
        <v>681</v>
      </c>
      <c r="E5" s="536" t="s">
        <v>83</v>
      </c>
      <c r="F5" s="64" t="s">
        <v>84</v>
      </c>
      <c r="G5" s="31"/>
      <c r="H5" s="31" t="s">
        <v>85</v>
      </c>
      <c r="I5" s="33">
        <f>SUMIF($E$5:$E$233,H5,$D$5:$D$233)-$D$223-$D$224</f>
        <v>137302520.936353</v>
      </c>
      <c r="J5" s="33">
        <f>($D$223+$D$224)*I5/$I$9</f>
        <v>16803159.283219285</v>
      </c>
      <c r="K5" s="33">
        <f>I5+J5</f>
        <v>154105680.21957228</v>
      </c>
    </row>
    <row r="6" spans="1:13" ht="15.75" thickTop="1" x14ac:dyDescent="0.25">
      <c r="A6" s="211" t="s">
        <v>207</v>
      </c>
      <c r="B6" s="212">
        <v>15956523.27</v>
      </c>
      <c r="C6" s="510">
        <v>2023</v>
      </c>
      <c r="D6" s="212">
        <f t="shared" ref="D6:D69" si="0">B6/(1+$G$3)^(C6-BaseYear)</f>
        <v>14741361.038275138</v>
      </c>
      <c r="E6" s="65" t="s">
        <v>85</v>
      </c>
      <c r="F6" s="66" t="s">
        <v>87</v>
      </c>
      <c r="G6" s="31"/>
      <c r="H6" s="31" t="s">
        <v>86</v>
      </c>
      <c r="I6" s="33">
        <f>SUMIF($E$5:$E$233,H6,$D$5:$D$233)</f>
        <v>29729990.902155023</v>
      </c>
      <c r="J6" s="33">
        <f t="shared" ref="J6:J8" si="1">($D$223+$D$224)*I6/$I$9</f>
        <v>3638372.909767204</v>
      </c>
      <c r="K6" s="33">
        <f t="shared" ref="K6:K7" si="2">I6+J6</f>
        <v>33368363.811922226</v>
      </c>
    </row>
    <row r="7" spans="1:13" ht="15" x14ac:dyDescent="0.25">
      <c r="A7" s="211" t="s">
        <v>94</v>
      </c>
      <c r="B7" s="212">
        <v>17552175.600000001</v>
      </c>
      <c r="C7" s="510">
        <v>2023</v>
      </c>
      <c r="D7" s="212">
        <f t="shared" si="0"/>
        <v>16215497.144874189</v>
      </c>
      <c r="E7" s="65" t="s">
        <v>85</v>
      </c>
      <c r="F7" s="66" t="s">
        <v>87</v>
      </c>
      <c r="G7" s="31"/>
      <c r="H7" s="31" t="s">
        <v>88</v>
      </c>
      <c r="I7" s="33">
        <f>SUMIF($E$5:$E$233,H7,$D$5:$D$233)</f>
        <v>76435041.868767083</v>
      </c>
      <c r="J7" s="33">
        <f t="shared" si="1"/>
        <v>9354163.1616202649</v>
      </c>
      <c r="K7" s="33">
        <f t="shared" si="2"/>
        <v>85789205.030387342</v>
      </c>
    </row>
    <row r="8" spans="1:13" ht="15" x14ac:dyDescent="0.25">
      <c r="A8" s="211" t="s">
        <v>208</v>
      </c>
      <c r="B8" s="212">
        <v>498238</v>
      </c>
      <c r="C8" s="510">
        <v>2023</v>
      </c>
      <c r="D8" s="212">
        <f t="shared" si="0"/>
        <v>460294.89737259841</v>
      </c>
      <c r="E8" s="65" t="s">
        <v>85</v>
      </c>
      <c r="F8" s="66" t="s">
        <v>87</v>
      </c>
      <c r="G8" s="31"/>
      <c r="H8" s="31" t="s">
        <v>98</v>
      </c>
      <c r="I8" s="33">
        <f>SUMIF($E$5:$E$233,H8,$D$5:$D$233)</f>
        <v>64048966</v>
      </c>
      <c r="J8" s="33">
        <f t="shared" si="1"/>
        <v>7838348.2712774351</v>
      </c>
      <c r="K8" s="33">
        <f>I8+J8</f>
        <v>71887314.271277428</v>
      </c>
    </row>
    <row r="9" spans="1:13" ht="15" x14ac:dyDescent="0.25">
      <c r="A9" s="211" t="s">
        <v>209</v>
      </c>
      <c r="B9" s="212">
        <v>53287.083100000003</v>
      </c>
      <c r="C9" s="510">
        <v>2023</v>
      </c>
      <c r="D9" s="212">
        <f t="shared" si="0"/>
        <v>49229.027988229769</v>
      </c>
      <c r="E9" s="65" t="s">
        <v>85</v>
      </c>
      <c r="F9" s="66" t="s">
        <v>87</v>
      </c>
      <c r="G9" s="31"/>
      <c r="H9" s="60" t="s">
        <v>80</v>
      </c>
      <c r="I9" s="62">
        <f>SUM(I5:I8)</f>
        <v>307516519.70727509</v>
      </c>
      <c r="J9" s="62">
        <f>SUM(J5:J8)</f>
        <v>37634043.62588419</v>
      </c>
      <c r="K9" s="62">
        <f>SUM(K5:K8)</f>
        <v>345150563.33315927</v>
      </c>
      <c r="M9" s="456"/>
    </row>
    <row r="10" spans="1:13" ht="15" x14ac:dyDescent="0.25">
      <c r="A10" s="211" t="s">
        <v>210</v>
      </c>
      <c r="B10" s="212">
        <v>29167.1073</v>
      </c>
      <c r="C10" s="510">
        <v>2023</v>
      </c>
      <c r="D10" s="212">
        <f t="shared" si="0"/>
        <v>26945.898669529553</v>
      </c>
      <c r="E10" s="65" t="s">
        <v>85</v>
      </c>
      <c r="F10" s="66" t="s">
        <v>87</v>
      </c>
      <c r="G10" s="31"/>
      <c r="J10" s="31"/>
    </row>
    <row r="11" spans="1:13" ht="15" x14ac:dyDescent="0.25">
      <c r="A11" s="211" t="s">
        <v>211</v>
      </c>
      <c r="B11" s="212">
        <v>100855.03999999999</v>
      </c>
      <c r="C11" s="510">
        <v>2023</v>
      </c>
      <c r="D11" s="212">
        <f t="shared" si="0"/>
        <v>93174.467395721134</v>
      </c>
      <c r="E11" s="65" t="s">
        <v>85</v>
      </c>
      <c r="F11" s="66" t="s">
        <v>87</v>
      </c>
      <c r="G11" s="31"/>
    </row>
    <row r="12" spans="1:13" ht="15" x14ac:dyDescent="0.25">
      <c r="A12" s="211" t="s">
        <v>212</v>
      </c>
      <c r="B12" s="212">
        <v>9524.76</v>
      </c>
      <c r="C12" s="510">
        <v>2023</v>
      </c>
      <c r="D12" s="212">
        <f t="shared" si="0"/>
        <v>8799.405960000302</v>
      </c>
      <c r="E12" s="65" t="s">
        <v>85</v>
      </c>
      <c r="F12" s="66" t="s">
        <v>87</v>
      </c>
      <c r="G12" s="31"/>
    </row>
    <row r="13" spans="1:13" ht="15" x14ac:dyDescent="0.25">
      <c r="A13" s="211" t="s">
        <v>213</v>
      </c>
      <c r="B13" s="212">
        <v>15191.4112</v>
      </c>
      <c r="C13" s="510">
        <v>2023</v>
      </c>
      <c r="D13" s="212">
        <f t="shared" si="0"/>
        <v>14034.515752007961</v>
      </c>
      <c r="E13" s="65" t="s">
        <v>85</v>
      </c>
      <c r="F13" s="66" t="s">
        <v>87</v>
      </c>
      <c r="G13" s="31"/>
      <c r="H13" s="31" t="s">
        <v>89</v>
      </c>
      <c r="I13" s="31"/>
      <c r="J13" s="55" t="s">
        <v>90</v>
      </c>
      <c r="K13" s="55" t="s">
        <v>91</v>
      </c>
      <c r="L13" s="61" t="s">
        <v>92</v>
      </c>
    </row>
    <row r="14" spans="1:13" ht="15" x14ac:dyDescent="0.25">
      <c r="A14" s="211" t="s">
        <v>214</v>
      </c>
      <c r="B14" s="212">
        <v>26502.618200000001</v>
      </c>
      <c r="C14" s="510">
        <v>2023</v>
      </c>
      <c r="D14" s="212">
        <f t="shared" si="0"/>
        <v>24484.322601797052</v>
      </c>
      <c r="E14" s="65" t="s">
        <v>85</v>
      </c>
      <c r="F14" s="66" t="s">
        <v>87</v>
      </c>
      <c r="G14" s="31"/>
      <c r="H14" s="31">
        <v>2022</v>
      </c>
      <c r="I14" s="33">
        <f t="shared" ref="I14:I19" si="3">SUMIF($F$6:$F$233,$H14,$D$6:$D$233)+SUMIF($F$6:$F$233,"start",$D$6:$D$233)*J14+SUMIF($F$6:$F$233,"end",$D$6:$D$233)*K14+SUMIF($F$6:$F$233,"all",$D$6:$D$233)*L14</f>
        <v>38800826</v>
      </c>
      <c r="J14" s="63">
        <v>0.5</v>
      </c>
      <c r="K14" s="63">
        <v>0</v>
      </c>
      <c r="L14" s="63">
        <v>0</v>
      </c>
    </row>
    <row r="15" spans="1:13" ht="15" x14ac:dyDescent="0.25">
      <c r="A15" s="211" t="s">
        <v>215</v>
      </c>
      <c r="B15" s="212">
        <v>2970602.8259000001</v>
      </c>
      <c r="C15" s="510">
        <v>2023</v>
      </c>
      <c r="D15" s="212">
        <f t="shared" si="0"/>
        <v>2744377.8332491526</v>
      </c>
      <c r="E15" s="65" t="s">
        <v>85</v>
      </c>
      <c r="F15" s="66" t="s">
        <v>87</v>
      </c>
      <c r="G15" s="31"/>
      <c r="H15" s="31">
        <f>H14+1</f>
        <v>2023</v>
      </c>
      <c r="I15" s="33">
        <f t="shared" si="3"/>
        <v>57795551.933315933</v>
      </c>
      <c r="J15" s="63">
        <v>0.4</v>
      </c>
      <c r="K15" s="63">
        <v>0</v>
      </c>
      <c r="L15" s="63">
        <v>0.1</v>
      </c>
    </row>
    <row r="16" spans="1:13" ht="15" x14ac:dyDescent="0.25">
      <c r="A16" s="211" t="s">
        <v>216</v>
      </c>
      <c r="B16" s="212">
        <v>7056898.0300000003</v>
      </c>
      <c r="C16" s="510">
        <v>2023</v>
      </c>
      <c r="D16" s="212">
        <f t="shared" si="0"/>
        <v>6519482.9669510191</v>
      </c>
      <c r="E16" s="65" t="s">
        <v>85</v>
      </c>
      <c r="F16" s="66" t="s">
        <v>87</v>
      </c>
      <c r="G16" s="31"/>
      <c r="H16" s="31">
        <f t="shared" ref="H16:H19" si="4">H15+1</f>
        <v>2024</v>
      </c>
      <c r="I16" s="33">
        <f t="shared" si="3"/>
        <v>66620925.693295054</v>
      </c>
      <c r="J16" s="63">
        <v>0.1</v>
      </c>
      <c r="K16" s="63">
        <v>0</v>
      </c>
      <c r="L16" s="63">
        <v>0.22</v>
      </c>
    </row>
    <row r="17" spans="1:12" ht="15" x14ac:dyDescent="0.25">
      <c r="A17" s="211" t="s">
        <v>217</v>
      </c>
      <c r="B17" s="212">
        <v>3402139.59</v>
      </c>
      <c r="C17" s="510">
        <v>2023</v>
      </c>
      <c r="D17" s="212">
        <f t="shared" si="0"/>
        <v>3143051.0989252203</v>
      </c>
      <c r="E17" s="65" t="s">
        <v>85</v>
      </c>
      <c r="F17" s="66" t="s">
        <v>87</v>
      </c>
      <c r="G17" s="31"/>
      <c r="H17" s="31">
        <f t="shared" si="4"/>
        <v>2025</v>
      </c>
      <c r="I17" s="33">
        <f t="shared" si="3"/>
        <v>69562716.946621433</v>
      </c>
      <c r="J17" s="63">
        <v>0</v>
      </c>
      <c r="K17" s="63">
        <v>0</v>
      </c>
      <c r="L17" s="63">
        <v>0.26</v>
      </c>
    </row>
    <row r="18" spans="1:12" ht="15" x14ac:dyDescent="0.25">
      <c r="A18" s="211" t="s">
        <v>218</v>
      </c>
      <c r="B18" s="212">
        <v>58667.51</v>
      </c>
      <c r="C18" s="510">
        <v>2023</v>
      </c>
      <c r="D18" s="212">
        <f t="shared" si="0"/>
        <v>54199.710769864789</v>
      </c>
      <c r="E18" s="65" t="s">
        <v>85</v>
      </c>
      <c r="F18" s="66" t="s">
        <v>87</v>
      </c>
      <c r="G18" s="31"/>
      <c r="H18" s="31">
        <f t="shared" si="4"/>
        <v>2026</v>
      </c>
      <c r="I18" s="33">
        <f t="shared" si="3"/>
        <v>64211738.719958238</v>
      </c>
      <c r="J18" s="63">
        <v>0</v>
      </c>
      <c r="K18" s="63">
        <v>0</v>
      </c>
      <c r="L18" s="63">
        <v>0.24</v>
      </c>
    </row>
    <row r="19" spans="1:12" ht="15" x14ac:dyDescent="0.25">
      <c r="A19" s="211" t="s">
        <v>219</v>
      </c>
      <c r="B19" s="212">
        <v>4116420</v>
      </c>
      <c r="C19" s="510">
        <v>2023</v>
      </c>
      <c r="D19" s="212">
        <f t="shared" si="0"/>
        <v>3802935.7886040639</v>
      </c>
      <c r="E19" s="65" t="s">
        <v>85</v>
      </c>
      <c r="F19" s="66" t="s">
        <v>87</v>
      </c>
      <c r="G19" s="31"/>
      <c r="H19" s="31">
        <f t="shared" si="4"/>
        <v>2027</v>
      </c>
      <c r="I19" s="33">
        <f t="shared" si="3"/>
        <v>48158804.039968677</v>
      </c>
      <c r="J19" s="63">
        <v>0</v>
      </c>
      <c r="K19" s="63">
        <v>0</v>
      </c>
      <c r="L19" s="63">
        <v>0.18</v>
      </c>
    </row>
    <row r="20" spans="1:12" ht="15" x14ac:dyDescent="0.25">
      <c r="A20" s="211" t="s">
        <v>220</v>
      </c>
      <c r="B20" s="212">
        <v>9286771.7753999997</v>
      </c>
      <c r="C20" s="510">
        <v>2023</v>
      </c>
      <c r="D20" s="212">
        <f t="shared" si="0"/>
        <v>8579541.6272554211</v>
      </c>
      <c r="E20" s="65" t="s">
        <v>85</v>
      </c>
      <c r="F20" s="66" t="s">
        <v>87</v>
      </c>
      <c r="G20" s="31"/>
      <c r="H20" s="60" t="s">
        <v>80</v>
      </c>
      <c r="I20" s="62">
        <f>SUM(I14:I19)</f>
        <v>345150563.33315933</v>
      </c>
      <c r="J20" s="24">
        <f>SUM(J14:J19)</f>
        <v>1</v>
      </c>
      <c r="K20" s="24">
        <f>SUM(K14:K19)</f>
        <v>0</v>
      </c>
      <c r="L20" s="24">
        <f>SUM(L14:L19)</f>
        <v>1</v>
      </c>
    </row>
    <row r="21" spans="1:12" ht="15" x14ac:dyDescent="0.25">
      <c r="A21" s="211" t="s">
        <v>221</v>
      </c>
      <c r="B21" s="212">
        <v>2048016.8078999999</v>
      </c>
      <c r="C21" s="510">
        <v>2023</v>
      </c>
      <c r="D21" s="212">
        <f t="shared" si="0"/>
        <v>1892050.9604038373</v>
      </c>
      <c r="E21" s="65" t="s">
        <v>85</v>
      </c>
      <c r="F21" s="66" t="s">
        <v>87</v>
      </c>
      <c r="G21" s="31"/>
      <c r="H21" s="69" t="s">
        <v>93</v>
      </c>
      <c r="I21" s="68" t="b">
        <f>K9=I20</f>
        <v>1</v>
      </c>
      <c r="J21" s="31"/>
    </row>
    <row r="22" spans="1:12" ht="15" customHeight="1" x14ac:dyDescent="0.25">
      <c r="A22" s="211" t="s">
        <v>222</v>
      </c>
      <c r="B22" s="212">
        <v>294674.772</v>
      </c>
      <c r="C22" s="510">
        <v>2023</v>
      </c>
      <c r="D22" s="212">
        <f t="shared" si="0"/>
        <v>272233.94027760596</v>
      </c>
      <c r="E22" s="65" t="s">
        <v>88</v>
      </c>
      <c r="F22" s="66" t="s">
        <v>87</v>
      </c>
      <c r="G22" s="31"/>
      <c r="H22" s="28" t="s">
        <v>193</v>
      </c>
      <c r="I22" s="554" t="s">
        <v>647</v>
      </c>
      <c r="J22" s="554"/>
      <c r="K22" s="554"/>
      <c r="L22" s="554"/>
    </row>
    <row r="23" spans="1:12" ht="15" x14ac:dyDescent="0.25">
      <c r="A23" s="211" t="s">
        <v>223</v>
      </c>
      <c r="B23" s="212">
        <v>157659.83739999999</v>
      </c>
      <c r="C23" s="510">
        <v>2023</v>
      </c>
      <c r="D23" s="212">
        <f t="shared" si="0"/>
        <v>145653.31965007394</v>
      </c>
      <c r="E23" s="65" t="s">
        <v>88</v>
      </c>
      <c r="F23" s="66" t="s">
        <v>87</v>
      </c>
      <c r="G23" s="31"/>
      <c r="H23" s="31"/>
      <c r="I23" s="554"/>
      <c r="J23" s="554"/>
      <c r="K23" s="554"/>
      <c r="L23" s="554"/>
    </row>
    <row r="24" spans="1:12" ht="15" x14ac:dyDescent="0.25">
      <c r="A24" s="211" t="s">
        <v>224</v>
      </c>
      <c r="B24" s="212">
        <v>502757.18400000001</v>
      </c>
      <c r="C24" s="510">
        <v>2023</v>
      </c>
      <c r="D24" s="212">
        <f t="shared" si="0"/>
        <v>464469.9248403706</v>
      </c>
      <c r="E24" s="65" t="s">
        <v>88</v>
      </c>
      <c r="F24" s="66" t="s">
        <v>87</v>
      </c>
      <c r="G24" s="31"/>
      <c r="H24" s="31"/>
      <c r="I24" s="554"/>
      <c r="J24" s="554"/>
      <c r="K24" s="554"/>
      <c r="L24" s="554"/>
    </row>
    <row r="25" spans="1:12" ht="15" x14ac:dyDescent="0.25">
      <c r="A25" s="211" t="s">
        <v>225</v>
      </c>
      <c r="B25" s="212">
        <v>1559418.6764</v>
      </c>
      <c r="C25" s="510">
        <v>2023</v>
      </c>
      <c r="D25" s="212">
        <f t="shared" si="0"/>
        <v>1440661.8114524609</v>
      </c>
      <c r="E25" s="65" t="s">
        <v>88</v>
      </c>
      <c r="F25" s="66" t="s">
        <v>87</v>
      </c>
      <c r="G25" s="31"/>
      <c r="H25" s="31"/>
      <c r="I25" s="31"/>
      <c r="J25" s="31"/>
    </row>
    <row r="26" spans="1:12" ht="15" x14ac:dyDescent="0.25">
      <c r="A26" s="211" t="s">
        <v>226</v>
      </c>
      <c r="B26" s="212">
        <v>2526185.1510000001</v>
      </c>
      <c r="C26" s="510">
        <v>2023</v>
      </c>
      <c r="D26" s="212">
        <f t="shared" si="0"/>
        <v>2333804.5970474491</v>
      </c>
      <c r="E26" s="65" t="s">
        <v>88</v>
      </c>
      <c r="F26" s="66" t="s">
        <v>87</v>
      </c>
      <c r="G26" s="31"/>
      <c r="H26" s="31"/>
      <c r="I26" s="31"/>
      <c r="J26" s="31"/>
    </row>
    <row r="27" spans="1:12" ht="15" x14ac:dyDescent="0.25">
      <c r="A27" s="211" t="s">
        <v>227</v>
      </c>
      <c r="B27" s="212">
        <v>5002150.5999999996</v>
      </c>
      <c r="C27" s="510">
        <v>2023</v>
      </c>
      <c r="D27" s="212">
        <f t="shared" si="0"/>
        <v>4621213.9521057839</v>
      </c>
      <c r="E27" s="65" t="s">
        <v>88</v>
      </c>
      <c r="F27" s="66" t="s">
        <v>87</v>
      </c>
      <c r="G27" s="31"/>
      <c r="H27" s="31"/>
      <c r="I27" s="31"/>
      <c r="J27" s="31"/>
    </row>
    <row r="28" spans="1:12" ht="15" x14ac:dyDescent="0.25">
      <c r="A28" s="211" t="s">
        <v>228</v>
      </c>
      <c r="B28" s="212">
        <v>3967.05</v>
      </c>
      <c r="C28" s="510">
        <v>2023</v>
      </c>
      <c r="D28" s="212">
        <f t="shared" si="0"/>
        <v>3664.9409973184834</v>
      </c>
      <c r="E28" s="65" t="s">
        <v>88</v>
      </c>
      <c r="F28" s="66" t="s">
        <v>87</v>
      </c>
      <c r="G28" s="31"/>
      <c r="H28" s="31"/>
      <c r="I28" s="31"/>
      <c r="J28" s="31"/>
    </row>
    <row r="29" spans="1:12" ht="15" x14ac:dyDescent="0.25">
      <c r="A29" s="211" t="s">
        <v>229</v>
      </c>
      <c r="B29" s="212">
        <v>51670.277999999998</v>
      </c>
      <c r="C29" s="510">
        <v>2023</v>
      </c>
      <c r="D29" s="212">
        <f t="shared" si="0"/>
        <v>47735.349991818424</v>
      </c>
      <c r="E29" s="65" t="s">
        <v>88</v>
      </c>
      <c r="F29" s="66" t="s">
        <v>87</v>
      </c>
      <c r="G29" s="31"/>
      <c r="H29" s="31"/>
      <c r="I29" s="31"/>
      <c r="J29" s="31"/>
    </row>
    <row r="30" spans="1:12" ht="15" x14ac:dyDescent="0.25">
      <c r="A30" s="211" t="s">
        <v>230</v>
      </c>
      <c r="B30" s="212">
        <v>84851.73</v>
      </c>
      <c r="C30" s="510">
        <v>2023</v>
      </c>
      <c r="D30" s="212">
        <f t="shared" si="0"/>
        <v>78389.88265093675</v>
      </c>
      <c r="E30" s="65" t="s">
        <v>88</v>
      </c>
      <c r="F30" s="66" t="s">
        <v>87</v>
      </c>
      <c r="G30" s="31"/>
      <c r="H30" s="31"/>
      <c r="I30" s="31"/>
      <c r="J30" s="31"/>
    </row>
    <row r="31" spans="1:12" ht="15" x14ac:dyDescent="0.25">
      <c r="A31" s="211" t="s">
        <v>231</v>
      </c>
      <c r="B31" s="212">
        <v>40029.199999999997</v>
      </c>
      <c r="C31" s="510">
        <v>2023</v>
      </c>
      <c r="D31" s="212">
        <f t="shared" si="0"/>
        <v>36980.793327500542</v>
      </c>
      <c r="E31" s="65" t="s">
        <v>88</v>
      </c>
      <c r="F31" s="66" t="s">
        <v>87</v>
      </c>
      <c r="G31" s="31"/>
      <c r="H31" s="31"/>
      <c r="I31" s="31"/>
      <c r="J31" s="31"/>
    </row>
    <row r="32" spans="1:12" ht="15" x14ac:dyDescent="0.25">
      <c r="A32" s="211" t="s">
        <v>232</v>
      </c>
      <c r="B32" s="212">
        <v>642374.09279999998</v>
      </c>
      <c r="C32" s="510">
        <v>2023</v>
      </c>
      <c r="D32" s="212">
        <f t="shared" si="0"/>
        <v>593454.36743121152</v>
      </c>
      <c r="E32" s="65" t="s">
        <v>88</v>
      </c>
      <c r="F32" s="66" t="s">
        <v>87</v>
      </c>
      <c r="G32" s="31"/>
      <c r="H32" s="31"/>
      <c r="I32" s="31"/>
      <c r="J32" s="31"/>
    </row>
    <row r="33" spans="1:10" ht="15" x14ac:dyDescent="0.25">
      <c r="A33" s="211" t="s">
        <v>233</v>
      </c>
      <c r="B33" s="212">
        <v>377968.1752</v>
      </c>
      <c r="C33" s="510">
        <v>2023</v>
      </c>
      <c r="D33" s="212">
        <f t="shared" si="0"/>
        <v>349184.16984210815</v>
      </c>
      <c r="E33" s="65" t="s">
        <v>88</v>
      </c>
      <c r="F33" s="66" t="s">
        <v>87</v>
      </c>
      <c r="G33" s="31"/>
      <c r="H33" s="31"/>
      <c r="I33" s="31"/>
      <c r="J33" s="31"/>
    </row>
    <row r="34" spans="1:10" ht="15" x14ac:dyDescent="0.25">
      <c r="A34" s="211" t="s">
        <v>234</v>
      </c>
      <c r="B34" s="212">
        <v>1232237.4775</v>
      </c>
      <c r="C34" s="510">
        <v>2023</v>
      </c>
      <c r="D34" s="212">
        <f t="shared" si="0"/>
        <v>1138396.9573668248</v>
      </c>
      <c r="E34" s="65" t="s">
        <v>88</v>
      </c>
      <c r="F34" s="66" t="s">
        <v>87</v>
      </c>
      <c r="G34" s="31"/>
      <c r="H34" s="31"/>
      <c r="I34" s="31"/>
      <c r="J34" s="31"/>
    </row>
    <row r="35" spans="1:10" ht="15" x14ac:dyDescent="0.25">
      <c r="A35" s="211" t="s">
        <v>235</v>
      </c>
      <c r="B35" s="212">
        <v>196312.3132</v>
      </c>
      <c r="C35" s="510">
        <v>2023</v>
      </c>
      <c r="D35" s="212">
        <f t="shared" si="0"/>
        <v>181362.2326225045</v>
      </c>
      <c r="E35" s="65" t="s">
        <v>88</v>
      </c>
      <c r="F35" s="66" t="s">
        <v>87</v>
      </c>
      <c r="G35" s="31"/>
      <c r="H35" s="31"/>
      <c r="I35" s="31"/>
      <c r="J35" s="31"/>
    </row>
    <row r="36" spans="1:10" ht="15" x14ac:dyDescent="0.25">
      <c r="A36" s="211" t="s">
        <v>236</v>
      </c>
      <c r="B36" s="212">
        <v>1210225.9624000001</v>
      </c>
      <c r="C36" s="510">
        <v>2023</v>
      </c>
      <c r="D36" s="212">
        <f t="shared" si="0"/>
        <v>1118061.7198217763</v>
      </c>
      <c r="E36" s="65" t="s">
        <v>88</v>
      </c>
      <c r="F36" s="66" t="s">
        <v>87</v>
      </c>
      <c r="G36" s="31"/>
      <c r="H36" s="31"/>
      <c r="I36" s="31"/>
      <c r="J36" s="31"/>
    </row>
    <row r="37" spans="1:10" ht="15" x14ac:dyDescent="0.25">
      <c r="A37" s="211" t="s">
        <v>237</v>
      </c>
      <c r="B37" s="212">
        <v>11406451.41</v>
      </c>
      <c r="C37" s="510">
        <v>2023</v>
      </c>
      <c r="D37" s="212">
        <f t="shared" si="0"/>
        <v>10537797.962322185</v>
      </c>
      <c r="E37" s="65" t="s">
        <v>88</v>
      </c>
      <c r="F37" s="66" t="s">
        <v>87</v>
      </c>
      <c r="G37" s="31"/>
      <c r="H37" s="31"/>
      <c r="I37" s="31"/>
      <c r="J37" s="31"/>
    </row>
    <row r="38" spans="1:10" ht="15" x14ac:dyDescent="0.25">
      <c r="A38" s="211" t="s">
        <v>238</v>
      </c>
      <c r="B38" s="212">
        <v>12722.262000000001</v>
      </c>
      <c r="C38" s="510">
        <v>2023</v>
      </c>
      <c r="D38" s="212">
        <f t="shared" si="0"/>
        <v>11753.403557410933</v>
      </c>
      <c r="E38" s="65" t="s">
        <v>88</v>
      </c>
      <c r="F38" s="66" t="s">
        <v>87</v>
      </c>
      <c r="G38" s="31"/>
      <c r="H38" s="31"/>
      <c r="I38" s="31"/>
      <c r="J38" s="31"/>
    </row>
    <row r="39" spans="1:10" ht="15" x14ac:dyDescent="0.25">
      <c r="A39" s="211" t="s">
        <v>239</v>
      </c>
      <c r="B39" s="212">
        <v>1747421.3049999999</v>
      </c>
      <c r="C39" s="510">
        <v>2023</v>
      </c>
      <c r="D39" s="212">
        <f t="shared" si="0"/>
        <v>1614347.1799655324</v>
      </c>
      <c r="E39" s="65" t="s">
        <v>88</v>
      </c>
      <c r="F39" s="66" t="s">
        <v>87</v>
      </c>
      <c r="G39" s="31"/>
      <c r="H39" s="31"/>
      <c r="I39" s="31"/>
      <c r="J39" s="31"/>
    </row>
    <row r="40" spans="1:10" ht="15" x14ac:dyDescent="0.25">
      <c r="A40" s="211" t="s">
        <v>240</v>
      </c>
      <c r="B40" s="212">
        <v>149313.5245</v>
      </c>
      <c r="C40" s="510">
        <v>2023</v>
      </c>
      <c r="D40" s="212">
        <f t="shared" si="0"/>
        <v>137942.61665322288</v>
      </c>
      <c r="E40" s="65" t="s">
        <v>88</v>
      </c>
      <c r="F40" s="66" t="s">
        <v>87</v>
      </c>
      <c r="G40" s="31"/>
      <c r="H40" s="31"/>
      <c r="I40" s="31"/>
      <c r="J40" s="31"/>
    </row>
    <row r="41" spans="1:10" ht="15" x14ac:dyDescent="0.25">
      <c r="A41" s="211" t="s">
        <v>241</v>
      </c>
      <c r="B41" s="212">
        <v>164479.8008</v>
      </c>
      <c r="C41" s="510">
        <v>2023</v>
      </c>
      <c r="D41" s="212">
        <f t="shared" si="0"/>
        <v>151953.91164283219</v>
      </c>
      <c r="E41" s="65" t="s">
        <v>88</v>
      </c>
      <c r="F41" s="66" t="s">
        <v>87</v>
      </c>
      <c r="G41" s="31"/>
      <c r="H41" s="31"/>
      <c r="I41" s="31"/>
      <c r="J41" s="31"/>
    </row>
    <row r="42" spans="1:10" ht="15" x14ac:dyDescent="0.25">
      <c r="A42" s="211" t="s">
        <v>240</v>
      </c>
      <c r="B42" s="212">
        <v>935599.19389999995</v>
      </c>
      <c r="C42" s="510">
        <v>2023</v>
      </c>
      <c r="D42" s="212">
        <f t="shared" si="0"/>
        <v>864349.0358786087</v>
      </c>
      <c r="E42" s="65" t="s">
        <v>88</v>
      </c>
      <c r="F42" s="66" t="s">
        <v>87</v>
      </c>
      <c r="G42" s="31"/>
      <c r="H42" s="31"/>
      <c r="I42" s="31"/>
      <c r="J42" s="31"/>
    </row>
    <row r="43" spans="1:10" ht="15" x14ac:dyDescent="0.25">
      <c r="A43" s="211" t="s">
        <v>242</v>
      </c>
      <c r="B43" s="212">
        <v>22451.97</v>
      </c>
      <c r="C43" s="510">
        <v>2023</v>
      </c>
      <c r="D43" s="212">
        <f t="shared" si="0"/>
        <v>20742.149789784518</v>
      </c>
      <c r="E43" s="65" t="s">
        <v>88</v>
      </c>
      <c r="F43" s="66" t="s">
        <v>87</v>
      </c>
      <c r="G43" s="31"/>
      <c r="H43" s="31"/>
      <c r="I43" s="31"/>
      <c r="J43" s="31"/>
    </row>
    <row r="44" spans="1:10" ht="15" x14ac:dyDescent="0.25">
      <c r="A44" s="211" t="s">
        <v>243</v>
      </c>
      <c r="B44" s="212">
        <v>2089591.4</v>
      </c>
      <c r="C44" s="510">
        <v>2023</v>
      </c>
      <c r="D44" s="212">
        <f t="shared" si="0"/>
        <v>1930459.4571543403</v>
      </c>
      <c r="E44" s="65" t="s">
        <v>88</v>
      </c>
      <c r="F44" s="66" t="s">
        <v>87</v>
      </c>
    </row>
    <row r="45" spans="1:10" ht="15" x14ac:dyDescent="0.25">
      <c r="A45" s="211" t="s">
        <v>244</v>
      </c>
      <c r="B45" s="212">
        <v>11334.4</v>
      </c>
      <c r="C45" s="510">
        <v>2023</v>
      </c>
      <c r="D45" s="212">
        <f t="shared" si="0"/>
        <v>10471.233596754922</v>
      </c>
      <c r="E45" s="65" t="s">
        <v>88</v>
      </c>
      <c r="F45" s="66" t="s">
        <v>87</v>
      </c>
    </row>
    <row r="46" spans="1:10" ht="15" x14ac:dyDescent="0.25">
      <c r="A46" s="211" t="s">
        <v>245</v>
      </c>
      <c r="B46" s="212">
        <v>23360.076799999999</v>
      </c>
      <c r="C46" s="510">
        <v>2023</v>
      </c>
      <c r="D46" s="212">
        <f t="shared" si="0"/>
        <v>21581.10010330809</v>
      </c>
      <c r="E46" s="65" t="s">
        <v>88</v>
      </c>
      <c r="F46" s="66" t="s">
        <v>87</v>
      </c>
    </row>
    <row r="47" spans="1:10" ht="15" x14ac:dyDescent="0.25">
      <c r="A47" s="211" t="s">
        <v>246</v>
      </c>
      <c r="B47" s="212">
        <v>596910.42920000001</v>
      </c>
      <c r="C47" s="510">
        <v>2023</v>
      </c>
      <c r="D47" s="212">
        <f t="shared" si="0"/>
        <v>551452.96976394346</v>
      </c>
      <c r="E47" s="65" t="s">
        <v>88</v>
      </c>
      <c r="F47" s="66" t="s">
        <v>87</v>
      </c>
    </row>
    <row r="48" spans="1:10" ht="15" x14ac:dyDescent="0.25">
      <c r="A48" s="211" t="s">
        <v>247</v>
      </c>
      <c r="B48" s="212">
        <v>866915.84210000001</v>
      </c>
      <c r="C48" s="510">
        <v>2023</v>
      </c>
      <c r="D48" s="212">
        <f t="shared" si="0"/>
        <v>800896.23547400883</v>
      </c>
      <c r="E48" s="65" t="s">
        <v>88</v>
      </c>
      <c r="F48" s="66" t="s">
        <v>87</v>
      </c>
    </row>
    <row r="49" spans="1:6" ht="15" x14ac:dyDescent="0.25">
      <c r="A49" s="211" t="s">
        <v>248</v>
      </c>
      <c r="B49" s="212">
        <v>700005.16799999995</v>
      </c>
      <c r="C49" s="510">
        <v>2023</v>
      </c>
      <c r="D49" s="212">
        <f t="shared" si="0"/>
        <v>646696.57265172165</v>
      </c>
      <c r="E49" s="65" t="s">
        <v>88</v>
      </c>
      <c r="F49" s="66" t="s">
        <v>87</v>
      </c>
    </row>
    <row r="50" spans="1:6" ht="15" x14ac:dyDescent="0.25">
      <c r="A50" s="211" t="s">
        <v>249</v>
      </c>
      <c r="B50" s="212">
        <v>49977.95</v>
      </c>
      <c r="C50" s="510">
        <v>2023</v>
      </c>
      <c r="D50" s="212">
        <f t="shared" si="0"/>
        <v>46171.900509681822</v>
      </c>
      <c r="E50" s="65" t="s">
        <v>88</v>
      </c>
      <c r="F50" s="66" t="s">
        <v>87</v>
      </c>
    </row>
    <row r="51" spans="1:6" ht="15" x14ac:dyDescent="0.25">
      <c r="A51" s="211" t="s">
        <v>250</v>
      </c>
      <c r="B51" s="212">
        <v>323999.63750000001</v>
      </c>
      <c r="C51" s="510">
        <v>2023</v>
      </c>
      <c r="D51" s="212">
        <f t="shared" si="0"/>
        <v>299325.58313862368</v>
      </c>
      <c r="E51" s="65" t="s">
        <v>88</v>
      </c>
      <c r="F51" s="66" t="s">
        <v>87</v>
      </c>
    </row>
    <row r="52" spans="1:6" ht="15" x14ac:dyDescent="0.25">
      <c r="A52" s="211" t="s">
        <v>251</v>
      </c>
      <c r="B52" s="212">
        <v>562916.55000000005</v>
      </c>
      <c r="C52" s="510">
        <v>2023</v>
      </c>
      <c r="D52" s="212">
        <f t="shared" si="0"/>
        <v>520047.87995212566</v>
      </c>
      <c r="E52" s="65" t="s">
        <v>88</v>
      </c>
      <c r="F52" s="66" t="s">
        <v>87</v>
      </c>
    </row>
    <row r="53" spans="1:6" ht="15" x14ac:dyDescent="0.25">
      <c r="A53" s="211" t="s">
        <v>252</v>
      </c>
      <c r="B53" s="212">
        <v>50304.6</v>
      </c>
      <c r="C53" s="510">
        <v>2023</v>
      </c>
      <c r="D53" s="212">
        <f t="shared" si="0"/>
        <v>46473.674618093384</v>
      </c>
      <c r="E53" s="65" t="s">
        <v>88</v>
      </c>
      <c r="F53" s="66" t="s">
        <v>87</v>
      </c>
    </row>
    <row r="54" spans="1:6" ht="15" x14ac:dyDescent="0.25">
      <c r="A54" s="211" t="s">
        <v>253</v>
      </c>
      <c r="B54" s="212">
        <v>47345.61</v>
      </c>
      <c r="C54" s="510">
        <v>2023</v>
      </c>
      <c r="D54" s="212">
        <f t="shared" si="0"/>
        <v>43740.025240935196</v>
      </c>
      <c r="E54" s="65" t="s">
        <v>88</v>
      </c>
      <c r="F54" s="66" t="s">
        <v>87</v>
      </c>
    </row>
    <row r="55" spans="1:6" ht="15" x14ac:dyDescent="0.25">
      <c r="A55" s="211" t="s">
        <v>254</v>
      </c>
      <c r="B55" s="212">
        <v>37110.29</v>
      </c>
      <c r="C55" s="510">
        <v>2023</v>
      </c>
      <c r="D55" s="212">
        <f t="shared" si="0"/>
        <v>34284.171675017489</v>
      </c>
      <c r="E55" s="65" t="s">
        <v>88</v>
      </c>
      <c r="F55" s="66" t="s">
        <v>87</v>
      </c>
    </row>
    <row r="56" spans="1:6" ht="15" x14ac:dyDescent="0.25">
      <c r="A56" s="211" t="s">
        <v>255</v>
      </c>
      <c r="B56" s="212">
        <v>40048.400000000001</v>
      </c>
      <c r="C56" s="510">
        <v>2023</v>
      </c>
      <c r="D56" s="212">
        <f t="shared" si="0"/>
        <v>36998.531159680257</v>
      </c>
      <c r="E56" s="65" t="s">
        <v>88</v>
      </c>
      <c r="F56" s="66" t="s">
        <v>87</v>
      </c>
    </row>
    <row r="57" spans="1:6" ht="15" x14ac:dyDescent="0.25">
      <c r="A57" s="211" t="s">
        <v>256</v>
      </c>
      <c r="B57" s="212">
        <v>53973.08</v>
      </c>
      <c r="C57" s="510">
        <v>2023</v>
      </c>
      <c r="D57" s="212">
        <f t="shared" si="0"/>
        <v>49862.783086563133</v>
      </c>
      <c r="E57" s="65" t="s">
        <v>88</v>
      </c>
      <c r="F57" s="66" t="s">
        <v>87</v>
      </c>
    </row>
    <row r="58" spans="1:6" ht="15" x14ac:dyDescent="0.25">
      <c r="A58" s="211" t="s">
        <v>257</v>
      </c>
      <c r="B58" s="212">
        <v>13941.57</v>
      </c>
      <c r="C58" s="510">
        <v>2023</v>
      </c>
      <c r="D58" s="212">
        <f t="shared" si="0"/>
        <v>12879.855676128469</v>
      </c>
      <c r="E58" s="65" t="s">
        <v>88</v>
      </c>
      <c r="F58" s="66" t="s">
        <v>87</v>
      </c>
    </row>
    <row r="59" spans="1:6" ht="15" x14ac:dyDescent="0.25">
      <c r="A59" s="211" t="s">
        <v>258</v>
      </c>
      <c r="B59" s="212">
        <v>86120.79</v>
      </c>
      <c r="C59" s="510">
        <v>2023</v>
      </c>
      <c r="D59" s="212">
        <f t="shared" si="0"/>
        <v>79562.297927289954</v>
      </c>
      <c r="E59" s="65" t="s">
        <v>88</v>
      </c>
      <c r="F59" s="66" t="s">
        <v>87</v>
      </c>
    </row>
    <row r="60" spans="1:6" ht="15" x14ac:dyDescent="0.25">
      <c r="A60" s="211" t="s">
        <v>259</v>
      </c>
      <c r="B60" s="212">
        <v>130092.75</v>
      </c>
      <c r="C60" s="510">
        <v>2023</v>
      </c>
      <c r="D60" s="212">
        <f t="shared" si="0"/>
        <v>120185.59204671081</v>
      </c>
      <c r="E60" s="65" t="s">
        <v>88</v>
      </c>
      <c r="F60" s="66" t="s">
        <v>87</v>
      </c>
    </row>
    <row r="61" spans="1:6" ht="15" x14ac:dyDescent="0.25">
      <c r="A61" s="211" t="s">
        <v>260</v>
      </c>
      <c r="B61" s="212">
        <v>154532.1</v>
      </c>
      <c r="C61" s="510">
        <v>2023</v>
      </c>
      <c r="D61" s="212">
        <f t="shared" si="0"/>
        <v>142763.77375927192</v>
      </c>
      <c r="E61" s="65" t="s">
        <v>88</v>
      </c>
      <c r="F61" s="66" t="s">
        <v>87</v>
      </c>
    </row>
    <row r="62" spans="1:6" ht="15" x14ac:dyDescent="0.25">
      <c r="A62" s="211" t="s">
        <v>261</v>
      </c>
      <c r="B62" s="212">
        <v>871602.26</v>
      </c>
      <c r="C62" s="510">
        <v>2023</v>
      </c>
      <c r="D62" s="212">
        <f t="shared" si="0"/>
        <v>805225.76121537259</v>
      </c>
      <c r="E62" s="65" t="s">
        <v>88</v>
      </c>
      <c r="F62" s="66" t="s">
        <v>87</v>
      </c>
    </row>
    <row r="63" spans="1:6" ht="15" x14ac:dyDescent="0.25">
      <c r="A63" s="211" t="s">
        <v>262</v>
      </c>
      <c r="B63" s="212">
        <v>639798.06000000006</v>
      </c>
      <c r="C63" s="510">
        <v>2023</v>
      </c>
      <c r="D63" s="212">
        <f t="shared" si="0"/>
        <v>591074.51131163735</v>
      </c>
      <c r="E63" s="65" t="s">
        <v>88</v>
      </c>
      <c r="F63" s="66" t="s">
        <v>87</v>
      </c>
    </row>
    <row r="64" spans="1:6" ht="15" x14ac:dyDescent="0.25">
      <c r="A64" s="211" t="s">
        <v>263</v>
      </c>
      <c r="B64" s="212">
        <v>527622.40000000002</v>
      </c>
      <c r="C64" s="510">
        <v>2023</v>
      </c>
      <c r="D64" s="212">
        <f t="shared" si="0"/>
        <v>487441.54090913193</v>
      </c>
      <c r="E64" s="65" t="s">
        <v>88</v>
      </c>
      <c r="F64" s="66" t="s">
        <v>87</v>
      </c>
    </row>
    <row r="65" spans="1:6" ht="15" x14ac:dyDescent="0.25">
      <c r="A65" s="211" t="s">
        <v>264</v>
      </c>
      <c r="B65" s="212">
        <v>513160.32</v>
      </c>
      <c r="C65" s="510">
        <v>2023</v>
      </c>
      <c r="D65" s="212">
        <f t="shared" si="0"/>
        <v>474080.81445030239</v>
      </c>
      <c r="E65" s="65" t="s">
        <v>88</v>
      </c>
      <c r="F65" s="66" t="s">
        <v>87</v>
      </c>
    </row>
    <row r="66" spans="1:6" ht="15" x14ac:dyDescent="0.25">
      <c r="A66" s="211" t="s">
        <v>265</v>
      </c>
      <c r="B66" s="212">
        <v>486933.12</v>
      </c>
      <c r="C66" s="510">
        <v>2023</v>
      </c>
      <c r="D66" s="212">
        <f t="shared" si="0"/>
        <v>449850.93569281977</v>
      </c>
      <c r="E66" s="65" t="s">
        <v>88</v>
      </c>
      <c r="F66" s="66" t="s">
        <v>87</v>
      </c>
    </row>
    <row r="67" spans="1:6" ht="15" x14ac:dyDescent="0.25">
      <c r="A67" s="211" t="s">
        <v>266</v>
      </c>
      <c r="B67" s="212">
        <v>20191.2</v>
      </c>
      <c r="C67" s="510">
        <v>2023</v>
      </c>
      <c r="D67" s="212">
        <f t="shared" si="0"/>
        <v>18653.547765986554</v>
      </c>
      <c r="E67" s="65" t="s">
        <v>88</v>
      </c>
      <c r="F67" s="66" t="s">
        <v>87</v>
      </c>
    </row>
    <row r="68" spans="1:6" ht="15" x14ac:dyDescent="0.25">
      <c r="A68" s="211" t="s">
        <v>267</v>
      </c>
      <c r="B68" s="212">
        <v>74546.12</v>
      </c>
      <c r="C68" s="510">
        <v>2023</v>
      </c>
      <c r="D68" s="212">
        <f t="shared" si="0"/>
        <v>68869.091990023648</v>
      </c>
      <c r="E68" s="65" t="s">
        <v>88</v>
      </c>
      <c r="F68" s="66" t="s">
        <v>87</v>
      </c>
    </row>
    <row r="69" spans="1:6" ht="15" x14ac:dyDescent="0.25">
      <c r="A69" s="211" t="s">
        <v>268</v>
      </c>
      <c r="B69" s="212">
        <v>47308.7</v>
      </c>
      <c r="C69" s="510">
        <v>2023</v>
      </c>
      <c r="D69" s="212">
        <f t="shared" si="0"/>
        <v>43705.926106260551</v>
      </c>
      <c r="E69" s="65" t="s">
        <v>88</v>
      </c>
      <c r="F69" s="66" t="s">
        <v>87</v>
      </c>
    </row>
    <row r="70" spans="1:6" ht="15" x14ac:dyDescent="0.25">
      <c r="A70" s="211" t="s">
        <v>269</v>
      </c>
      <c r="B70" s="212">
        <v>120477.63</v>
      </c>
      <c r="C70" s="510">
        <v>2023</v>
      </c>
      <c r="D70" s="212">
        <f t="shared" ref="D70:D133" si="5">B70/(1+$G$3)^(C70-BaseYear)</f>
        <v>111302.70741401476</v>
      </c>
      <c r="E70" s="65" t="s">
        <v>88</v>
      </c>
      <c r="F70" s="66" t="s">
        <v>87</v>
      </c>
    </row>
    <row r="71" spans="1:6" ht="15" x14ac:dyDescent="0.25">
      <c r="A71" s="211" t="s">
        <v>270</v>
      </c>
      <c r="B71" s="212">
        <v>70752.399999999994</v>
      </c>
      <c r="C71" s="510">
        <v>2023</v>
      </c>
      <c r="D71" s="212">
        <f t="shared" si="5"/>
        <v>65364.281120398344</v>
      </c>
      <c r="E71" s="65" t="s">
        <v>88</v>
      </c>
      <c r="F71" s="66" t="s">
        <v>87</v>
      </c>
    </row>
    <row r="72" spans="1:6" ht="15" x14ac:dyDescent="0.25">
      <c r="A72" s="211" t="s">
        <v>271</v>
      </c>
      <c r="B72" s="212">
        <v>83364.399999999994</v>
      </c>
      <c r="C72" s="510">
        <v>2023</v>
      </c>
      <c r="D72" s="212">
        <f t="shared" si="5"/>
        <v>77015.819633444742</v>
      </c>
      <c r="E72" s="65" t="s">
        <v>88</v>
      </c>
      <c r="F72" s="66" t="s">
        <v>87</v>
      </c>
    </row>
    <row r="73" spans="1:6" ht="15" x14ac:dyDescent="0.25">
      <c r="A73" s="211" t="s">
        <v>272</v>
      </c>
      <c r="B73" s="212">
        <v>39963.599999999999</v>
      </c>
      <c r="C73" s="510">
        <v>2023</v>
      </c>
      <c r="D73" s="212">
        <f t="shared" si="5"/>
        <v>36920.189067553205</v>
      </c>
      <c r="E73" s="65" t="s">
        <v>88</v>
      </c>
      <c r="F73" s="66" t="s">
        <v>87</v>
      </c>
    </row>
    <row r="74" spans="1:6" ht="15" x14ac:dyDescent="0.25">
      <c r="A74" s="211" t="s">
        <v>273</v>
      </c>
      <c r="B74" s="212">
        <v>1498396</v>
      </c>
      <c r="C74" s="510">
        <v>2023</v>
      </c>
      <c r="D74" s="212">
        <f t="shared" si="5"/>
        <v>1384286.2909764249</v>
      </c>
      <c r="E74" s="65" t="s">
        <v>88</v>
      </c>
      <c r="F74" s="66" t="s">
        <v>87</v>
      </c>
    </row>
    <row r="75" spans="1:6" ht="15" x14ac:dyDescent="0.25">
      <c r="A75" s="211" t="s">
        <v>274</v>
      </c>
      <c r="B75" s="212">
        <v>2664872.96</v>
      </c>
      <c r="C75" s="510">
        <v>2023</v>
      </c>
      <c r="D75" s="212">
        <f t="shared" si="5"/>
        <v>2461930.695037738</v>
      </c>
      <c r="E75" s="65" t="s">
        <v>88</v>
      </c>
      <c r="F75" s="66" t="s">
        <v>87</v>
      </c>
    </row>
    <row r="76" spans="1:6" ht="15" x14ac:dyDescent="0.25">
      <c r="A76" s="211" t="s">
        <v>275</v>
      </c>
      <c r="B76" s="212">
        <v>1579672</v>
      </c>
      <c r="C76" s="510">
        <v>2023</v>
      </c>
      <c r="D76" s="212">
        <f t="shared" si="5"/>
        <v>1459372.7518221559</v>
      </c>
      <c r="E76" s="65" t="s">
        <v>88</v>
      </c>
      <c r="F76" s="66" t="s">
        <v>87</v>
      </c>
    </row>
    <row r="77" spans="1:6" ht="15" x14ac:dyDescent="0.25">
      <c r="A77" s="211" t="s">
        <v>276</v>
      </c>
      <c r="B77" s="212">
        <v>497170.8</v>
      </c>
      <c r="C77" s="510">
        <v>2023</v>
      </c>
      <c r="D77" s="212">
        <f t="shared" si="5"/>
        <v>459308.96953394287</v>
      </c>
      <c r="E77" s="65" t="s">
        <v>88</v>
      </c>
      <c r="F77" s="66" t="s">
        <v>87</v>
      </c>
    </row>
    <row r="78" spans="1:6" ht="15" x14ac:dyDescent="0.25">
      <c r="A78" s="211" t="s">
        <v>277</v>
      </c>
      <c r="B78" s="212">
        <v>687131.52</v>
      </c>
      <c r="C78" s="510">
        <v>2023</v>
      </c>
      <c r="D78" s="212">
        <f t="shared" si="5"/>
        <v>634803.31183064636</v>
      </c>
      <c r="E78" s="65" t="s">
        <v>88</v>
      </c>
      <c r="F78" s="66" t="s">
        <v>87</v>
      </c>
    </row>
    <row r="79" spans="1:6" ht="15" x14ac:dyDescent="0.25">
      <c r="A79" s="211" t="s">
        <v>278</v>
      </c>
      <c r="B79" s="212">
        <v>743424</v>
      </c>
      <c r="C79" s="510">
        <v>2023</v>
      </c>
      <c r="D79" s="212">
        <f t="shared" si="5"/>
        <v>686808.86199833534</v>
      </c>
      <c r="E79" s="65" t="s">
        <v>88</v>
      </c>
      <c r="F79" s="66" t="s">
        <v>87</v>
      </c>
    </row>
    <row r="80" spans="1:6" ht="15" x14ac:dyDescent="0.25">
      <c r="A80" s="211" t="s">
        <v>279</v>
      </c>
      <c r="B80" s="212">
        <v>1340052</v>
      </c>
      <c r="C80" s="510">
        <v>2023</v>
      </c>
      <c r="D80" s="212">
        <f t="shared" si="5"/>
        <v>1238000.9108376824</v>
      </c>
      <c r="E80" s="65" t="s">
        <v>88</v>
      </c>
      <c r="F80" s="66" t="s">
        <v>87</v>
      </c>
    </row>
    <row r="81" spans="1:6" ht="15" x14ac:dyDescent="0.25">
      <c r="A81" s="211" t="s">
        <v>280</v>
      </c>
      <c r="B81" s="212">
        <v>574464.87</v>
      </c>
      <c r="C81" s="510">
        <v>2023</v>
      </c>
      <c r="D81" s="212">
        <f t="shared" si="5"/>
        <v>530716.74256241613</v>
      </c>
      <c r="E81" s="65" t="s">
        <v>88</v>
      </c>
      <c r="F81" s="66" t="s">
        <v>87</v>
      </c>
    </row>
    <row r="82" spans="1:6" ht="15" x14ac:dyDescent="0.25">
      <c r="A82" s="211" t="s">
        <v>281</v>
      </c>
      <c r="B82" s="212">
        <v>600536.75</v>
      </c>
      <c r="C82" s="510">
        <v>2023</v>
      </c>
      <c r="D82" s="212">
        <f t="shared" si="5"/>
        <v>554803.12964832829</v>
      </c>
      <c r="E82" s="65" t="s">
        <v>88</v>
      </c>
      <c r="F82" s="66" t="s">
        <v>87</v>
      </c>
    </row>
    <row r="83" spans="1:6" ht="15" x14ac:dyDescent="0.25">
      <c r="A83" s="211" t="s">
        <v>282</v>
      </c>
      <c r="B83" s="212">
        <v>766203.21</v>
      </c>
      <c r="C83" s="510">
        <v>2023</v>
      </c>
      <c r="D83" s="212">
        <f t="shared" si="5"/>
        <v>707853.33096533269</v>
      </c>
      <c r="E83" s="65" t="s">
        <v>88</v>
      </c>
      <c r="F83" s="66" t="s">
        <v>87</v>
      </c>
    </row>
    <row r="84" spans="1:6" ht="15" x14ac:dyDescent="0.25">
      <c r="A84" s="211" t="s">
        <v>283</v>
      </c>
      <c r="B84" s="212">
        <v>924818.26</v>
      </c>
      <c r="C84" s="510">
        <v>2023</v>
      </c>
      <c r="D84" s="212">
        <f t="shared" si="5"/>
        <v>854389.11940679967</v>
      </c>
      <c r="E84" s="65" t="s">
        <v>88</v>
      </c>
      <c r="F84" s="66" t="s">
        <v>87</v>
      </c>
    </row>
    <row r="85" spans="1:6" ht="15" x14ac:dyDescent="0.25">
      <c r="A85" s="211" t="s">
        <v>284</v>
      </c>
      <c r="B85" s="212">
        <v>25627.200000000001</v>
      </c>
      <c r="C85" s="510">
        <v>2023</v>
      </c>
      <c r="D85" s="212">
        <f t="shared" si="5"/>
        <v>23675.571501866685</v>
      </c>
      <c r="E85" s="65" t="s">
        <v>88</v>
      </c>
      <c r="F85" s="66" t="s">
        <v>87</v>
      </c>
    </row>
    <row r="86" spans="1:6" ht="15" x14ac:dyDescent="0.25">
      <c r="A86" s="211" t="s">
        <v>285</v>
      </c>
      <c r="B86" s="212">
        <v>34777.800000000003</v>
      </c>
      <c r="C86" s="510">
        <v>2023</v>
      </c>
      <c r="D86" s="212">
        <f t="shared" si="5"/>
        <v>32129.31145726491</v>
      </c>
      <c r="E86" s="65" t="s">
        <v>88</v>
      </c>
      <c r="F86" s="66" t="s">
        <v>87</v>
      </c>
    </row>
    <row r="87" spans="1:6" ht="15" x14ac:dyDescent="0.25">
      <c r="A87" s="211" t="s">
        <v>286</v>
      </c>
      <c r="B87" s="212">
        <v>116446.2</v>
      </c>
      <c r="C87" s="510">
        <v>2023</v>
      </c>
      <c r="D87" s="212">
        <f t="shared" si="5"/>
        <v>107578.28924816867</v>
      </c>
      <c r="E87" s="65" t="s">
        <v>88</v>
      </c>
      <c r="F87" s="66" t="s">
        <v>87</v>
      </c>
    </row>
    <row r="88" spans="1:6" ht="15" x14ac:dyDescent="0.25">
      <c r="A88" s="211" t="s">
        <v>287</v>
      </c>
      <c r="B88" s="212">
        <v>25364.639999999999</v>
      </c>
      <c r="C88" s="510">
        <v>2023</v>
      </c>
      <c r="D88" s="212">
        <f t="shared" si="5"/>
        <v>23433.006646809165</v>
      </c>
      <c r="E88" s="65" t="s">
        <v>88</v>
      </c>
      <c r="F88" s="66" t="s">
        <v>87</v>
      </c>
    </row>
    <row r="89" spans="1:6" ht="15" x14ac:dyDescent="0.25">
      <c r="A89" s="211" t="s">
        <v>288</v>
      </c>
      <c r="B89" s="212">
        <v>14242.28</v>
      </c>
      <c r="C89" s="510">
        <v>2023</v>
      </c>
      <c r="D89" s="212">
        <f t="shared" si="5"/>
        <v>13157.665234188904</v>
      </c>
      <c r="E89" s="65" t="s">
        <v>88</v>
      </c>
      <c r="F89" s="66" t="s">
        <v>87</v>
      </c>
    </row>
    <row r="90" spans="1:6" ht="15" x14ac:dyDescent="0.25">
      <c r="A90" s="211" t="s">
        <v>289</v>
      </c>
      <c r="B90" s="212">
        <v>15889.72</v>
      </c>
      <c r="C90" s="510">
        <v>2023</v>
      </c>
      <c r="D90" s="212">
        <f t="shared" si="5"/>
        <v>14679.645142842022</v>
      </c>
      <c r="E90" s="65" t="s">
        <v>88</v>
      </c>
      <c r="F90" s="66" t="s">
        <v>87</v>
      </c>
    </row>
    <row r="91" spans="1:6" ht="15" x14ac:dyDescent="0.25">
      <c r="A91" s="211" t="s">
        <v>290</v>
      </c>
      <c r="B91" s="212">
        <v>34678.14</v>
      </c>
      <c r="C91" s="510">
        <v>2023</v>
      </c>
      <c r="D91" s="212">
        <f t="shared" si="5"/>
        <v>32037.241022107104</v>
      </c>
      <c r="E91" s="65" t="s">
        <v>88</v>
      </c>
      <c r="F91" s="66" t="s">
        <v>87</v>
      </c>
    </row>
    <row r="92" spans="1:6" ht="15" x14ac:dyDescent="0.25">
      <c r="A92" s="211" t="s">
        <v>291</v>
      </c>
      <c r="B92" s="212">
        <v>154520</v>
      </c>
      <c r="C92" s="510">
        <v>2023</v>
      </c>
      <c r="D92" s="212">
        <f t="shared" si="5"/>
        <v>142752.59522961697</v>
      </c>
      <c r="E92" s="65" t="s">
        <v>86</v>
      </c>
      <c r="F92" s="66" t="s">
        <v>87</v>
      </c>
    </row>
    <row r="93" spans="1:6" ht="15" x14ac:dyDescent="0.25">
      <c r="A93" s="211" t="s">
        <v>292</v>
      </c>
      <c r="B93" s="212">
        <v>86541.231599999999</v>
      </c>
      <c r="C93" s="510">
        <v>2023</v>
      </c>
      <c r="D93" s="212">
        <f t="shared" si="5"/>
        <v>79950.720976361234</v>
      </c>
      <c r="E93" s="65" t="s">
        <v>86</v>
      </c>
      <c r="F93" s="66" t="s">
        <v>87</v>
      </c>
    </row>
    <row r="94" spans="1:6" ht="15" x14ac:dyDescent="0.25">
      <c r="A94" s="211" t="s">
        <v>293</v>
      </c>
      <c r="B94" s="212">
        <v>277802.9792</v>
      </c>
      <c r="C94" s="510">
        <v>2023</v>
      </c>
      <c r="D94" s="212">
        <f t="shared" si="5"/>
        <v>256647.01167045889</v>
      </c>
      <c r="E94" s="65" t="s">
        <v>86</v>
      </c>
      <c r="F94" s="66" t="s">
        <v>87</v>
      </c>
    </row>
    <row r="95" spans="1:6" ht="15" x14ac:dyDescent="0.25">
      <c r="A95" s="211" t="s">
        <v>294</v>
      </c>
      <c r="B95" s="212">
        <v>96519.360000000001</v>
      </c>
      <c r="C95" s="510">
        <v>2023</v>
      </c>
      <c r="D95" s="212">
        <f t="shared" si="5"/>
        <v>89168.969259006495</v>
      </c>
      <c r="E95" s="65" t="s">
        <v>86</v>
      </c>
      <c r="F95" s="66" t="s">
        <v>87</v>
      </c>
    </row>
    <row r="96" spans="1:6" ht="15" x14ac:dyDescent="0.25">
      <c r="A96" s="211" t="s">
        <v>295</v>
      </c>
      <c r="B96" s="212">
        <v>119480.4</v>
      </c>
      <c r="C96" s="510">
        <v>2023</v>
      </c>
      <c r="D96" s="212">
        <f t="shared" si="5"/>
        <v>110381.42103981832</v>
      </c>
      <c r="E96" s="65" t="s">
        <v>86</v>
      </c>
      <c r="F96" s="66" t="s">
        <v>87</v>
      </c>
    </row>
    <row r="97" spans="1:6" ht="15" x14ac:dyDescent="0.25">
      <c r="A97" s="211" t="s">
        <v>296</v>
      </c>
      <c r="B97" s="212">
        <v>17689.68</v>
      </c>
      <c r="C97" s="510">
        <v>2023</v>
      </c>
      <c r="D97" s="212">
        <f t="shared" si="5"/>
        <v>16342.529955872709</v>
      </c>
      <c r="E97" s="65" t="s">
        <v>86</v>
      </c>
      <c r="F97" s="66" t="s">
        <v>87</v>
      </c>
    </row>
    <row r="98" spans="1:6" ht="15" x14ac:dyDescent="0.25">
      <c r="A98" s="211" t="s">
        <v>297</v>
      </c>
      <c r="B98" s="212">
        <v>256375.13</v>
      </c>
      <c r="C98" s="510">
        <v>2023</v>
      </c>
      <c r="D98" s="212">
        <f t="shared" si="5"/>
        <v>236850.99119745297</v>
      </c>
      <c r="E98" s="65" t="s">
        <v>86</v>
      </c>
      <c r="F98" s="66" t="s">
        <v>87</v>
      </c>
    </row>
    <row r="99" spans="1:6" ht="15" x14ac:dyDescent="0.25">
      <c r="A99" s="211" t="s">
        <v>298</v>
      </c>
      <c r="B99" s="212">
        <v>3282849.9</v>
      </c>
      <c r="C99" s="510">
        <v>2023</v>
      </c>
      <c r="D99" s="212">
        <f t="shared" si="5"/>
        <v>3032845.8644465995</v>
      </c>
      <c r="E99" s="65" t="s">
        <v>86</v>
      </c>
      <c r="F99" s="66" t="s">
        <v>87</v>
      </c>
    </row>
    <row r="100" spans="1:6" ht="15" x14ac:dyDescent="0.25">
      <c r="A100" s="211" t="s">
        <v>299</v>
      </c>
      <c r="B100" s="212">
        <v>6919350.3200000003</v>
      </c>
      <c r="C100" s="510">
        <v>2023</v>
      </c>
      <c r="D100" s="212">
        <f t="shared" si="5"/>
        <v>6392410.1442070976</v>
      </c>
      <c r="E100" s="65" t="s">
        <v>86</v>
      </c>
      <c r="F100" s="66" t="s">
        <v>87</v>
      </c>
    </row>
    <row r="101" spans="1:6" ht="15" x14ac:dyDescent="0.25">
      <c r="A101" s="211" t="s">
        <v>300</v>
      </c>
      <c r="B101" s="212">
        <v>1580000</v>
      </c>
      <c r="C101" s="510">
        <v>2023</v>
      </c>
      <c r="D101" s="212">
        <f t="shared" si="5"/>
        <v>1459675.7731218925</v>
      </c>
      <c r="E101" s="65" t="s">
        <v>86</v>
      </c>
      <c r="F101" s="66" t="s">
        <v>87</v>
      </c>
    </row>
    <row r="102" spans="1:6" ht="15" x14ac:dyDescent="0.25">
      <c r="A102" s="211" t="s">
        <v>301</v>
      </c>
      <c r="B102" s="212">
        <v>2924262.9</v>
      </c>
      <c r="C102" s="510">
        <v>2023</v>
      </c>
      <c r="D102" s="212">
        <f t="shared" si="5"/>
        <v>2701566.9046640298</v>
      </c>
      <c r="E102" s="65" t="s">
        <v>86</v>
      </c>
      <c r="F102" s="66" t="s">
        <v>87</v>
      </c>
    </row>
    <row r="103" spans="1:6" ht="15" x14ac:dyDescent="0.25">
      <c r="A103" s="211" t="s">
        <v>302</v>
      </c>
      <c r="B103" s="212">
        <v>733638.64</v>
      </c>
      <c r="C103" s="510">
        <v>2023</v>
      </c>
      <c r="D103" s="212">
        <f t="shared" si="5"/>
        <v>677768.70192031248</v>
      </c>
      <c r="E103" s="65" t="s">
        <v>85</v>
      </c>
      <c r="F103" s="66" t="s">
        <v>87</v>
      </c>
    </row>
    <row r="104" spans="1:6" ht="15" x14ac:dyDescent="0.25">
      <c r="A104" s="211" t="s">
        <v>303</v>
      </c>
      <c r="B104" s="212">
        <v>257380.57800000001</v>
      </c>
      <c r="C104" s="510">
        <v>2023</v>
      </c>
      <c r="D104" s="212">
        <f t="shared" si="5"/>
        <v>237779.86973336048</v>
      </c>
      <c r="E104" s="65" t="s">
        <v>86</v>
      </c>
      <c r="F104" s="66" t="s">
        <v>87</v>
      </c>
    </row>
    <row r="105" spans="1:6" ht="15" x14ac:dyDescent="0.25">
      <c r="A105" s="211" t="s">
        <v>304</v>
      </c>
      <c r="B105" s="212">
        <v>5946420</v>
      </c>
      <c r="C105" s="510">
        <v>2023</v>
      </c>
      <c r="D105" s="212">
        <f t="shared" si="5"/>
        <v>5493572.9182325844</v>
      </c>
      <c r="E105" s="65" t="s">
        <v>86</v>
      </c>
      <c r="F105" s="66" t="s">
        <v>87</v>
      </c>
    </row>
    <row r="106" spans="1:6" ht="15" x14ac:dyDescent="0.25">
      <c r="A106" s="211" t="s">
        <v>305</v>
      </c>
      <c r="B106" s="212">
        <v>44300.52</v>
      </c>
      <c r="C106" s="510">
        <v>2023</v>
      </c>
      <c r="D106" s="212">
        <f t="shared" si="5"/>
        <v>40926.832772596114</v>
      </c>
      <c r="E106" s="65" t="s">
        <v>86</v>
      </c>
      <c r="F106" s="66" t="s">
        <v>87</v>
      </c>
    </row>
    <row r="107" spans="1:6" ht="15" x14ac:dyDescent="0.25">
      <c r="A107" s="211" t="s">
        <v>306</v>
      </c>
      <c r="B107" s="212">
        <v>57440.51</v>
      </c>
      <c r="C107" s="510">
        <v>2023</v>
      </c>
      <c r="D107" s="212">
        <f t="shared" si="5"/>
        <v>53066.15243213025</v>
      </c>
      <c r="E107" s="65" t="s">
        <v>85</v>
      </c>
      <c r="F107" s="66" t="s">
        <v>87</v>
      </c>
    </row>
    <row r="108" spans="1:6" ht="15" x14ac:dyDescent="0.25">
      <c r="A108" s="211" t="s">
        <v>307</v>
      </c>
      <c r="B108" s="212">
        <v>70000</v>
      </c>
      <c r="C108" s="510">
        <v>2023</v>
      </c>
      <c r="D108" s="212">
        <f t="shared" si="5"/>
        <v>64669.179821856</v>
      </c>
      <c r="E108" s="65" t="s">
        <v>86</v>
      </c>
      <c r="F108" s="66" t="s">
        <v>87</v>
      </c>
    </row>
    <row r="109" spans="1:6" ht="15" x14ac:dyDescent="0.25">
      <c r="A109" s="211" t="s">
        <v>308</v>
      </c>
      <c r="B109" s="212">
        <v>101831.1</v>
      </c>
      <c r="C109" s="510">
        <v>2023</v>
      </c>
      <c r="D109" s="212">
        <f t="shared" si="5"/>
        <v>94076.195962248574</v>
      </c>
      <c r="E109" s="65" t="s">
        <v>86</v>
      </c>
      <c r="F109" s="66" t="s">
        <v>87</v>
      </c>
    </row>
    <row r="110" spans="1:6" ht="15" x14ac:dyDescent="0.25">
      <c r="A110" s="211" t="s">
        <v>309</v>
      </c>
      <c r="B110" s="212">
        <v>27698.6502</v>
      </c>
      <c r="C110" s="510">
        <v>2023</v>
      </c>
      <c r="D110" s="212">
        <f t="shared" si="5"/>
        <v>25589.271294378395</v>
      </c>
      <c r="E110" s="65" t="s">
        <v>86</v>
      </c>
      <c r="F110" s="66" t="s">
        <v>87</v>
      </c>
    </row>
    <row r="111" spans="1:6" ht="15" x14ac:dyDescent="0.25">
      <c r="A111" s="211" t="s">
        <v>310</v>
      </c>
      <c r="B111" s="212">
        <v>15345495</v>
      </c>
      <c r="C111" s="510">
        <v>2023</v>
      </c>
      <c r="D111" s="212">
        <f t="shared" si="5"/>
        <v>14176865.365862744</v>
      </c>
      <c r="E111" s="65" t="s">
        <v>88</v>
      </c>
      <c r="F111" s="66" t="s">
        <v>87</v>
      </c>
    </row>
    <row r="112" spans="1:6" ht="15" x14ac:dyDescent="0.25">
      <c r="A112" s="211" t="s">
        <v>311</v>
      </c>
      <c r="B112" s="212">
        <v>952386.3</v>
      </c>
      <c r="C112" s="510">
        <v>2023</v>
      </c>
      <c r="D112" s="212">
        <f t="shared" si="5"/>
        <v>879857.72706531559</v>
      </c>
      <c r="E112" s="65" t="s">
        <v>88</v>
      </c>
      <c r="F112" s="66" t="s">
        <v>87</v>
      </c>
    </row>
    <row r="113" spans="1:6" ht="15" x14ac:dyDescent="0.25">
      <c r="A113" s="211" t="s">
        <v>312</v>
      </c>
      <c r="B113" s="212">
        <v>449770</v>
      </c>
      <c r="C113" s="510">
        <v>2023</v>
      </c>
      <c r="D113" s="212">
        <f t="shared" si="5"/>
        <v>415517.95726394531</v>
      </c>
      <c r="E113" s="65" t="s">
        <v>86</v>
      </c>
      <c r="F113" s="66" t="s">
        <v>87</v>
      </c>
    </row>
    <row r="114" spans="1:6" ht="15" x14ac:dyDescent="0.25">
      <c r="A114" s="211" t="s">
        <v>313</v>
      </c>
      <c r="B114" s="212">
        <v>53409.93</v>
      </c>
      <c r="C114" s="510">
        <v>2023</v>
      </c>
      <c r="D114" s="212">
        <f t="shared" si="5"/>
        <v>49342.519534896303</v>
      </c>
      <c r="E114" s="65" t="s">
        <v>86</v>
      </c>
      <c r="F114" s="66" t="s">
        <v>87</v>
      </c>
    </row>
    <row r="115" spans="1:6" ht="15" x14ac:dyDescent="0.25">
      <c r="A115" s="211" t="s">
        <v>314</v>
      </c>
      <c r="B115" s="212">
        <v>146151.75520000001</v>
      </c>
      <c r="C115" s="510">
        <v>2023</v>
      </c>
      <c r="D115" s="212">
        <f t="shared" si="5"/>
        <v>135021.63054726683</v>
      </c>
      <c r="E115" s="65" t="s">
        <v>85</v>
      </c>
      <c r="F115" s="66" t="s">
        <v>87</v>
      </c>
    </row>
    <row r="116" spans="1:6" ht="15" x14ac:dyDescent="0.25">
      <c r="A116" s="211" t="s">
        <v>315</v>
      </c>
      <c r="B116" s="212">
        <v>914828.88</v>
      </c>
      <c r="C116" s="510">
        <v>2023</v>
      </c>
      <c r="D116" s="212">
        <f t="shared" si="5"/>
        <v>845160.47638495883</v>
      </c>
      <c r="E116" s="65" t="s">
        <v>85</v>
      </c>
      <c r="F116" s="66" t="s">
        <v>87</v>
      </c>
    </row>
    <row r="117" spans="1:6" ht="15" x14ac:dyDescent="0.25">
      <c r="A117" s="211" t="s">
        <v>316</v>
      </c>
      <c r="B117" s="212">
        <v>248514.10800000001</v>
      </c>
      <c r="C117" s="510">
        <v>2023</v>
      </c>
      <c r="D117" s="212">
        <f t="shared" si="5"/>
        <v>229588.62197885918</v>
      </c>
      <c r="E117" s="65" t="s">
        <v>85</v>
      </c>
      <c r="F117" s="66" t="s">
        <v>87</v>
      </c>
    </row>
    <row r="118" spans="1:6" ht="15" x14ac:dyDescent="0.25">
      <c r="A118" s="211" t="s">
        <v>317</v>
      </c>
      <c r="B118" s="212">
        <v>13640</v>
      </c>
      <c r="C118" s="510">
        <v>2023</v>
      </c>
      <c r="D118" s="212">
        <f t="shared" si="5"/>
        <v>12601.251611001655</v>
      </c>
      <c r="E118" s="65" t="s">
        <v>85</v>
      </c>
      <c r="F118" s="66" t="s">
        <v>87</v>
      </c>
    </row>
    <row r="119" spans="1:6" ht="15" x14ac:dyDescent="0.25">
      <c r="A119" s="211" t="s">
        <v>318</v>
      </c>
      <c r="B119" s="212">
        <v>60100.81</v>
      </c>
      <c r="C119" s="510">
        <v>2023</v>
      </c>
      <c r="D119" s="212">
        <f t="shared" si="5"/>
        <v>55523.858418988588</v>
      </c>
      <c r="E119" s="65" t="s">
        <v>85</v>
      </c>
      <c r="F119" s="66" t="s">
        <v>87</v>
      </c>
    </row>
    <row r="120" spans="1:6" ht="15" x14ac:dyDescent="0.25">
      <c r="A120" s="211" t="s">
        <v>319</v>
      </c>
      <c r="B120" s="212">
        <v>49519.29</v>
      </c>
      <c r="C120" s="510">
        <v>2023</v>
      </c>
      <c r="D120" s="212">
        <f t="shared" si="5"/>
        <v>45748.169566580509</v>
      </c>
      <c r="E120" s="65" t="s">
        <v>85</v>
      </c>
      <c r="F120" s="66" t="s">
        <v>87</v>
      </c>
    </row>
    <row r="121" spans="1:6" ht="15" x14ac:dyDescent="0.25">
      <c r="A121" s="211" t="s">
        <v>320</v>
      </c>
      <c r="B121" s="212">
        <v>227298.84</v>
      </c>
      <c r="C121" s="510">
        <v>2023</v>
      </c>
      <c r="D121" s="212">
        <f t="shared" si="5"/>
        <v>209988.99367513249</v>
      </c>
      <c r="E121" s="65" t="s">
        <v>85</v>
      </c>
      <c r="F121" s="66" t="s">
        <v>87</v>
      </c>
    </row>
    <row r="122" spans="1:6" ht="15" x14ac:dyDescent="0.25">
      <c r="A122" s="211" t="s">
        <v>321</v>
      </c>
      <c r="B122" s="212">
        <v>18453.830000000002</v>
      </c>
      <c r="C122" s="510">
        <v>2023</v>
      </c>
      <c r="D122" s="212">
        <f t="shared" si="5"/>
        <v>17048.486438170872</v>
      </c>
      <c r="E122" s="65" t="s">
        <v>85</v>
      </c>
      <c r="F122" s="66" t="s">
        <v>87</v>
      </c>
    </row>
    <row r="123" spans="1:6" ht="15" x14ac:dyDescent="0.25">
      <c r="A123" s="211" t="s">
        <v>322</v>
      </c>
      <c r="B123" s="212">
        <v>16379.37</v>
      </c>
      <c r="C123" s="510">
        <v>2023</v>
      </c>
      <c r="D123" s="212">
        <f t="shared" si="5"/>
        <v>15132.006055695907</v>
      </c>
      <c r="E123" s="65" t="s">
        <v>85</v>
      </c>
      <c r="F123" s="66" t="s">
        <v>87</v>
      </c>
    </row>
    <row r="124" spans="1:6" ht="15" x14ac:dyDescent="0.25">
      <c r="A124" s="211" t="s">
        <v>323</v>
      </c>
      <c r="B124" s="212">
        <v>56376.76</v>
      </c>
      <c r="C124" s="510">
        <v>2023</v>
      </c>
      <c r="D124" s="212">
        <f t="shared" si="5"/>
        <v>52083.411860194552</v>
      </c>
      <c r="E124" s="65" t="s">
        <v>85</v>
      </c>
      <c r="F124" s="66" t="s">
        <v>87</v>
      </c>
    </row>
    <row r="125" spans="1:6" ht="15" x14ac:dyDescent="0.25">
      <c r="A125" s="211" t="s">
        <v>324</v>
      </c>
      <c r="B125" s="212">
        <v>32499.360000000001</v>
      </c>
      <c r="C125" s="510">
        <v>2023</v>
      </c>
      <c r="D125" s="212">
        <f t="shared" si="5"/>
        <v>30024.385084789057</v>
      </c>
      <c r="E125" s="65" t="s">
        <v>85</v>
      </c>
      <c r="F125" s="66" t="s">
        <v>87</v>
      </c>
    </row>
    <row r="126" spans="1:6" ht="15" x14ac:dyDescent="0.25">
      <c r="A126" s="211" t="s">
        <v>325</v>
      </c>
      <c r="B126" s="212">
        <v>13000</v>
      </c>
      <c r="C126" s="510">
        <v>2023</v>
      </c>
      <c r="D126" s="212">
        <f t="shared" si="5"/>
        <v>12009.990538344686</v>
      </c>
      <c r="E126" s="65" t="s">
        <v>85</v>
      </c>
      <c r="F126" s="66" t="s">
        <v>87</v>
      </c>
    </row>
    <row r="127" spans="1:6" ht="15" x14ac:dyDescent="0.25">
      <c r="A127" s="211" t="s">
        <v>326</v>
      </c>
      <c r="B127" s="212">
        <v>510387.75</v>
      </c>
      <c r="C127" s="510">
        <v>2023</v>
      </c>
      <c r="D127" s="212">
        <f t="shared" si="5"/>
        <v>471519.38833746401</v>
      </c>
      <c r="E127" s="65" t="s">
        <v>85</v>
      </c>
      <c r="F127" s="66" t="s">
        <v>87</v>
      </c>
    </row>
    <row r="128" spans="1:6" ht="15" x14ac:dyDescent="0.25">
      <c r="A128" s="211" t="s">
        <v>327</v>
      </c>
      <c r="B128" s="212">
        <v>27874.99</v>
      </c>
      <c r="C128" s="510">
        <v>2023</v>
      </c>
      <c r="D128" s="212">
        <f t="shared" si="5"/>
        <v>25752.182012034824</v>
      </c>
      <c r="E128" s="65" t="s">
        <v>85</v>
      </c>
      <c r="F128" s="66" t="s">
        <v>87</v>
      </c>
    </row>
    <row r="129" spans="1:6" ht="15" x14ac:dyDescent="0.25">
      <c r="A129" s="211" t="s">
        <v>328</v>
      </c>
      <c r="B129" s="212">
        <v>131815.42000000001</v>
      </c>
      <c r="C129" s="510">
        <v>2023</v>
      </c>
      <c r="D129" s="212">
        <f t="shared" si="5"/>
        <v>121777.07284676391</v>
      </c>
      <c r="E129" s="65" t="s">
        <v>85</v>
      </c>
      <c r="F129" s="66" t="s">
        <v>87</v>
      </c>
    </row>
    <row r="130" spans="1:6" ht="15" x14ac:dyDescent="0.25">
      <c r="A130" s="211" t="s">
        <v>329</v>
      </c>
      <c r="B130" s="212">
        <v>19559.66</v>
      </c>
      <c r="C130" s="510">
        <v>2023</v>
      </c>
      <c r="D130" s="212">
        <f t="shared" si="5"/>
        <v>18070.10242563377</v>
      </c>
      <c r="E130" s="65" t="s">
        <v>85</v>
      </c>
      <c r="F130" s="66" t="s">
        <v>87</v>
      </c>
    </row>
    <row r="131" spans="1:6" ht="15" x14ac:dyDescent="0.25">
      <c r="A131" s="211" t="s">
        <v>330</v>
      </c>
      <c r="B131" s="212">
        <v>4289.68</v>
      </c>
      <c r="C131" s="510">
        <v>2023</v>
      </c>
      <c r="D131" s="212">
        <f t="shared" si="5"/>
        <v>3963.0012471174177</v>
      </c>
      <c r="E131" s="65" t="s">
        <v>85</v>
      </c>
      <c r="F131" s="66" t="s">
        <v>87</v>
      </c>
    </row>
    <row r="132" spans="1:6" ht="15" x14ac:dyDescent="0.25">
      <c r="A132" s="211" t="s">
        <v>331</v>
      </c>
      <c r="B132" s="212">
        <v>108028.56</v>
      </c>
      <c r="C132" s="510">
        <v>2023</v>
      </c>
      <c r="D132" s="212">
        <f t="shared" si="5"/>
        <v>99801.691036230855</v>
      </c>
      <c r="E132" s="65" t="s">
        <v>85</v>
      </c>
      <c r="F132" s="66" t="s">
        <v>87</v>
      </c>
    </row>
    <row r="133" spans="1:6" ht="15" x14ac:dyDescent="0.25">
      <c r="A133" s="211" t="s">
        <v>332</v>
      </c>
      <c r="B133" s="212">
        <v>541815.14</v>
      </c>
      <c r="C133" s="510">
        <v>2023</v>
      </c>
      <c r="D133" s="212">
        <f t="shared" si="5"/>
        <v>500553.43884091545</v>
      </c>
      <c r="E133" s="65" t="s">
        <v>85</v>
      </c>
      <c r="F133" s="66" t="s">
        <v>87</v>
      </c>
    </row>
    <row r="134" spans="1:6" ht="15" x14ac:dyDescent="0.25">
      <c r="A134" s="211" t="s">
        <v>333</v>
      </c>
      <c r="B134" s="212">
        <v>3011.54</v>
      </c>
      <c r="C134" s="510">
        <v>2023</v>
      </c>
      <c r="D134" s="212">
        <f t="shared" ref="D134:D197" si="6">B134/(1+$G$3)^(C134-BaseYear)</f>
        <v>2782.1974542958887</v>
      </c>
      <c r="E134" s="65" t="s">
        <v>85</v>
      </c>
      <c r="F134" s="66" t="s">
        <v>87</v>
      </c>
    </row>
    <row r="135" spans="1:6" ht="15" x14ac:dyDescent="0.25">
      <c r="A135" s="211" t="s">
        <v>334</v>
      </c>
      <c r="B135" s="212">
        <v>812436.2</v>
      </c>
      <c r="C135" s="510">
        <v>2023</v>
      </c>
      <c r="D135" s="212">
        <f t="shared" si="6"/>
        <v>750565.46730836225</v>
      </c>
      <c r="E135" s="65" t="s">
        <v>86</v>
      </c>
      <c r="F135" s="66" t="s">
        <v>87</v>
      </c>
    </row>
    <row r="136" spans="1:6" ht="15" x14ac:dyDescent="0.25">
      <c r="A136" s="211" t="s">
        <v>335</v>
      </c>
      <c r="B136" s="212">
        <v>592816.43999999994</v>
      </c>
      <c r="C136" s="510">
        <v>2023</v>
      </c>
      <c r="D136" s="212">
        <f t="shared" si="6"/>
        <v>547670.75656732148</v>
      </c>
      <c r="E136" s="65" t="s">
        <v>86</v>
      </c>
      <c r="F136" s="66" t="s">
        <v>87</v>
      </c>
    </row>
    <row r="137" spans="1:6" ht="15" x14ac:dyDescent="0.25">
      <c r="A137" s="211" t="s">
        <v>336</v>
      </c>
      <c r="B137" s="212">
        <v>428000</v>
      </c>
      <c r="C137" s="510">
        <v>2023</v>
      </c>
      <c r="D137" s="212">
        <f t="shared" si="6"/>
        <v>395405.84233934811</v>
      </c>
      <c r="E137" s="65" t="s">
        <v>86</v>
      </c>
      <c r="F137" s="66" t="s">
        <v>87</v>
      </c>
    </row>
    <row r="138" spans="1:6" ht="15" x14ac:dyDescent="0.25">
      <c r="A138" s="211" t="s">
        <v>337</v>
      </c>
      <c r="B138" s="212">
        <v>162793.79999999999</v>
      </c>
      <c r="C138" s="510">
        <v>2023</v>
      </c>
      <c r="D138" s="212">
        <f t="shared" si="6"/>
        <v>150396.30751547514</v>
      </c>
      <c r="E138" s="65" t="s">
        <v>86</v>
      </c>
      <c r="F138" s="66" t="s">
        <v>87</v>
      </c>
    </row>
    <row r="139" spans="1:6" ht="15" x14ac:dyDescent="0.25">
      <c r="A139" s="211" t="s">
        <v>338</v>
      </c>
      <c r="B139" s="212">
        <v>52668.88</v>
      </c>
      <c r="C139" s="510">
        <v>2023</v>
      </c>
      <c r="D139" s="212">
        <f t="shared" si="6"/>
        <v>48657.903881939354</v>
      </c>
      <c r="E139" s="65" t="s">
        <v>85</v>
      </c>
      <c r="F139" s="66" t="s">
        <v>87</v>
      </c>
    </row>
    <row r="140" spans="1:6" ht="15" x14ac:dyDescent="0.25">
      <c r="A140" s="211" t="s">
        <v>339</v>
      </c>
      <c r="B140" s="212">
        <v>35597.64</v>
      </c>
      <c r="C140" s="510">
        <v>2023</v>
      </c>
      <c r="D140" s="212">
        <f t="shared" si="6"/>
        <v>32886.716891338481</v>
      </c>
      <c r="E140" s="65" t="s">
        <v>85</v>
      </c>
      <c r="F140" s="66" t="s">
        <v>87</v>
      </c>
    </row>
    <row r="141" spans="1:6" ht="15" x14ac:dyDescent="0.25">
      <c r="A141" s="211" t="s">
        <v>340</v>
      </c>
      <c r="B141" s="212">
        <v>108819.36</v>
      </c>
      <c r="C141" s="510">
        <v>2023</v>
      </c>
      <c r="D141" s="212">
        <f t="shared" si="6"/>
        <v>100532.26799913263</v>
      </c>
      <c r="E141" s="65" t="s">
        <v>85</v>
      </c>
      <c r="F141" s="66" t="s">
        <v>87</v>
      </c>
    </row>
    <row r="142" spans="1:6" ht="15" x14ac:dyDescent="0.25">
      <c r="A142" s="211" t="s">
        <v>341</v>
      </c>
      <c r="B142" s="212">
        <v>85429.89</v>
      </c>
      <c r="C142" s="510">
        <v>2023</v>
      </c>
      <c r="D142" s="212">
        <f t="shared" si="6"/>
        <v>78924.013122448247</v>
      </c>
      <c r="E142" s="65" t="s">
        <v>85</v>
      </c>
      <c r="F142" s="66" t="s">
        <v>87</v>
      </c>
    </row>
    <row r="143" spans="1:6" ht="15" x14ac:dyDescent="0.25">
      <c r="A143" s="211" t="s">
        <v>342</v>
      </c>
      <c r="B143" s="212">
        <v>220214.97</v>
      </c>
      <c r="C143" s="510">
        <v>2023</v>
      </c>
      <c r="D143" s="212">
        <f t="shared" si="6"/>
        <v>203444.59277706605</v>
      </c>
      <c r="E143" s="65" t="s">
        <v>85</v>
      </c>
      <c r="F143" s="66" t="s">
        <v>87</v>
      </c>
    </row>
    <row r="144" spans="1:6" ht="15" x14ac:dyDescent="0.25">
      <c r="A144" s="211" t="s">
        <v>343</v>
      </c>
      <c r="B144" s="212">
        <v>18359.439999999999</v>
      </c>
      <c r="C144" s="510">
        <v>2023</v>
      </c>
      <c r="D144" s="212">
        <f t="shared" si="6"/>
        <v>16961.284668408225</v>
      </c>
      <c r="E144" s="65" t="s">
        <v>85</v>
      </c>
      <c r="F144" s="66" t="s">
        <v>87</v>
      </c>
    </row>
    <row r="145" spans="1:6" ht="15" x14ac:dyDescent="0.25">
      <c r="A145" s="211" t="s">
        <v>344</v>
      </c>
      <c r="B145" s="212">
        <v>287116.17</v>
      </c>
      <c r="C145" s="510">
        <v>2023</v>
      </c>
      <c r="D145" s="212">
        <f t="shared" si="6"/>
        <v>265250.96039275109</v>
      </c>
      <c r="E145" s="65" t="s">
        <v>85</v>
      </c>
      <c r="F145" s="66" t="s">
        <v>87</v>
      </c>
    </row>
    <row r="146" spans="1:6" ht="15" x14ac:dyDescent="0.25">
      <c r="A146" s="211" t="s">
        <v>345</v>
      </c>
      <c r="B146" s="212">
        <v>175500</v>
      </c>
      <c r="C146" s="510">
        <v>2023</v>
      </c>
      <c r="D146" s="212">
        <f t="shared" si="6"/>
        <v>162134.87226765323</v>
      </c>
      <c r="E146" s="65" t="s">
        <v>85</v>
      </c>
      <c r="F146" s="66" t="s">
        <v>87</v>
      </c>
    </row>
    <row r="147" spans="1:6" ht="15" x14ac:dyDescent="0.25">
      <c r="A147" s="211" t="s">
        <v>346</v>
      </c>
      <c r="B147" s="212">
        <v>119000</v>
      </c>
      <c r="C147" s="510">
        <v>2023</v>
      </c>
      <c r="D147" s="212">
        <f t="shared" si="6"/>
        <v>109937.60569715519</v>
      </c>
      <c r="E147" s="65" t="s">
        <v>85</v>
      </c>
      <c r="F147" s="66" t="s">
        <v>87</v>
      </c>
    </row>
    <row r="148" spans="1:6" ht="15" x14ac:dyDescent="0.25">
      <c r="A148" s="211" t="s">
        <v>347</v>
      </c>
      <c r="B148" s="212">
        <v>53559.8</v>
      </c>
      <c r="C148" s="510">
        <v>2023</v>
      </c>
      <c r="D148" s="212">
        <f t="shared" si="6"/>
        <v>49480.976248894898</v>
      </c>
      <c r="E148" s="65" t="s">
        <v>85</v>
      </c>
      <c r="F148" s="66" t="s">
        <v>87</v>
      </c>
    </row>
    <row r="149" spans="1:6" ht="15" x14ac:dyDescent="0.25">
      <c r="A149" s="211" t="s">
        <v>348</v>
      </c>
      <c r="B149" s="212">
        <v>42272.55</v>
      </c>
      <c r="C149" s="510">
        <v>2023</v>
      </c>
      <c r="D149" s="212">
        <f t="shared" si="6"/>
        <v>39053.30196397713</v>
      </c>
      <c r="E149" s="65" t="s">
        <v>85</v>
      </c>
      <c r="F149" s="66" t="s">
        <v>87</v>
      </c>
    </row>
    <row r="150" spans="1:6" ht="15" x14ac:dyDescent="0.25">
      <c r="A150" s="211" t="s">
        <v>349</v>
      </c>
      <c r="B150" s="212">
        <v>52120.639999999999</v>
      </c>
      <c r="C150" s="510">
        <v>2023</v>
      </c>
      <c r="D150" s="212">
        <f t="shared" si="6"/>
        <v>48151.414865574581</v>
      </c>
      <c r="E150" s="65" t="s">
        <v>86</v>
      </c>
      <c r="F150" s="66" t="s">
        <v>87</v>
      </c>
    </row>
    <row r="151" spans="1:6" ht="15" x14ac:dyDescent="0.25">
      <c r="A151" s="211" t="s">
        <v>350</v>
      </c>
      <c r="B151" s="212">
        <v>471178.5</v>
      </c>
      <c r="C151" s="510">
        <v>2023</v>
      </c>
      <c r="D151" s="212">
        <f t="shared" si="6"/>
        <v>435296.10206703393</v>
      </c>
      <c r="E151" s="65" t="s">
        <v>86</v>
      </c>
      <c r="F151" s="66" t="s">
        <v>87</v>
      </c>
    </row>
    <row r="152" spans="1:6" ht="15" x14ac:dyDescent="0.25">
      <c r="A152" s="211" t="s">
        <v>351</v>
      </c>
      <c r="B152" s="212">
        <v>8408.0499999999993</v>
      </c>
      <c r="C152" s="510">
        <v>2023</v>
      </c>
      <c r="D152" s="212">
        <f t="shared" si="6"/>
        <v>7767.7385343022324</v>
      </c>
      <c r="E152" s="65" t="s">
        <v>86</v>
      </c>
      <c r="F152" s="66" t="s">
        <v>87</v>
      </c>
    </row>
    <row r="153" spans="1:6" ht="15" x14ac:dyDescent="0.25">
      <c r="A153" s="211" t="s">
        <v>352</v>
      </c>
      <c r="B153" s="212">
        <v>603.45000000000005</v>
      </c>
      <c r="C153" s="510">
        <v>2023</v>
      </c>
      <c r="D153" s="212">
        <f t="shared" si="6"/>
        <v>557.49452233570003</v>
      </c>
      <c r="E153" s="65" t="s">
        <v>86</v>
      </c>
      <c r="F153" s="66" t="s">
        <v>87</v>
      </c>
    </row>
    <row r="154" spans="1:6" ht="15" x14ac:dyDescent="0.25">
      <c r="A154" s="211" t="s">
        <v>353</v>
      </c>
      <c r="B154" s="212">
        <v>270.89999999999998</v>
      </c>
      <c r="C154" s="510">
        <v>2023</v>
      </c>
      <c r="D154" s="212">
        <f t="shared" si="6"/>
        <v>250.26972591058268</v>
      </c>
      <c r="E154" s="65" t="s">
        <v>86</v>
      </c>
      <c r="F154" s="66" t="s">
        <v>87</v>
      </c>
    </row>
    <row r="155" spans="1:6" ht="15" x14ac:dyDescent="0.25">
      <c r="A155" s="211" t="s">
        <v>354</v>
      </c>
      <c r="B155" s="212">
        <v>7249.96</v>
      </c>
      <c r="C155" s="510">
        <v>2023</v>
      </c>
      <c r="D155" s="212">
        <f t="shared" si="6"/>
        <v>6697.8423848751872</v>
      </c>
      <c r="E155" s="65" t="s">
        <v>86</v>
      </c>
      <c r="F155" s="66" t="s">
        <v>87</v>
      </c>
    </row>
    <row r="156" spans="1:6" ht="15" x14ac:dyDescent="0.25">
      <c r="A156" s="211" t="s">
        <v>355</v>
      </c>
      <c r="B156" s="212">
        <v>176327.88</v>
      </c>
      <c r="C156" s="510">
        <v>2023</v>
      </c>
      <c r="D156" s="212">
        <f t="shared" si="6"/>
        <v>162899.70541895207</v>
      </c>
      <c r="E156" s="65" t="s">
        <v>86</v>
      </c>
      <c r="F156" s="66" t="s">
        <v>87</v>
      </c>
    </row>
    <row r="157" spans="1:6" ht="15" x14ac:dyDescent="0.25">
      <c r="A157" s="211" t="s">
        <v>356</v>
      </c>
      <c r="B157" s="212">
        <v>43085.35</v>
      </c>
      <c r="C157" s="510">
        <v>2023</v>
      </c>
      <c r="D157" s="212">
        <f t="shared" si="6"/>
        <v>39804.203526251476</v>
      </c>
      <c r="E157" s="65" t="s">
        <v>86</v>
      </c>
      <c r="F157" s="66" t="s">
        <v>87</v>
      </c>
    </row>
    <row r="158" spans="1:6" ht="15" x14ac:dyDescent="0.25">
      <c r="A158" s="211" t="s">
        <v>357</v>
      </c>
      <c r="B158" s="212">
        <v>15500.66</v>
      </c>
      <c r="C158" s="510">
        <v>2023</v>
      </c>
      <c r="D158" s="212">
        <f t="shared" si="6"/>
        <v>14320.213841392148</v>
      </c>
      <c r="E158" s="65" t="s">
        <v>86</v>
      </c>
      <c r="F158" s="66" t="s">
        <v>87</v>
      </c>
    </row>
    <row r="159" spans="1:6" ht="15" x14ac:dyDescent="0.25">
      <c r="A159" s="211" t="s">
        <v>358</v>
      </c>
      <c r="B159" s="212">
        <v>2026.77</v>
      </c>
      <c r="C159" s="510">
        <v>2023</v>
      </c>
      <c r="D159" s="212">
        <f t="shared" si="6"/>
        <v>1872.4221941077583</v>
      </c>
      <c r="E159" s="65" t="s">
        <v>86</v>
      </c>
      <c r="F159" s="66" t="s">
        <v>87</v>
      </c>
    </row>
    <row r="160" spans="1:6" ht="15" x14ac:dyDescent="0.25">
      <c r="A160" s="211" t="s">
        <v>359</v>
      </c>
      <c r="B160" s="212">
        <v>6402</v>
      </c>
      <c r="C160" s="510">
        <v>2023</v>
      </c>
      <c r="D160" s="212">
        <f t="shared" si="6"/>
        <v>5914.4584174217443</v>
      </c>
      <c r="E160" s="65" t="s">
        <v>86</v>
      </c>
      <c r="F160" s="66" t="s">
        <v>87</v>
      </c>
    </row>
    <row r="161" spans="1:6" ht="15" x14ac:dyDescent="0.25">
      <c r="A161" s="211" t="s">
        <v>360</v>
      </c>
      <c r="B161" s="212">
        <v>19154.240000000002</v>
      </c>
      <c r="C161" s="510">
        <v>2023</v>
      </c>
      <c r="D161" s="212">
        <f t="shared" si="6"/>
        <v>17695.557013014102</v>
      </c>
      <c r="E161" s="65" t="s">
        <v>86</v>
      </c>
      <c r="F161" s="66" t="s">
        <v>87</v>
      </c>
    </row>
    <row r="162" spans="1:6" ht="15" x14ac:dyDescent="0.25">
      <c r="A162" s="211" t="s">
        <v>361</v>
      </c>
      <c r="B162" s="212">
        <v>110882.7</v>
      </c>
      <c r="C162" s="510">
        <v>2023</v>
      </c>
      <c r="D162" s="212">
        <f t="shared" si="6"/>
        <v>102438.47522047017</v>
      </c>
      <c r="E162" s="65" t="s">
        <v>86</v>
      </c>
      <c r="F162" s="66" t="s">
        <v>87</v>
      </c>
    </row>
    <row r="163" spans="1:6" ht="15" x14ac:dyDescent="0.25">
      <c r="A163" s="211" t="s">
        <v>362</v>
      </c>
      <c r="B163" s="212">
        <v>67069.119999999995</v>
      </c>
      <c r="C163" s="510">
        <v>2023</v>
      </c>
      <c r="D163" s="212">
        <f t="shared" si="6"/>
        <v>61961.499739623403</v>
      </c>
      <c r="E163" s="65" t="s">
        <v>86</v>
      </c>
      <c r="F163" s="66" t="s">
        <v>87</v>
      </c>
    </row>
    <row r="164" spans="1:6" ht="15" x14ac:dyDescent="0.25">
      <c r="A164" s="211" t="s">
        <v>363</v>
      </c>
      <c r="B164" s="212">
        <v>1821.9</v>
      </c>
      <c r="C164" s="510">
        <v>2023</v>
      </c>
      <c r="D164" s="212">
        <f t="shared" si="6"/>
        <v>1683.1539816777063</v>
      </c>
      <c r="E164" s="65" t="s">
        <v>85</v>
      </c>
      <c r="F164" s="66" t="s">
        <v>87</v>
      </c>
    </row>
    <row r="165" spans="1:6" ht="15" x14ac:dyDescent="0.25">
      <c r="A165" s="211" t="s">
        <v>364</v>
      </c>
      <c r="B165" s="212">
        <v>15100.56</v>
      </c>
      <c r="C165" s="510">
        <v>2023</v>
      </c>
      <c r="D165" s="212">
        <f t="shared" si="6"/>
        <v>13950.583286438939</v>
      </c>
      <c r="E165" s="65" t="s">
        <v>85</v>
      </c>
      <c r="F165" s="66" t="s">
        <v>87</v>
      </c>
    </row>
    <row r="166" spans="1:6" ht="15" x14ac:dyDescent="0.25">
      <c r="A166" s="211" t="s">
        <v>365</v>
      </c>
      <c r="B166" s="212">
        <v>9448.64</v>
      </c>
      <c r="C166" s="510">
        <v>2023</v>
      </c>
      <c r="D166" s="212">
        <f t="shared" si="6"/>
        <v>8729.0828461711626</v>
      </c>
      <c r="E166" s="65" t="s">
        <v>85</v>
      </c>
      <c r="F166" s="66" t="s">
        <v>87</v>
      </c>
    </row>
    <row r="167" spans="1:6" ht="15" x14ac:dyDescent="0.25">
      <c r="A167" s="211" t="s">
        <v>366</v>
      </c>
      <c r="B167" s="212">
        <v>803871.9</v>
      </c>
      <c r="C167" s="510">
        <v>2023</v>
      </c>
      <c r="D167" s="212">
        <f t="shared" si="6"/>
        <v>742653.37792624347</v>
      </c>
      <c r="E167" s="65" t="s">
        <v>86</v>
      </c>
      <c r="F167" s="66" t="s">
        <v>87</v>
      </c>
    </row>
    <row r="168" spans="1:6" ht="15" x14ac:dyDescent="0.25">
      <c r="A168" s="211" t="s">
        <v>367</v>
      </c>
      <c r="B168" s="212">
        <v>2859086.85</v>
      </c>
      <c r="C168" s="510">
        <v>2023</v>
      </c>
      <c r="D168" s="212">
        <f t="shared" si="6"/>
        <v>2641354.3089850545</v>
      </c>
      <c r="E168" s="65" t="s">
        <v>86</v>
      </c>
      <c r="F168" s="66" t="s">
        <v>87</v>
      </c>
    </row>
    <row r="169" spans="1:6" ht="15" x14ac:dyDescent="0.25">
      <c r="A169" s="211" t="s">
        <v>368</v>
      </c>
      <c r="B169" s="212">
        <v>44887.56</v>
      </c>
      <c r="C169" s="510">
        <v>2023</v>
      </c>
      <c r="D169" s="212">
        <f t="shared" si="6"/>
        <v>41469.166991490718</v>
      </c>
      <c r="E169" s="65" t="s">
        <v>86</v>
      </c>
      <c r="F169" s="66" t="s">
        <v>87</v>
      </c>
    </row>
    <row r="170" spans="1:6" ht="15" x14ac:dyDescent="0.25">
      <c r="A170" s="211" t="s">
        <v>369</v>
      </c>
      <c r="B170" s="212">
        <v>86477.75</v>
      </c>
      <c r="C170" s="510">
        <v>2023</v>
      </c>
      <c r="D170" s="212">
        <f t="shared" si="6"/>
        <v>79892.073790564391</v>
      </c>
      <c r="E170" s="65" t="s">
        <v>85</v>
      </c>
      <c r="F170" s="66" t="s">
        <v>87</v>
      </c>
    </row>
    <row r="171" spans="1:6" ht="15" x14ac:dyDescent="0.25">
      <c r="A171" s="211" t="s">
        <v>370</v>
      </c>
      <c r="B171" s="212">
        <v>32236.959999999999</v>
      </c>
      <c r="C171" s="510">
        <v>2023</v>
      </c>
      <c r="D171" s="212">
        <f t="shared" si="6"/>
        <v>29781.968044999696</v>
      </c>
      <c r="E171" s="65" t="s">
        <v>85</v>
      </c>
      <c r="F171" s="66" t="s">
        <v>87</v>
      </c>
    </row>
    <row r="172" spans="1:6" ht="15" x14ac:dyDescent="0.25">
      <c r="A172" s="211" t="s">
        <v>371</v>
      </c>
      <c r="B172" s="212">
        <v>133460.5</v>
      </c>
      <c r="C172" s="510">
        <v>2023</v>
      </c>
      <c r="D172" s="212">
        <f t="shared" si="6"/>
        <v>123296.8724802116</v>
      </c>
      <c r="E172" s="65" t="s">
        <v>85</v>
      </c>
      <c r="F172" s="66" t="s">
        <v>87</v>
      </c>
    </row>
    <row r="173" spans="1:6" ht="15" x14ac:dyDescent="0.25">
      <c r="A173" s="211" t="s">
        <v>372</v>
      </c>
      <c r="B173" s="212">
        <v>741038.58</v>
      </c>
      <c r="C173" s="510">
        <v>2023</v>
      </c>
      <c r="D173" s="212">
        <f t="shared" si="6"/>
        <v>684605.10264218308</v>
      </c>
      <c r="E173" s="65" t="s">
        <v>86</v>
      </c>
      <c r="F173" s="66" t="s">
        <v>87</v>
      </c>
    </row>
    <row r="174" spans="1:6" ht="15" x14ac:dyDescent="0.25">
      <c r="A174" s="211" t="s">
        <v>373</v>
      </c>
      <c r="B174" s="212">
        <v>5250</v>
      </c>
      <c r="C174" s="510">
        <v>2023</v>
      </c>
      <c r="D174" s="212">
        <f t="shared" si="6"/>
        <v>4850.1884866392002</v>
      </c>
      <c r="E174" s="65" t="s">
        <v>86</v>
      </c>
      <c r="F174" s="66" t="s">
        <v>87</v>
      </c>
    </row>
    <row r="175" spans="1:6" ht="15" x14ac:dyDescent="0.25">
      <c r="A175" s="211" t="s">
        <v>374</v>
      </c>
      <c r="B175" s="212">
        <v>462637.14</v>
      </c>
      <c r="C175" s="510">
        <v>2023</v>
      </c>
      <c r="D175" s="212">
        <f t="shared" si="6"/>
        <v>427405.20569898811</v>
      </c>
      <c r="E175" s="65" t="s">
        <v>85</v>
      </c>
      <c r="F175" s="66" t="s">
        <v>87</v>
      </c>
    </row>
    <row r="176" spans="1:6" ht="15" x14ac:dyDescent="0.25">
      <c r="A176" s="211" t="s">
        <v>375</v>
      </c>
      <c r="B176" s="212">
        <v>293718.48</v>
      </c>
      <c r="C176" s="510">
        <v>2023</v>
      </c>
      <c r="D176" s="212">
        <f t="shared" si="6"/>
        <v>271350.47428746021</v>
      </c>
      <c r="E176" s="65" t="s">
        <v>85</v>
      </c>
      <c r="F176" s="66" t="s">
        <v>87</v>
      </c>
    </row>
    <row r="177" spans="1:6" ht="15" x14ac:dyDescent="0.25">
      <c r="A177" s="211" t="s">
        <v>376</v>
      </c>
      <c r="B177" s="212">
        <v>20442.150000000001</v>
      </c>
      <c r="C177" s="510">
        <v>2023</v>
      </c>
      <c r="D177" s="212">
        <f t="shared" si="6"/>
        <v>18885.386775647909</v>
      </c>
      <c r="E177" s="65" t="s">
        <v>85</v>
      </c>
      <c r="F177" s="66" t="s">
        <v>87</v>
      </c>
    </row>
    <row r="178" spans="1:6" ht="15" x14ac:dyDescent="0.25">
      <c r="A178" s="211" t="s">
        <v>377</v>
      </c>
      <c r="B178" s="212">
        <v>2611</v>
      </c>
      <c r="C178" s="510">
        <v>2023</v>
      </c>
      <c r="D178" s="212">
        <f t="shared" si="6"/>
        <v>2412.1604073552285</v>
      </c>
      <c r="E178" s="65" t="s">
        <v>85</v>
      </c>
      <c r="F178" s="66" t="s">
        <v>87</v>
      </c>
    </row>
    <row r="179" spans="1:6" ht="15" x14ac:dyDescent="0.25">
      <c r="A179" s="211" t="s">
        <v>378</v>
      </c>
      <c r="B179" s="212">
        <v>37489.330399999999</v>
      </c>
      <c r="C179" s="510">
        <v>2023</v>
      </c>
      <c r="D179" s="212">
        <f t="shared" si="6"/>
        <v>34634.346414836749</v>
      </c>
      <c r="E179" s="65" t="s">
        <v>85</v>
      </c>
      <c r="F179" s="66" t="s">
        <v>87</v>
      </c>
    </row>
    <row r="180" spans="1:6" ht="15" x14ac:dyDescent="0.25">
      <c r="A180" s="211" t="s">
        <v>378</v>
      </c>
      <c r="B180" s="212">
        <v>59952.859299999996</v>
      </c>
      <c r="C180" s="510">
        <v>2023</v>
      </c>
      <c r="D180" s="212">
        <f t="shared" si="6"/>
        <v>55387.174841516164</v>
      </c>
      <c r="E180" s="65" t="s">
        <v>85</v>
      </c>
      <c r="F180" s="66" t="s">
        <v>87</v>
      </c>
    </row>
    <row r="181" spans="1:6" ht="15" x14ac:dyDescent="0.25">
      <c r="A181" s="211" t="s">
        <v>379</v>
      </c>
      <c r="B181" s="212">
        <v>28545.291499999999</v>
      </c>
      <c r="C181" s="510">
        <v>2023</v>
      </c>
      <c r="D181" s="212">
        <f t="shared" si="6"/>
        <v>26371.436986868535</v>
      </c>
      <c r="E181" s="65" t="s">
        <v>85</v>
      </c>
      <c r="F181" s="66" t="s">
        <v>87</v>
      </c>
    </row>
    <row r="182" spans="1:6" ht="15" x14ac:dyDescent="0.25">
      <c r="A182" s="211" t="s">
        <v>380</v>
      </c>
      <c r="B182" s="212">
        <v>771.93600000000004</v>
      </c>
      <c r="C182" s="510">
        <v>2023</v>
      </c>
      <c r="D182" s="212">
        <f t="shared" si="6"/>
        <v>713.14954278520338</v>
      </c>
      <c r="E182" s="65" t="s">
        <v>85</v>
      </c>
      <c r="F182" s="66" t="s">
        <v>87</v>
      </c>
    </row>
    <row r="183" spans="1:6" ht="15" x14ac:dyDescent="0.25">
      <c r="A183" s="211" t="s">
        <v>381</v>
      </c>
      <c r="B183" s="212">
        <v>18869.775600000001</v>
      </c>
      <c r="C183" s="510">
        <v>2023</v>
      </c>
      <c r="D183" s="212">
        <f t="shared" si="6"/>
        <v>17432.755878206724</v>
      </c>
      <c r="E183" s="65" t="s">
        <v>85</v>
      </c>
      <c r="F183" s="66" t="s">
        <v>87</v>
      </c>
    </row>
    <row r="184" spans="1:6" ht="15" x14ac:dyDescent="0.25">
      <c r="A184" s="211" t="s">
        <v>382</v>
      </c>
      <c r="B184" s="212">
        <v>1358.848</v>
      </c>
      <c r="C184" s="510">
        <v>2023</v>
      </c>
      <c r="D184" s="212">
        <f t="shared" si="6"/>
        <v>1255.3655094652768</v>
      </c>
      <c r="E184" s="65" t="s">
        <v>85</v>
      </c>
      <c r="F184" s="66" t="s">
        <v>87</v>
      </c>
    </row>
    <row r="185" spans="1:6" ht="15" x14ac:dyDescent="0.25">
      <c r="A185" s="211" t="s">
        <v>383</v>
      </c>
      <c r="B185" s="212">
        <v>211.89279999999999</v>
      </c>
      <c r="C185" s="510">
        <v>2023</v>
      </c>
      <c r="D185" s="212">
        <f t="shared" si="6"/>
        <v>195.75619408795097</v>
      </c>
      <c r="E185" s="65" t="s">
        <v>85</v>
      </c>
      <c r="F185" s="66" t="s">
        <v>87</v>
      </c>
    </row>
    <row r="186" spans="1:6" ht="15" x14ac:dyDescent="0.25">
      <c r="A186" s="211" t="s">
        <v>384</v>
      </c>
      <c r="B186" s="212">
        <v>2160</v>
      </c>
      <c r="C186" s="510">
        <v>2023</v>
      </c>
      <c r="D186" s="212">
        <f t="shared" si="6"/>
        <v>1995.5061202172708</v>
      </c>
      <c r="E186" s="65" t="s">
        <v>85</v>
      </c>
      <c r="F186" s="66" t="s">
        <v>87</v>
      </c>
    </row>
    <row r="187" spans="1:6" ht="15" x14ac:dyDescent="0.25">
      <c r="A187" s="211" t="s">
        <v>385</v>
      </c>
      <c r="B187" s="212">
        <v>434064.20400000003</v>
      </c>
      <c r="C187" s="510">
        <v>2023</v>
      </c>
      <c r="D187" s="212">
        <f t="shared" si="6"/>
        <v>401008.22946723981</v>
      </c>
      <c r="E187" s="65" t="s">
        <v>85</v>
      </c>
      <c r="F187" s="66" t="s">
        <v>87</v>
      </c>
    </row>
    <row r="188" spans="1:6" ht="15" x14ac:dyDescent="0.25">
      <c r="A188" s="211" t="s">
        <v>386</v>
      </c>
      <c r="B188" s="212">
        <v>163800</v>
      </c>
      <c r="C188" s="510">
        <v>2023</v>
      </c>
      <c r="D188" s="212">
        <f t="shared" si="6"/>
        <v>151325.88078314305</v>
      </c>
      <c r="E188" s="65" t="s">
        <v>86</v>
      </c>
      <c r="F188" s="66" t="s">
        <v>87</v>
      </c>
    </row>
    <row r="189" spans="1:6" ht="15" x14ac:dyDescent="0.25">
      <c r="A189" s="211" t="s">
        <v>387</v>
      </c>
      <c r="B189" s="212">
        <v>1575000</v>
      </c>
      <c r="C189" s="510">
        <v>2023</v>
      </c>
      <c r="D189" s="212">
        <f t="shared" si="6"/>
        <v>1455056.54599176</v>
      </c>
      <c r="E189" s="65" t="s">
        <v>86</v>
      </c>
      <c r="F189" s="66" t="s">
        <v>87</v>
      </c>
    </row>
    <row r="190" spans="1:6" ht="15" x14ac:dyDescent="0.25">
      <c r="A190" s="211" t="s">
        <v>388</v>
      </c>
      <c r="B190" s="212">
        <v>13974.37</v>
      </c>
      <c r="C190" s="510">
        <v>2023</v>
      </c>
      <c r="D190" s="212">
        <f t="shared" si="6"/>
        <v>12910.157806102141</v>
      </c>
      <c r="E190" s="65" t="s">
        <v>86</v>
      </c>
      <c r="F190" s="66" t="s">
        <v>87</v>
      </c>
    </row>
    <row r="191" spans="1:6" ht="15" x14ac:dyDescent="0.25">
      <c r="A191" s="211" t="s">
        <v>389</v>
      </c>
      <c r="B191" s="212">
        <v>191452.95</v>
      </c>
      <c r="C191" s="510">
        <v>2023</v>
      </c>
      <c r="D191" s="212">
        <f t="shared" si="6"/>
        <v>176872.93215678295</v>
      </c>
      <c r="E191" s="65" t="s">
        <v>86</v>
      </c>
      <c r="F191" s="66" t="s">
        <v>87</v>
      </c>
    </row>
    <row r="192" spans="1:6" ht="15" x14ac:dyDescent="0.25">
      <c r="A192" s="211" t="s">
        <v>390</v>
      </c>
      <c r="B192" s="212">
        <v>139806.72</v>
      </c>
      <c r="C192" s="510">
        <v>2023</v>
      </c>
      <c r="D192" s="212">
        <f t="shared" si="6"/>
        <v>129159.79879976959</v>
      </c>
      <c r="E192" s="65" t="s">
        <v>86</v>
      </c>
      <c r="F192" s="66" t="s">
        <v>87</v>
      </c>
    </row>
    <row r="193" spans="1:6" ht="15" x14ac:dyDescent="0.25">
      <c r="A193" s="211" t="s">
        <v>391</v>
      </c>
      <c r="B193" s="212">
        <v>1200.51</v>
      </c>
      <c r="C193" s="510">
        <v>2023</v>
      </c>
      <c r="D193" s="212">
        <f t="shared" si="6"/>
        <v>1109.0856723990905</v>
      </c>
      <c r="E193" s="65" t="s">
        <v>85</v>
      </c>
      <c r="F193" s="66" t="s">
        <v>87</v>
      </c>
    </row>
    <row r="194" spans="1:6" ht="15" x14ac:dyDescent="0.25">
      <c r="A194" s="211" t="s">
        <v>392</v>
      </c>
      <c r="B194" s="212">
        <v>150000</v>
      </c>
      <c r="C194" s="510">
        <v>2023</v>
      </c>
      <c r="D194" s="212">
        <f t="shared" si="6"/>
        <v>138576.81390397713</v>
      </c>
      <c r="E194" s="65" t="s">
        <v>85</v>
      </c>
      <c r="F194" s="66" t="s">
        <v>87</v>
      </c>
    </row>
    <row r="195" spans="1:6" ht="15" x14ac:dyDescent="0.25">
      <c r="A195" s="211" t="s">
        <v>393</v>
      </c>
      <c r="B195" s="212">
        <v>7000000</v>
      </c>
      <c r="C195" s="510">
        <v>2023</v>
      </c>
      <c r="D195" s="212">
        <f t="shared" si="6"/>
        <v>6466917.9821855994</v>
      </c>
      <c r="E195" s="65" t="s">
        <v>85</v>
      </c>
      <c r="F195" s="66" t="s">
        <v>87</v>
      </c>
    </row>
    <row r="196" spans="1:6" ht="15" x14ac:dyDescent="0.25">
      <c r="A196" s="211" t="s">
        <v>394</v>
      </c>
      <c r="B196" s="212">
        <v>150000</v>
      </c>
      <c r="C196" s="510">
        <v>2023</v>
      </c>
      <c r="D196" s="212">
        <f t="shared" si="6"/>
        <v>138576.81390397713</v>
      </c>
      <c r="E196" s="65" t="s">
        <v>85</v>
      </c>
      <c r="F196" s="66" t="s">
        <v>87</v>
      </c>
    </row>
    <row r="197" spans="1:6" ht="15" x14ac:dyDescent="0.25">
      <c r="A197" s="211" t="s">
        <v>395</v>
      </c>
      <c r="B197" s="212">
        <v>91000</v>
      </c>
      <c r="C197" s="510">
        <v>2023</v>
      </c>
      <c r="D197" s="212">
        <f t="shared" si="6"/>
        <v>84069.933768412797</v>
      </c>
      <c r="E197" s="65" t="s">
        <v>85</v>
      </c>
      <c r="F197" s="66" t="s">
        <v>87</v>
      </c>
    </row>
    <row r="198" spans="1:6" ht="15" x14ac:dyDescent="0.25">
      <c r="A198" s="211" t="s">
        <v>396</v>
      </c>
      <c r="B198" s="212">
        <v>78000</v>
      </c>
      <c r="C198" s="510">
        <v>2023</v>
      </c>
      <c r="D198" s="212">
        <f t="shared" ref="D198:D224" si="7">B198/(1+$G$3)^(C198-BaseYear)</f>
        <v>72059.943230068107</v>
      </c>
      <c r="E198" s="65" t="s">
        <v>85</v>
      </c>
      <c r="F198" s="66" t="s">
        <v>87</v>
      </c>
    </row>
    <row r="199" spans="1:6" ht="15" x14ac:dyDescent="0.25">
      <c r="A199" s="211" t="s">
        <v>397</v>
      </c>
      <c r="B199" s="212">
        <v>20000</v>
      </c>
      <c r="C199" s="510">
        <v>2023</v>
      </c>
      <c r="D199" s="212">
        <f t="shared" si="7"/>
        <v>18476.908520530284</v>
      </c>
      <c r="E199" s="65" t="s">
        <v>85</v>
      </c>
      <c r="F199" s="66" t="s">
        <v>87</v>
      </c>
    </row>
    <row r="200" spans="1:6" ht="15" x14ac:dyDescent="0.25">
      <c r="A200" s="211" t="s">
        <v>398</v>
      </c>
      <c r="B200" s="212">
        <v>50000</v>
      </c>
      <c r="C200" s="510">
        <v>2023</v>
      </c>
      <c r="D200" s="212">
        <f t="shared" si="7"/>
        <v>46192.271301325709</v>
      </c>
      <c r="E200" s="65" t="s">
        <v>85</v>
      </c>
      <c r="F200" s="66" t="s">
        <v>87</v>
      </c>
    </row>
    <row r="201" spans="1:6" ht="15" x14ac:dyDescent="0.25">
      <c r="A201" s="211" t="s">
        <v>399</v>
      </c>
      <c r="B201" s="212">
        <v>50000</v>
      </c>
      <c r="C201" s="510">
        <v>2023</v>
      </c>
      <c r="D201" s="212">
        <f t="shared" si="7"/>
        <v>46192.271301325709</v>
      </c>
      <c r="E201" s="65" t="s">
        <v>85</v>
      </c>
      <c r="F201" s="66" t="s">
        <v>87</v>
      </c>
    </row>
    <row r="202" spans="1:6" ht="15" x14ac:dyDescent="0.25">
      <c r="A202" s="211" t="s">
        <v>400</v>
      </c>
      <c r="B202" s="212">
        <v>70000</v>
      </c>
      <c r="C202" s="510">
        <v>2023</v>
      </c>
      <c r="D202" s="212">
        <f t="shared" si="7"/>
        <v>64669.179821856</v>
      </c>
      <c r="E202" s="65" t="s">
        <v>85</v>
      </c>
      <c r="F202" s="66" t="s">
        <v>87</v>
      </c>
    </row>
    <row r="203" spans="1:6" ht="15" x14ac:dyDescent="0.25">
      <c r="A203" s="211" t="s">
        <v>401</v>
      </c>
      <c r="B203" s="212">
        <v>10000</v>
      </c>
      <c r="C203" s="510">
        <v>2023</v>
      </c>
      <c r="D203" s="212">
        <f t="shared" si="7"/>
        <v>9238.4542602651418</v>
      </c>
      <c r="E203" s="65" t="s">
        <v>85</v>
      </c>
      <c r="F203" s="66" t="s">
        <v>87</v>
      </c>
    </row>
    <row r="204" spans="1:6" ht="15" x14ac:dyDescent="0.25">
      <c r="A204" s="211" t="s">
        <v>402</v>
      </c>
      <c r="B204" s="212">
        <v>24000</v>
      </c>
      <c r="C204" s="510">
        <v>2023</v>
      </c>
      <c r="D204" s="212">
        <f t="shared" si="7"/>
        <v>22172.290224636341</v>
      </c>
      <c r="E204" s="65" t="s">
        <v>85</v>
      </c>
      <c r="F204" s="66" t="s">
        <v>87</v>
      </c>
    </row>
    <row r="205" spans="1:6" ht="15" x14ac:dyDescent="0.25">
      <c r="A205" s="211" t="s">
        <v>403</v>
      </c>
      <c r="B205" s="212">
        <v>30000</v>
      </c>
      <c r="C205" s="510">
        <v>2023</v>
      </c>
      <c r="D205" s="212">
        <f t="shared" si="7"/>
        <v>27715.362780795425</v>
      </c>
      <c r="E205" s="65" t="s">
        <v>85</v>
      </c>
      <c r="F205" s="66" t="s">
        <v>87</v>
      </c>
    </row>
    <row r="206" spans="1:6" ht="15" x14ac:dyDescent="0.25">
      <c r="A206" s="211" t="s">
        <v>404</v>
      </c>
      <c r="B206" s="212">
        <v>30000</v>
      </c>
      <c r="C206" s="510">
        <v>2023</v>
      </c>
      <c r="D206" s="212">
        <f t="shared" si="7"/>
        <v>27715.362780795425</v>
      </c>
      <c r="E206" s="65" t="s">
        <v>85</v>
      </c>
      <c r="F206" s="66" t="s">
        <v>87</v>
      </c>
    </row>
    <row r="207" spans="1:6" ht="15" x14ac:dyDescent="0.25">
      <c r="A207" s="211" t="s">
        <v>405</v>
      </c>
      <c r="B207" s="212">
        <v>100000</v>
      </c>
      <c r="C207" s="510">
        <v>2023</v>
      </c>
      <c r="D207" s="212">
        <f t="shared" si="7"/>
        <v>92384.542602651418</v>
      </c>
      <c r="E207" s="65" t="s">
        <v>85</v>
      </c>
      <c r="F207" s="66" t="s">
        <v>87</v>
      </c>
    </row>
    <row r="208" spans="1:6" ht="15" x14ac:dyDescent="0.25">
      <c r="A208" s="211" t="s">
        <v>406</v>
      </c>
      <c r="B208" s="212">
        <v>197761</v>
      </c>
      <c r="C208" s="510">
        <v>2023</v>
      </c>
      <c r="D208" s="212">
        <f t="shared" si="7"/>
        <v>182700.59529642947</v>
      </c>
      <c r="E208" s="65" t="s">
        <v>85</v>
      </c>
      <c r="F208" s="66" t="s">
        <v>87</v>
      </c>
    </row>
    <row r="209" spans="1:6" ht="15" x14ac:dyDescent="0.25">
      <c r="A209" s="211" t="s">
        <v>398</v>
      </c>
      <c r="B209" s="212">
        <v>50000</v>
      </c>
      <c r="C209" s="510">
        <v>2023</v>
      </c>
      <c r="D209" s="212">
        <f t="shared" si="7"/>
        <v>46192.271301325709</v>
      </c>
      <c r="E209" s="65" t="s">
        <v>85</v>
      </c>
      <c r="F209" s="66" t="s">
        <v>87</v>
      </c>
    </row>
    <row r="210" spans="1:6" ht="15" x14ac:dyDescent="0.25">
      <c r="A210" s="211" t="s">
        <v>399</v>
      </c>
      <c r="B210" s="212">
        <v>10000</v>
      </c>
      <c r="C210" s="510">
        <v>2023</v>
      </c>
      <c r="D210" s="212">
        <f t="shared" si="7"/>
        <v>9238.4542602651418</v>
      </c>
      <c r="E210" s="65" t="s">
        <v>85</v>
      </c>
      <c r="F210" s="66" t="s">
        <v>87</v>
      </c>
    </row>
    <row r="211" spans="1:6" ht="15" x14ac:dyDescent="0.25">
      <c r="A211" s="211" t="s">
        <v>407</v>
      </c>
      <c r="B211" s="212">
        <v>50000</v>
      </c>
      <c r="C211" s="510">
        <v>2023</v>
      </c>
      <c r="D211" s="212">
        <f t="shared" si="7"/>
        <v>46192.271301325709</v>
      </c>
      <c r="E211" s="65" t="s">
        <v>85</v>
      </c>
      <c r="F211" s="66" t="s">
        <v>87</v>
      </c>
    </row>
    <row r="212" spans="1:6" ht="15" x14ac:dyDescent="0.25">
      <c r="A212" s="211" t="s">
        <v>408</v>
      </c>
      <c r="B212" s="212">
        <v>30000</v>
      </c>
      <c r="C212" s="510">
        <v>2023</v>
      </c>
      <c r="D212" s="212">
        <f t="shared" si="7"/>
        <v>27715.362780795425</v>
      </c>
      <c r="E212" s="65" t="s">
        <v>85</v>
      </c>
      <c r="F212" s="66" t="s">
        <v>87</v>
      </c>
    </row>
    <row r="213" spans="1:6" ht="15" x14ac:dyDescent="0.25">
      <c r="A213" s="211" t="s">
        <v>398</v>
      </c>
      <c r="B213" s="212">
        <v>30000</v>
      </c>
      <c r="C213" s="510">
        <v>2023</v>
      </c>
      <c r="D213" s="212">
        <f t="shared" si="7"/>
        <v>27715.362780795425</v>
      </c>
      <c r="E213" s="65" t="s">
        <v>85</v>
      </c>
      <c r="F213" s="66" t="s">
        <v>87</v>
      </c>
    </row>
    <row r="214" spans="1:6" ht="15" x14ac:dyDescent="0.25">
      <c r="A214" s="211" t="s">
        <v>399</v>
      </c>
      <c r="B214" s="212">
        <v>30000</v>
      </c>
      <c r="C214" s="510">
        <v>2023</v>
      </c>
      <c r="D214" s="212">
        <f t="shared" si="7"/>
        <v>27715.362780795425</v>
      </c>
      <c r="E214" s="65" t="s">
        <v>85</v>
      </c>
      <c r="F214" s="66" t="s">
        <v>87</v>
      </c>
    </row>
    <row r="215" spans="1:6" ht="15" x14ac:dyDescent="0.25">
      <c r="A215" s="211" t="s">
        <v>397</v>
      </c>
      <c r="B215" s="212">
        <v>100000</v>
      </c>
      <c r="C215" s="510">
        <v>2023</v>
      </c>
      <c r="D215" s="212">
        <f t="shared" si="7"/>
        <v>92384.542602651418</v>
      </c>
      <c r="E215" s="65" t="s">
        <v>85</v>
      </c>
      <c r="F215" s="66" t="s">
        <v>87</v>
      </c>
    </row>
    <row r="216" spans="1:6" ht="15" x14ac:dyDescent="0.25">
      <c r="A216" s="211" t="s">
        <v>415</v>
      </c>
      <c r="B216" s="212">
        <v>2740320</v>
      </c>
      <c r="C216" s="510">
        <v>2023</v>
      </c>
      <c r="D216" s="212">
        <f t="shared" si="7"/>
        <v>2531632.0978489774</v>
      </c>
      <c r="E216" s="65" t="s">
        <v>88</v>
      </c>
      <c r="F216" s="66" t="s">
        <v>87</v>
      </c>
    </row>
    <row r="217" spans="1:6" ht="15" x14ac:dyDescent="0.25">
      <c r="A217" s="213" t="s">
        <v>409</v>
      </c>
      <c r="B217" s="212">
        <v>3507600</v>
      </c>
      <c r="C217" s="510">
        <v>2023</v>
      </c>
      <c r="D217" s="212">
        <f t="shared" si="7"/>
        <v>3240480.2163306014</v>
      </c>
      <c r="E217" s="65" t="s">
        <v>88</v>
      </c>
      <c r="F217" s="66" t="s">
        <v>87</v>
      </c>
    </row>
    <row r="218" spans="1:6" ht="15" x14ac:dyDescent="0.25">
      <c r="A218" s="213" t="s">
        <v>410</v>
      </c>
      <c r="B218" s="212">
        <v>2740320</v>
      </c>
      <c r="C218" s="510">
        <v>2023</v>
      </c>
      <c r="D218" s="212">
        <f t="shared" si="7"/>
        <v>2531632.0978489774</v>
      </c>
      <c r="E218" s="65" t="s">
        <v>88</v>
      </c>
      <c r="F218" s="66" t="s">
        <v>87</v>
      </c>
    </row>
    <row r="219" spans="1:6" ht="15" x14ac:dyDescent="0.25">
      <c r="A219" s="213" t="s">
        <v>411</v>
      </c>
      <c r="B219" s="212">
        <v>3736800</v>
      </c>
      <c r="C219" s="510">
        <v>2023</v>
      </c>
      <c r="D219" s="212">
        <f t="shared" si="7"/>
        <v>3452225.5879758783</v>
      </c>
      <c r="E219" s="65" t="s">
        <v>88</v>
      </c>
      <c r="F219" s="66" t="s">
        <v>87</v>
      </c>
    </row>
    <row r="220" spans="1:6" ht="15" x14ac:dyDescent="0.25">
      <c r="A220" s="213" t="s">
        <v>412</v>
      </c>
      <c r="B220" s="212">
        <v>2719560</v>
      </c>
      <c r="C220" s="510">
        <v>2023</v>
      </c>
      <c r="D220" s="212">
        <f t="shared" si="7"/>
        <v>2512453.066804667</v>
      </c>
      <c r="E220" s="65" t="s">
        <v>88</v>
      </c>
      <c r="F220" s="66" t="s">
        <v>87</v>
      </c>
    </row>
    <row r="221" spans="1:6" ht="15" x14ac:dyDescent="0.25">
      <c r="A221" s="213" t="s">
        <v>415</v>
      </c>
      <c r="B221" s="212">
        <v>1194375</v>
      </c>
      <c r="C221" s="510">
        <v>2023</v>
      </c>
      <c r="D221" s="212">
        <f t="shared" si="7"/>
        <v>1103417.8807104179</v>
      </c>
      <c r="E221" s="65" t="s">
        <v>88</v>
      </c>
      <c r="F221" s="66" t="s">
        <v>87</v>
      </c>
    </row>
    <row r="222" spans="1:6" ht="15" x14ac:dyDescent="0.25">
      <c r="A222" s="28" t="s">
        <v>414</v>
      </c>
      <c r="B222" s="212">
        <v>19809385.379999999</v>
      </c>
      <c r="C222" s="510">
        <v>2023</v>
      </c>
      <c r="D222" s="212">
        <f t="shared" si="7"/>
        <v>18300810.075709503</v>
      </c>
      <c r="E222" s="65" t="s">
        <v>85</v>
      </c>
      <c r="F222" s="66" t="s">
        <v>87</v>
      </c>
    </row>
    <row r="223" spans="1:6" ht="15" x14ac:dyDescent="0.25">
      <c r="A223" s="213" t="s">
        <v>413</v>
      </c>
      <c r="B223" s="460">
        <v>27030350.420000002</v>
      </c>
      <c r="C223" s="511">
        <v>2023</v>
      </c>
      <c r="D223" s="460">
        <f t="shared" si="7"/>
        <v>24971865.599410869</v>
      </c>
      <c r="E223" s="65" t="s">
        <v>85</v>
      </c>
      <c r="F223" s="66" t="s">
        <v>87</v>
      </c>
    </row>
    <row r="224" spans="1:6" ht="15" x14ac:dyDescent="0.25">
      <c r="A224" s="461" t="s">
        <v>649</v>
      </c>
      <c r="B224" s="462">
        <v>13705948.711500051</v>
      </c>
      <c r="C224" s="512">
        <v>2023</v>
      </c>
      <c r="D224" s="462">
        <f t="shared" si="7"/>
        <v>12662178.026473317</v>
      </c>
      <c r="E224" s="537" t="s">
        <v>85</v>
      </c>
      <c r="F224" s="463" t="s">
        <v>87</v>
      </c>
    </row>
    <row r="225" spans="1:6" ht="15.75" thickBot="1" x14ac:dyDescent="0.3">
      <c r="A225" s="465" t="s">
        <v>652</v>
      </c>
      <c r="B225" s="466">
        <f>SUM(B6:B224)</f>
        <v>253769616</v>
      </c>
      <c r="C225" s="513"/>
      <c r="D225" s="466">
        <f>SUM(D6:D224)</f>
        <v>234443899.00610504</v>
      </c>
      <c r="E225" s="538"/>
      <c r="F225" s="468"/>
    </row>
    <row r="226" spans="1:6" ht="15" x14ac:dyDescent="0.25">
      <c r="A226" s="213"/>
      <c r="B226" s="460"/>
      <c r="C226" s="511"/>
      <c r="D226" s="460"/>
      <c r="F226" s="66"/>
    </row>
    <row r="227" spans="1:6" ht="15" x14ac:dyDescent="0.25">
      <c r="A227" s="213" t="s">
        <v>650</v>
      </c>
      <c r="B227" s="460">
        <v>3005320</v>
      </c>
      <c r="C227" s="511">
        <v>2019</v>
      </c>
      <c r="D227" s="212">
        <f>B227/(1+$G$3)^(C227-BaseYear)</f>
        <v>3005320</v>
      </c>
      <c r="E227" s="65" t="s">
        <v>85</v>
      </c>
      <c r="F227" s="66" t="s">
        <v>641</v>
      </c>
    </row>
    <row r="228" spans="1:6" ht="15" x14ac:dyDescent="0.25">
      <c r="A228" s="213" t="s">
        <v>651</v>
      </c>
      <c r="B228" s="460">
        <v>8479692</v>
      </c>
      <c r="C228" s="511">
        <v>2019</v>
      </c>
      <c r="D228" s="212">
        <f>B228/(1+$G$3)^(C228-BaseYear)</f>
        <v>8479692</v>
      </c>
      <c r="E228" s="65" t="s">
        <v>85</v>
      </c>
      <c r="F228" s="66" t="s">
        <v>641</v>
      </c>
    </row>
    <row r="229" spans="1:6" ht="15" x14ac:dyDescent="0.25">
      <c r="A229" s="213" t="s">
        <v>654</v>
      </c>
      <c r="B229" s="460">
        <v>35833930</v>
      </c>
      <c r="C229" s="511">
        <v>2023</v>
      </c>
      <c r="D229" s="212">
        <f>B229/(1+$G$3)^(C229-BaseYear)</f>
        <v>33105012.327054288</v>
      </c>
      <c r="E229" s="65" t="s">
        <v>85</v>
      </c>
      <c r="F229" s="66" t="s">
        <v>87</v>
      </c>
    </row>
    <row r="230" spans="1:6" ht="15" x14ac:dyDescent="0.25">
      <c r="A230" s="461" t="s">
        <v>655</v>
      </c>
      <c r="B230" s="462">
        <v>2067674</v>
      </c>
      <c r="C230" s="512">
        <v>2019</v>
      </c>
      <c r="D230" s="212">
        <f>B230/(1+$G$3)^(C230-BaseYear)</f>
        <v>2067674</v>
      </c>
      <c r="E230" s="537" t="s">
        <v>85</v>
      </c>
      <c r="F230" s="463" t="s">
        <v>641</v>
      </c>
    </row>
    <row r="231" spans="1:6" ht="15.75" thickBot="1" x14ac:dyDescent="0.3">
      <c r="A231" s="465" t="s">
        <v>663</v>
      </c>
      <c r="B231" s="466">
        <f>SUM(B227:B230)</f>
        <v>49386616</v>
      </c>
      <c r="C231" s="513"/>
      <c r="D231" s="466">
        <f>SUM(D227:D230)</f>
        <v>46657698.327054292</v>
      </c>
      <c r="E231" s="539"/>
      <c r="F231" s="469"/>
    </row>
    <row r="232" spans="1:6" ht="15" x14ac:dyDescent="0.25">
      <c r="A232" s="213"/>
      <c r="B232" s="460"/>
      <c r="C232" s="511"/>
      <c r="D232" s="460"/>
      <c r="F232" s="66"/>
    </row>
    <row r="233" spans="1:6" ht="15" x14ac:dyDescent="0.25">
      <c r="A233" s="461" t="s">
        <v>653</v>
      </c>
      <c r="B233" s="464">
        <v>64048966</v>
      </c>
      <c r="C233" s="514">
        <v>2019</v>
      </c>
      <c r="D233" s="462">
        <f>B233/(1+$G$3)^(C233-BaseYear)</f>
        <v>64048966</v>
      </c>
      <c r="E233" s="537" t="s">
        <v>98</v>
      </c>
      <c r="F233" s="463" t="s">
        <v>641</v>
      </c>
    </row>
    <row r="234" spans="1:6" ht="15.75" thickBot="1" x14ac:dyDescent="0.3">
      <c r="A234" s="467" t="s">
        <v>664</v>
      </c>
      <c r="B234" s="470">
        <f>SUM(B233)</f>
        <v>64048966</v>
      </c>
      <c r="C234" s="515"/>
      <c r="D234" s="470">
        <f>SUM(D233)</f>
        <v>64048966</v>
      </c>
      <c r="E234" s="539"/>
      <c r="F234" s="469"/>
    </row>
    <row r="235" spans="1:6" ht="15" x14ac:dyDescent="0.25">
      <c r="F235" s="66"/>
    </row>
    <row r="236" spans="1:6" ht="15.75" thickBot="1" x14ac:dyDescent="0.3">
      <c r="A236" s="467" t="s">
        <v>692</v>
      </c>
      <c r="B236" s="470">
        <f>B225+B231+B234</f>
        <v>367205198</v>
      </c>
      <c r="C236" s="515"/>
      <c r="D236" s="470">
        <f>D225+D231+D234</f>
        <v>345150563.33315933</v>
      </c>
      <c r="E236" s="539"/>
      <c r="F236" s="469"/>
    </row>
  </sheetData>
  <autoFilter ref="A5:F43" xr:uid="{35287DED-3E29-4973-A69F-B856725BC715}"/>
  <mergeCells count="1">
    <mergeCell ref="I22:L24"/>
  </mergeCells>
  <pageMargins left="0.7" right="0.7" top="0.75" bottom="0.75" header="0.3" footer="0.3"/>
  <pageSetup scale="46" fitToHeight="0" orientation="portrait" r:id="rId1"/>
  <headerFooter>
    <oddHeader>&amp;L&amp;"Arial,Bold"FDOT - INFRA Grant for I-95&amp;R&amp;"Arial,Bold"&amp;A</oddHeader>
    <oddFooter>&amp;CPage D-&amp;P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C5D9D-8D8A-4615-8F0C-A8E11F3B25B3}">
  <sheetPr codeName="Sheet5"/>
  <dimension ref="B1:O47"/>
  <sheetViews>
    <sheetView view="pageLayout" zoomScaleNormal="80" workbookViewId="0"/>
  </sheetViews>
  <sheetFormatPr defaultColWidth="8.7109375" defaultRowHeight="15" x14ac:dyDescent="0.25"/>
  <cols>
    <col min="1" max="1" width="2.42578125" style="31" customWidth="1"/>
    <col min="2" max="2" width="12.42578125" style="31" bestFit="1" customWidth="1"/>
    <col min="3" max="3" width="10.85546875" style="31" bestFit="1" customWidth="1"/>
    <col min="4" max="6" width="12.5703125" style="31" bestFit="1" customWidth="1"/>
    <col min="7" max="7" width="2.42578125" style="31" customWidth="1"/>
    <col min="8" max="8" width="12.42578125" style="31" bestFit="1" customWidth="1"/>
    <col min="9" max="9" width="10.85546875" style="31" bestFit="1" customWidth="1"/>
    <col min="10" max="10" width="10.85546875" style="31" customWidth="1"/>
    <col min="11" max="11" width="11.42578125" style="31" bestFit="1" customWidth="1"/>
    <col min="12" max="12" width="11.28515625" style="31" bestFit="1" customWidth="1"/>
    <col min="13" max="13" width="15.28515625" style="31" customWidth="1"/>
    <col min="14" max="14" width="11.42578125" style="31" bestFit="1" customWidth="1"/>
    <col min="15" max="15" width="12.42578125" style="31" customWidth="1"/>
    <col min="16" max="16384" width="8.7109375" style="31"/>
  </cols>
  <sheetData>
    <row r="1" spans="2:15" s="84" customFormat="1" ht="30" x14ac:dyDescent="0.25">
      <c r="I1" s="85" t="s">
        <v>95</v>
      </c>
      <c r="J1" s="86" t="s">
        <v>96</v>
      </c>
      <c r="K1" s="86" t="s">
        <v>97</v>
      </c>
      <c r="L1" s="86" t="s">
        <v>98</v>
      </c>
      <c r="N1" s="87"/>
    </row>
    <row r="2" spans="2:15" x14ac:dyDescent="0.25">
      <c r="I2" s="88" t="s">
        <v>99</v>
      </c>
      <c r="J2" s="89">
        <f>'D - Cost Estimate'!K6</f>
        <v>33368363.811922226</v>
      </c>
      <c r="K2" s="89">
        <f>'D - Cost Estimate'!K7</f>
        <v>85789205.030387342</v>
      </c>
      <c r="L2" s="89">
        <f>'D - Cost Estimate'!$K$8</f>
        <v>71887314.271277428</v>
      </c>
      <c r="N2" s="90"/>
    </row>
    <row r="3" spans="2:15" x14ac:dyDescent="0.25">
      <c r="I3" s="88" t="s">
        <v>100</v>
      </c>
      <c r="J3" s="91">
        <v>30</v>
      </c>
      <c r="K3" s="91">
        <v>75</v>
      </c>
      <c r="L3" s="91">
        <v>100</v>
      </c>
      <c r="N3" s="90"/>
    </row>
    <row r="4" spans="2:15" x14ac:dyDescent="0.25">
      <c r="I4" s="88" t="s">
        <v>101</v>
      </c>
      <c r="J4" s="92">
        <f>'A - Inputs'!C11</f>
        <v>25</v>
      </c>
      <c r="K4" s="92">
        <f>'A - Inputs'!C11</f>
        <v>25</v>
      </c>
      <c r="L4" s="471">
        <f>'A - Inputs'!C11</f>
        <v>25</v>
      </c>
      <c r="N4" s="90"/>
    </row>
    <row r="5" spans="2:15" x14ac:dyDescent="0.25">
      <c r="I5" s="93" t="s">
        <v>102</v>
      </c>
      <c r="J5" s="94">
        <f>1-J4/J3</f>
        <v>0.16666666666666663</v>
      </c>
      <c r="K5" s="94">
        <f>1-K4/K3</f>
        <v>0.66666666666666674</v>
      </c>
      <c r="L5" s="94">
        <f>1-L4/L3</f>
        <v>0.75</v>
      </c>
      <c r="N5" s="4"/>
    </row>
    <row r="6" spans="2:15" x14ac:dyDescent="0.25">
      <c r="I6" s="93" t="s">
        <v>103</v>
      </c>
      <c r="J6" s="95">
        <f>J2*J5</f>
        <v>5561393.9686537031</v>
      </c>
      <c r="K6" s="95">
        <f>K2*K5</f>
        <v>57192803.353591569</v>
      </c>
      <c r="L6" s="95">
        <f>L2*L5</f>
        <v>53915485.703458071</v>
      </c>
      <c r="N6" s="4"/>
    </row>
    <row r="8" spans="2:15" s="60" customFormat="1" x14ac:dyDescent="0.25">
      <c r="M8" s="31"/>
      <c r="N8" s="31"/>
      <c r="O8" s="31"/>
    </row>
    <row r="9" spans="2:15" s="60" customFormat="1" x14ac:dyDescent="0.25">
      <c r="B9" s="29" t="s">
        <v>104</v>
      </c>
      <c r="C9" s="29"/>
      <c r="D9" s="29"/>
      <c r="E9" s="29"/>
      <c r="F9" s="29"/>
      <c r="H9" s="29" t="s">
        <v>105</v>
      </c>
      <c r="I9" s="29"/>
      <c r="J9" s="29"/>
      <c r="K9" s="29"/>
      <c r="L9" s="29"/>
      <c r="M9" s="29"/>
      <c r="N9" s="29"/>
      <c r="O9" s="29"/>
    </row>
    <row r="10" spans="2:15" s="30" customFormat="1" ht="60" x14ac:dyDescent="0.25">
      <c r="B10" s="97" t="s">
        <v>45</v>
      </c>
      <c r="C10" s="97" t="s">
        <v>46</v>
      </c>
      <c r="D10" s="37" t="s">
        <v>106</v>
      </c>
      <c r="E10" s="37" t="s">
        <v>52</v>
      </c>
      <c r="F10" s="37" t="s">
        <v>53</v>
      </c>
      <c r="H10" s="97" t="s">
        <v>45</v>
      </c>
      <c r="I10" s="97" t="s">
        <v>46</v>
      </c>
      <c r="J10" s="37" t="s">
        <v>107</v>
      </c>
      <c r="K10" s="37" t="s">
        <v>108</v>
      </c>
      <c r="L10" s="489" t="s">
        <v>669</v>
      </c>
      <c r="M10" s="37" t="s">
        <v>109</v>
      </c>
      <c r="N10" s="37" t="s">
        <v>52</v>
      </c>
      <c r="O10" s="37" t="s">
        <v>53</v>
      </c>
    </row>
    <row r="11" spans="2:15" x14ac:dyDescent="0.25">
      <c r="B11" s="98">
        <f>'A - Inputs'!$C$7</f>
        <v>2022</v>
      </c>
      <c r="C11" s="435">
        <v>0</v>
      </c>
      <c r="D11" s="99">
        <f>IFERROR(VLOOKUP(B11,'D - Cost Estimate'!$H$14:$I$20,2,FALSE),0)</f>
        <v>38800826</v>
      </c>
      <c r="E11" s="33">
        <f>$D11/(1+0.03)^($B11-'A - Inputs'!$C$6)</f>
        <v>35508252.289913215</v>
      </c>
      <c r="F11" s="33">
        <f>$D11/(1+0.07)^($B11-'A - Inputs'!$C$6)</f>
        <v>31673031.885411367</v>
      </c>
      <c r="H11" s="98">
        <f>'A - Inputs'!$C$7</f>
        <v>2022</v>
      </c>
      <c r="I11" s="66">
        <v>0</v>
      </c>
      <c r="J11" s="33">
        <f>IF(H11=('A - Inputs'!$C$7+'A - Inputs'!$C$11),'E - Construction &amp; Residual'!J$6,0)</f>
        <v>0</v>
      </c>
      <c r="K11" s="33">
        <f>IF(H11=('A - Inputs'!$C$7+'A - Inputs'!$C$11),'E - Construction &amp; Residual'!K$6,0)</f>
        <v>0</v>
      </c>
      <c r="L11" s="472">
        <f>IF(I11=('A - Inputs'!$C$7+'A - Inputs'!$C$11),'E - Construction &amp; Residual'!L$6,0)</f>
        <v>0</v>
      </c>
      <c r="M11" s="33">
        <f t="shared" ref="M11:M39" si="0">SUM(J11:L11)</f>
        <v>0</v>
      </c>
      <c r="N11" s="33">
        <f>$M11/(1+0.03)^($B11-'A - Inputs'!$C$6)</f>
        <v>0</v>
      </c>
      <c r="O11" s="33">
        <f>$M11/(1+0.07)^($B11-'A - Inputs'!$C$6)</f>
        <v>0</v>
      </c>
    </row>
    <row r="12" spans="2:15" x14ac:dyDescent="0.25">
      <c r="B12" s="66">
        <f>B11+1</f>
        <v>2023</v>
      </c>
      <c r="C12" s="66">
        <f>C11+1</f>
        <v>1</v>
      </c>
      <c r="D12" s="99">
        <f>IFERROR(VLOOKUP(B12,'D - Cost Estimate'!$H$14:$I$20,2,FALSE),0)</f>
        <v>57795551.933315933</v>
      </c>
      <c r="E12" s="33">
        <f>$D12/(1+0.03)^($B12-'A - Inputs'!$C$6)</f>
        <v>51350599.319889762</v>
      </c>
      <c r="F12" s="33">
        <f>$D12/(1+0.07)^($B12-'A - Inputs'!$C$6)</f>
        <v>44091949.847570814</v>
      </c>
      <c r="H12" s="66">
        <f>H11+1</f>
        <v>2023</v>
      </c>
      <c r="I12" s="66">
        <f>I11+1</f>
        <v>1</v>
      </c>
      <c r="J12" s="33">
        <f>IF(H12=('A - Inputs'!$C$7+'A - Inputs'!$C$11),'E - Construction &amp; Residual'!J$6,0)</f>
        <v>0</v>
      </c>
      <c r="K12" s="33">
        <f>IF(H12=('A - Inputs'!$C$7+'A - Inputs'!$C$11),'E - Construction &amp; Residual'!K$6,0)</f>
        <v>0</v>
      </c>
      <c r="L12" s="39">
        <f>IF(I12=('A - Inputs'!$C$7+'A - Inputs'!$C$11),'E - Construction &amp; Residual'!L$6,0)</f>
        <v>0</v>
      </c>
      <c r="M12" s="33">
        <f t="shared" si="0"/>
        <v>0</v>
      </c>
      <c r="N12" s="33">
        <f>$M12/(1+0.03)^($B12-'A - Inputs'!$C$6)</f>
        <v>0</v>
      </c>
      <c r="O12" s="33">
        <f>$M12/(1+0.07)^($B12-'A - Inputs'!$C$6)</f>
        <v>0</v>
      </c>
    </row>
    <row r="13" spans="2:15" x14ac:dyDescent="0.25">
      <c r="B13" s="66">
        <f t="shared" ref="B13:B35" si="1">B12+1</f>
        <v>2024</v>
      </c>
      <c r="C13" s="66">
        <f t="shared" ref="C13:C35" si="2">C12+1</f>
        <v>2</v>
      </c>
      <c r="D13" s="99">
        <f>IFERROR(VLOOKUP(B13,'D - Cost Estimate'!$H$14:$I$20,2,FALSE),0)</f>
        <v>66620925.693295054</v>
      </c>
      <c r="E13" s="33">
        <f>$D13/(1+0.03)^($B13-'A - Inputs'!$C$6)</f>
        <v>57467795.726840973</v>
      </c>
      <c r="F13" s="33">
        <f>$D13/(1+0.07)^($B13-'A - Inputs'!$C$6)</f>
        <v>47499799.283727802</v>
      </c>
      <c r="H13" s="66">
        <f t="shared" ref="H13:H46" si="3">H12+1</f>
        <v>2024</v>
      </c>
      <c r="I13" s="66">
        <f t="shared" ref="I13:I46" si="4">I12+1</f>
        <v>2</v>
      </c>
      <c r="J13" s="33">
        <f>IF(H13=('A - Inputs'!$C$7+'A - Inputs'!$C$11),'E - Construction &amp; Residual'!J$6,0)</f>
        <v>0</v>
      </c>
      <c r="K13" s="33">
        <f>IF(H13=('A - Inputs'!$C$7+'A - Inputs'!$C$11),'E - Construction &amp; Residual'!K$6,0)</f>
        <v>0</v>
      </c>
      <c r="L13" s="39">
        <f>IF(I13=('A - Inputs'!$C$7+'A - Inputs'!$C$11),'E - Construction &amp; Residual'!L$6,0)</f>
        <v>0</v>
      </c>
      <c r="M13" s="33">
        <f t="shared" si="0"/>
        <v>0</v>
      </c>
      <c r="N13" s="33">
        <f>$M13/(1+0.03)^($B13-'A - Inputs'!$C$6)</f>
        <v>0</v>
      </c>
      <c r="O13" s="33">
        <f>$M13/(1+0.07)^($B13-'A - Inputs'!$C$6)</f>
        <v>0</v>
      </c>
    </row>
    <row r="14" spans="2:15" x14ac:dyDescent="0.25">
      <c r="B14" s="66">
        <f t="shared" si="1"/>
        <v>2025</v>
      </c>
      <c r="C14" s="66">
        <f t="shared" si="2"/>
        <v>3</v>
      </c>
      <c r="D14" s="99">
        <f>IFERROR(VLOOKUP(B14,'D - Cost Estimate'!$H$14:$I$20,2,FALSE),0)</f>
        <v>69562716.946621433</v>
      </c>
      <c r="E14" s="33">
        <f>$D14/(1+0.03)^($B14-'A - Inputs'!$C$6)</f>
        <v>58257680.294936702</v>
      </c>
      <c r="F14" s="33">
        <f>$D14/(1+0.07)^($B14-'A - Inputs'!$C$6)</f>
        <v>46352575.504930325</v>
      </c>
      <c r="H14" s="66">
        <f t="shared" si="3"/>
        <v>2025</v>
      </c>
      <c r="I14" s="66">
        <f t="shared" si="4"/>
        <v>3</v>
      </c>
      <c r="J14" s="33">
        <f>IF(H14=('A - Inputs'!$C$7+'A - Inputs'!$C$11),'E - Construction &amp; Residual'!J$6,0)</f>
        <v>0</v>
      </c>
      <c r="K14" s="33">
        <f>IF(H14=('A - Inputs'!$C$7+'A - Inputs'!$C$11),'E - Construction &amp; Residual'!K$6,0)</f>
        <v>0</v>
      </c>
      <c r="L14" s="39">
        <f>IF(I14=('A - Inputs'!$C$7+'A - Inputs'!$C$11),'E - Construction &amp; Residual'!L$6,0)</f>
        <v>0</v>
      </c>
      <c r="M14" s="33">
        <f t="shared" si="0"/>
        <v>0</v>
      </c>
      <c r="N14" s="33">
        <f>$M14/(1+0.03)^($B14-'A - Inputs'!$C$6)</f>
        <v>0</v>
      </c>
      <c r="O14" s="33">
        <f>$M14/(1+0.07)^($B14-'A - Inputs'!$C$6)</f>
        <v>0</v>
      </c>
    </row>
    <row r="15" spans="2:15" x14ac:dyDescent="0.25">
      <c r="B15" s="66">
        <f t="shared" si="1"/>
        <v>2026</v>
      </c>
      <c r="C15" s="66">
        <f t="shared" si="2"/>
        <v>4</v>
      </c>
      <c r="D15" s="99">
        <f>IFERROR(VLOOKUP(B15,'D - Cost Estimate'!$H$14:$I$20,2,FALSE),0)</f>
        <v>64211738.719958238</v>
      </c>
      <c r="E15" s="33">
        <f>$D15/(1+0.03)^($B15-'A - Inputs'!$C$6)</f>
        <v>52210019.681795388</v>
      </c>
      <c r="F15" s="33">
        <f>$D15/(1+0.07)^($B15-'A - Inputs'!$C$6)</f>
        <v>39987843.713814795</v>
      </c>
      <c r="H15" s="66">
        <f t="shared" si="3"/>
        <v>2026</v>
      </c>
      <c r="I15" s="66">
        <f t="shared" si="4"/>
        <v>4</v>
      </c>
      <c r="J15" s="33">
        <f>IF(H15=('A - Inputs'!$C$7+'A - Inputs'!$C$11),'E - Construction &amp; Residual'!J$6,0)</f>
        <v>0</v>
      </c>
      <c r="K15" s="33">
        <f>IF(H15=('A - Inputs'!$C$7+'A - Inputs'!$C$11),'E - Construction &amp; Residual'!K$6,0)</f>
        <v>0</v>
      </c>
      <c r="L15" s="39">
        <f>IF(I15=('A - Inputs'!$C$7+'A - Inputs'!$C$11),'E - Construction &amp; Residual'!L$6,0)</f>
        <v>0</v>
      </c>
      <c r="M15" s="33">
        <f t="shared" si="0"/>
        <v>0</v>
      </c>
      <c r="N15" s="33">
        <f>$M15/(1+0.03)^($B15-'A - Inputs'!$C$6)</f>
        <v>0</v>
      </c>
      <c r="O15" s="33">
        <f>$M15/(1+0.07)^($B15-'A - Inputs'!$C$6)</f>
        <v>0</v>
      </c>
    </row>
    <row r="16" spans="2:15" x14ac:dyDescent="0.25">
      <c r="B16" s="66">
        <f t="shared" si="1"/>
        <v>2027</v>
      </c>
      <c r="C16" s="66">
        <f t="shared" si="2"/>
        <v>5</v>
      </c>
      <c r="D16" s="99">
        <f>IFERROR(VLOOKUP(B16,'D - Cost Estimate'!$H$14:$I$20,2,FALSE),0)</f>
        <v>48158804.039968677</v>
      </c>
      <c r="E16" s="33">
        <f>$D16/(1+0.03)^($B16-'A - Inputs'!$C$6)</f>
        <v>38017004.622666553</v>
      </c>
      <c r="F16" s="33">
        <f>$D16/(1+0.07)^($B16-'A - Inputs'!$C$6)</f>
        <v>28028862.416225325</v>
      </c>
      <c r="H16" s="66">
        <f t="shared" si="3"/>
        <v>2027</v>
      </c>
      <c r="I16" s="66">
        <f t="shared" si="4"/>
        <v>5</v>
      </c>
      <c r="J16" s="33">
        <f>IF(H16=('A - Inputs'!$C$7+'A - Inputs'!$C$11),'E - Construction &amp; Residual'!J$6,0)</f>
        <v>0</v>
      </c>
      <c r="K16" s="33">
        <f>IF(H16=('A - Inputs'!$C$7+'A - Inputs'!$C$11),'E - Construction &amp; Residual'!K$6,0)</f>
        <v>0</v>
      </c>
      <c r="L16" s="39">
        <f>IF(I16=('A - Inputs'!$C$7+'A - Inputs'!$C$11),'E - Construction &amp; Residual'!L$6,0)</f>
        <v>0</v>
      </c>
      <c r="M16" s="33">
        <f t="shared" si="0"/>
        <v>0</v>
      </c>
      <c r="N16" s="33">
        <f>$M16/(1+0.03)^($B16-'A - Inputs'!$C$6)</f>
        <v>0</v>
      </c>
      <c r="O16" s="33">
        <f>$M16/(1+0.07)^($B16-'A - Inputs'!$C$6)</f>
        <v>0</v>
      </c>
    </row>
    <row r="17" spans="2:15" x14ac:dyDescent="0.25">
      <c r="B17" s="66">
        <f t="shared" si="1"/>
        <v>2028</v>
      </c>
      <c r="C17" s="66">
        <f t="shared" si="2"/>
        <v>6</v>
      </c>
      <c r="D17" s="99">
        <f>IFERROR(VLOOKUP(B17,'D - Cost Estimate'!$H$14:$I$20,2,FALSE),0)</f>
        <v>0</v>
      </c>
      <c r="E17" s="33">
        <f>$D17/(1+0.03)^($B17-'A - Inputs'!$C$6)</f>
        <v>0</v>
      </c>
      <c r="F17" s="33">
        <f>$D17/(1+0.07)^($B17-'A - Inputs'!$C$6)</f>
        <v>0</v>
      </c>
      <c r="H17" s="66">
        <f t="shared" si="3"/>
        <v>2028</v>
      </c>
      <c r="I17" s="66">
        <f t="shared" si="4"/>
        <v>6</v>
      </c>
      <c r="J17" s="33">
        <f>IF(H17=('A - Inputs'!$C$7+'A - Inputs'!$C$11),'E - Construction &amp; Residual'!J$6,0)</f>
        <v>0</v>
      </c>
      <c r="K17" s="33">
        <f>IF(H17=('A - Inputs'!$C$7+'A - Inputs'!$C$11),'E - Construction &amp; Residual'!K$6,0)</f>
        <v>0</v>
      </c>
      <c r="L17" s="39">
        <f>IF(I17=('A - Inputs'!$C$7+'A - Inputs'!$C$11),'E - Construction &amp; Residual'!L$6,0)</f>
        <v>0</v>
      </c>
      <c r="M17" s="33">
        <f t="shared" si="0"/>
        <v>0</v>
      </c>
      <c r="N17" s="33">
        <f>$M17/(1+0.03)^($B17-'A - Inputs'!$C$6)</f>
        <v>0</v>
      </c>
      <c r="O17" s="33">
        <f>$M17/(1+0.07)^($B17-'A - Inputs'!$C$6)</f>
        <v>0</v>
      </c>
    </row>
    <row r="18" spans="2:15" x14ac:dyDescent="0.25">
      <c r="B18" s="66">
        <f t="shared" si="1"/>
        <v>2029</v>
      </c>
      <c r="C18" s="66">
        <f t="shared" si="2"/>
        <v>7</v>
      </c>
      <c r="D18" s="99">
        <f>IFERROR(VLOOKUP(B18,'D - Cost Estimate'!$H$14:$I$20,2,FALSE),0)</f>
        <v>0</v>
      </c>
      <c r="E18" s="33">
        <f>$D18/(1+0.03)^($B18-'A - Inputs'!$C$6)</f>
        <v>0</v>
      </c>
      <c r="F18" s="33">
        <f>$D18/(1+0.07)^($B18-'A - Inputs'!$C$6)</f>
        <v>0</v>
      </c>
      <c r="H18" s="66">
        <f t="shared" si="3"/>
        <v>2029</v>
      </c>
      <c r="I18" s="66">
        <f t="shared" si="4"/>
        <v>7</v>
      </c>
      <c r="J18" s="33">
        <f>IF(H18=('A - Inputs'!$C$7+'A - Inputs'!$C$11),'E - Construction &amp; Residual'!J$6,0)</f>
        <v>0</v>
      </c>
      <c r="K18" s="33">
        <f>IF(H18=('A - Inputs'!$C$7+'A - Inputs'!$C$11),'E - Construction &amp; Residual'!K$6,0)</f>
        <v>0</v>
      </c>
      <c r="L18" s="39">
        <f>IF(I18=('A - Inputs'!$C$7+'A - Inputs'!$C$11),'E - Construction &amp; Residual'!L$6,0)</f>
        <v>0</v>
      </c>
      <c r="M18" s="33">
        <f t="shared" si="0"/>
        <v>0</v>
      </c>
      <c r="N18" s="33">
        <f>$M18/(1+0.03)^($B18-'A - Inputs'!$C$6)</f>
        <v>0</v>
      </c>
      <c r="O18" s="33">
        <f>$M18/(1+0.07)^($B18-'A - Inputs'!$C$6)</f>
        <v>0</v>
      </c>
    </row>
    <row r="19" spans="2:15" x14ac:dyDescent="0.25">
      <c r="B19" s="66">
        <f t="shared" si="1"/>
        <v>2030</v>
      </c>
      <c r="C19" s="66">
        <f t="shared" si="2"/>
        <v>8</v>
      </c>
      <c r="D19" s="99">
        <f>IFERROR(VLOOKUP(B19,'D - Cost Estimate'!$H$14:$I$20,2,FALSE),0)</f>
        <v>0</v>
      </c>
      <c r="E19" s="33">
        <f>$D19/(1+0.03)^($B19-'A - Inputs'!$C$6)</f>
        <v>0</v>
      </c>
      <c r="F19" s="33">
        <f>$D19/(1+0.07)^($B19-'A - Inputs'!$C$6)</f>
        <v>0</v>
      </c>
      <c r="H19" s="66">
        <f t="shared" si="3"/>
        <v>2030</v>
      </c>
      <c r="I19" s="66">
        <f t="shared" si="4"/>
        <v>8</v>
      </c>
      <c r="J19" s="33">
        <f>IF(H19=('A - Inputs'!$C$7+'A - Inputs'!$C$11),'E - Construction &amp; Residual'!J$6,0)</f>
        <v>0</v>
      </c>
      <c r="K19" s="33">
        <f>IF(H19=('A - Inputs'!$C$7+'A - Inputs'!$C$11),'E - Construction &amp; Residual'!K$6,0)</f>
        <v>0</v>
      </c>
      <c r="L19" s="39">
        <f>IF(I19=('A - Inputs'!$C$7+'A - Inputs'!$C$11),'E - Construction &amp; Residual'!L$6,0)</f>
        <v>0</v>
      </c>
      <c r="M19" s="33">
        <f t="shared" si="0"/>
        <v>0</v>
      </c>
      <c r="N19" s="33">
        <f>$M19/(1+0.03)^($B19-'A - Inputs'!$C$6)</f>
        <v>0</v>
      </c>
      <c r="O19" s="33">
        <f>$M19/(1+0.07)^($B19-'A - Inputs'!$C$6)</f>
        <v>0</v>
      </c>
    </row>
    <row r="20" spans="2:15" x14ac:dyDescent="0.25">
      <c r="B20" s="66">
        <f t="shared" si="1"/>
        <v>2031</v>
      </c>
      <c r="C20" s="66">
        <f t="shared" si="2"/>
        <v>9</v>
      </c>
      <c r="D20" s="99">
        <f>IFERROR(VLOOKUP(B20,'D - Cost Estimate'!$H$14:$I$20,2,FALSE),0)</f>
        <v>0</v>
      </c>
      <c r="E20" s="33">
        <f>$D20/(1+0.03)^($B20-'A - Inputs'!$C$6)</f>
        <v>0</v>
      </c>
      <c r="F20" s="33">
        <f>$D20/(1+0.07)^($B20-'A - Inputs'!$C$6)</f>
        <v>0</v>
      </c>
      <c r="H20" s="66">
        <f t="shared" si="3"/>
        <v>2031</v>
      </c>
      <c r="I20" s="66">
        <f t="shared" si="4"/>
        <v>9</v>
      </c>
      <c r="J20" s="33">
        <f>IF(H20=('A - Inputs'!$C$7+'A - Inputs'!$C$11),'E - Construction &amp; Residual'!J$6,0)</f>
        <v>0</v>
      </c>
      <c r="K20" s="33">
        <f>IF(H20=('A - Inputs'!$C$7+'A - Inputs'!$C$11),'E - Construction &amp; Residual'!K$6,0)</f>
        <v>0</v>
      </c>
      <c r="L20" s="39">
        <f>IF(I20=('A - Inputs'!$C$7+'A - Inputs'!$C$11),'E - Construction &amp; Residual'!L$6,0)</f>
        <v>0</v>
      </c>
      <c r="M20" s="33">
        <f t="shared" si="0"/>
        <v>0</v>
      </c>
      <c r="N20" s="33">
        <f>$M20/(1+0.03)^($B20-'A - Inputs'!$C$6)</f>
        <v>0</v>
      </c>
      <c r="O20" s="33">
        <f>$M20/(1+0.07)^($B20-'A - Inputs'!$C$6)</f>
        <v>0</v>
      </c>
    </row>
    <row r="21" spans="2:15" x14ac:dyDescent="0.25">
      <c r="B21" s="66">
        <f t="shared" si="1"/>
        <v>2032</v>
      </c>
      <c r="C21" s="66">
        <f t="shared" si="2"/>
        <v>10</v>
      </c>
      <c r="D21" s="99">
        <f>IFERROR(VLOOKUP(B21,'D - Cost Estimate'!$H$14:$I$20,2,FALSE),0)</f>
        <v>0</v>
      </c>
      <c r="E21" s="33">
        <f>$D21/(1+0.03)^($B21-'A - Inputs'!$C$6)</f>
        <v>0</v>
      </c>
      <c r="F21" s="33">
        <f>$D21/(1+0.07)^($B21-'A - Inputs'!$C$6)</f>
        <v>0</v>
      </c>
      <c r="H21" s="66">
        <f t="shared" si="3"/>
        <v>2032</v>
      </c>
      <c r="I21" s="66">
        <f t="shared" si="4"/>
        <v>10</v>
      </c>
      <c r="J21" s="33">
        <f>IF(H21=('A - Inputs'!$C$7+'A - Inputs'!$C$11),'E - Construction &amp; Residual'!J$6,0)</f>
        <v>0</v>
      </c>
      <c r="K21" s="33">
        <f>IF(H21=('A - Inputs'!$C$7+'A - Inputs'!$C$11),'E - Construction &amp; Residual'!K$6,0)</f>
        <v>0</v>
      </c>
      <c r="L21" s="39">
        <f>IF(I21=('A - Inputs'!$C$7+'A - Inputs'!$C$11),'E - Construction &amp; Residual'!L$6,0)</f>
        <v>0</v>
      </c>
      <c r="M21" s="33">
        <f t="shared" si="0"/>
        <v>0</v>
      </c>
      <c r="N21" s="33">
        <f>$M21/(1+0.03)^($B21-'A - Inputs'!$C$6)</f>
        <v>0</v>
      </c>
      <c r="O21" s="33">
        <f>$M21/(1+0.07)^($B21-'A - Inputs'!$C$6)</f>
        <v>0</v>
      </c>
    </row>
    <row r="22" spans="2:15" x14ac:dyDescent="0.25">
      <c r="B22" s="66">
        <f t="shared" si="1"/>
        <v>2033</v>
      </c>
      <c r="C22" s="66">
        <f t="shared" si="2"/>
        <v>11</v>
      </c>
      <c r="D22" s="99">
        <f>IFERROR(VLOOKUP(B22,'D - Cost Estimate'!$H$14:$I$20,2,FALSE),0)</f>
        <v>0</v>
      </c>
      <c r="E22" s="33">
        <f>$D22/(1+0.03)^($B22-'A - Inputs'!$C$6)</f>
        <v>0</v>
      </c>
      <c r="F22" s="33">
        <f>$D22/(1+0.07)^($B22-'A - Inputs'!$C$6)</f>
        <v>0</v>
      </c>
      <c r="H22" s="66">
        <f t="shared" si="3"/>
        <v>2033</v>
      </c>
      <c r="I22" s="66">
        <f t="shared" si="4"/>
        <v>11</v>
      </c>
      <c r="J22" s="33">
        <f>IF(H22=('A - Inputs'!$C$7+'A - Inputs'!$C$11),'E - Construction &amp; Residual'!J$6,0)</f>
        <v>0</v>
      </c>
      <c r="K22" s="33">
        <f>IF(H22=('A - Inputs'!$C$7+'A - Inputs'!$C$11),'E - Construction &amp; Residual'!K$6,0)</f>
        <v>0</v>
      </c>
      <c r="L22" s="39">
        <f>IF(I22=('A - Inputs'!$C$7+'A - Inputs'!$C$11),'E - Construction &amp; Residual'!L$6,0)</f>
        <v>0</v>
      </c>
      <c r="M22" s="33">
        <f t="shared" si="0"/>
        <v>0</v>
      </c>
      <c r="N22" s="33">
        <f>$M22/(1+0.03)^($B22-'A - Inputs'!$C$6)</f>
        <v>0</v>
      </c>
      <c r="O22" s="33">
        <f>$M22/(1+0.07)^($B22-'A - Inputs'!$C$6)</f>
        <v>0</v>
      </c>
    </row>
    <row r="23" spans="2:15" x14ac:dyDescent="0.25">
      <c r="B23" s="66">
        <f t="shared" si="1"/>
        <v>2034</v>
      </c>
      <c r="C23" s="66">
        <f t="shared" si="2"/>
        <v>12</v>
      </c>
      <c r="D23" s="99">
        <f>IFERROR(VLOOKUP(B23,'D - Cost Estimate'!$H$14:$I$20,2,FALSE),0)</f>
        <v>0</v>
      </c>
      <c r="E23" s="33">
        <f>$D23/(1+0.03)^($B23-'A - Inputs'!$C$6)</f>
        <v>0</v>
      </c>
      <c r="F23" s="33">
        <f>$D23/(1+0.07)^($B23-'A - Inputs'!$C$6)</f>
        <v>0</v>
      </c>
      <c r="H23" s="66">
        <f t="shared" si="3"/>
        <v>2034</v>
      </c>
      <c r="I23" s="66">
        <f t="shared" si="4"/>
        <v>12</v>
      </c>
      <c r="J23" s="33">
        <f>IF(H23=('A - Inputs'!$C$7+'A - Inputs'!$C$11),'E - Construction &amp; Residual'!J$6,0)</f>
        <v>0</v>
      </c>
      <c r="K23" s="33">
        <f>IF(H23=('A - Inputs'!$C$7+'A - Inputs'!$C$11),'E - Construction &amp; Residual'!K$6,0)</f>
        <v>0</v>
      </c>
      <c r="L23" s="39">
        <f>IF(I23=('A - Inputs'!$C$7+'A - Inputs'!$C$11),'E - Construction &amp; Residual'!L$6,0)</f>
        <v>0</v>
      </c>
      <c r="M23" s="33">
        <f t="shared" si="0"/>
        <v>0</v>
      </c>
      <c r="N23" s="33">
        <f>$M23/(1+0.03)^($B23-'A - Inputs'!$C$6)</f>
        <v>0</v>
      </c>
      <c r="O23" s="33">
        <f>$M23/(1+0.07)^($B23-'A - Inputs'!$C$6)</f>
        <v>0</v>
      </c>
    </row>
    <row r="24" spans="2:15" x14ac:dyDescent="0.25">
      <c r="B24" s="66">
        <f t="shared" si="1"/>
        <v>2035</v>
      </c>
      <c r="C24" s="66">
        <f t="shared" si="2"/>
        <v>13</v>
      </c>
      <c r="D24" s="99">
        <f>IFERROR(VLOOKUP(B24,'D - Cost Estimate'!$H$14:$I$20,2,FALSE),0)</f>
        <v>0</v>
      </c>
      <c r="E24" s="33">
        <f>$D24/(1+0.03)^($B24-'A - Inputs'!$C$6)</f>
        <v>0</v>
      </c>
      <c r="F24" s="33">
        <f>$D24/(1+0.07)^($B24-'A - Inputs'!$C$6)</f>
        <v>0</v>
      </c>
      <c r="H24" s="66">
        <f t="shared" si="3"/>
        <v>2035</v>
      </c>
      <c r="I24" s="66">
        <f t="shared" si="4"/>
        <v>13</v>
      </c>
      <c r="J24" s="33">
        <f>IF(H24=('A - Inputs'!$C$7+'A - Inputs'!$C$11),'E - Construction &amp; Residual'!J$6,0)</f>
        <v>0</v>
      </c>
      <c r="K24" s="33">
        <f>IF(H24=('A - Inputs'!$C$7+'A - Inputs'!$C$11),'E - Construction &amp; Residual'!K$6,0)</f>
        <v>0</v>
      </c>
      <c r="L24" s="39">
        <f>IF(I24=('A - Inputs'!$C$7+'A - Inputs'!$C$11),'E - Construction &amp; Residual'!L$6,0)</f>
        <v>0</v>
      </c>
      <c r="M24" s="33">
        <f t="shared" si="0"/>
        <v>0</v>
      </c>
      <c r="N24" s="33">
        <f>$M24/(1+0.03)^($B24-'A - Inputs'!$C$6)</f>
        <v>0</v>
      </c>
      <c r="O24" s="33">
        <f>$M24/(1+0.07)^($B24-'A - Inputs'!$C$6)</f>
        <v>0</v>
      </c>
    </row>
    <row r="25" spans="2:15" x14ac:dyDescent="0.25">
      <c r="B25" s="66">
        <f t="shared" si="1"/>
        <v>2036</v>
      </c>
      <c r="C25" s="66">
        <f t="shared" si="2"/>
        <v>14</v>
      </c>
      <c r="D25" s="99">
        <f>IFERROR(VLOOKUP(B25,'D - Cost Estimate'!$H$14:$I$20,2,FALSE),0)</f>
        <v>0</v>
      </c>
      <c r="E25" s="33">
        <f>$D25/(1+0.03)^($B25-'A - Inputs'!$C$6)</f>
        <v>0</v>
      </c>
      <c r="F25" s="33">
        <f>$D25/(1+0.07)^($B25-'A - Inputs'!$C$6)</f>
        <v>0</v>
      </c>
      <c r="H25" s="66">
        <f t="shared" si="3"/>
        <v>2036</v>
      </c>
      <c r="I25" s="66">
        <f t="shared" si="4"/>
        <v>14</v>
      </c>
      <c r="J25" s="33">
        <f>IF(H25=('A - Inputs'!$C$7+'A - Inputs'!$C$11),'E - Construction &amp; Residual'!J$6,0)</f>
        <v>0</v>
      </c>
      <c r="K25" s="33">
        <f>IF(H25=('A - Inputs'!$C$7+'A - Inputs'!$C$11),'E - Construction &amp; Residual'!K$6,0)</f>
        <v>0</v>
      </c>
      <c r="L25" s="39">
        <f>IF(I25=('A - Inputs'!$C$7+'A - Inputs'!$C$11),'E - Construction &amp; Residual'!L$6,0)</f>
        <v>0</v>
      </c>
      <c r="M25" s="33">
        <f t="shared" si="0"/>
        <v>0</v>
      </c>
      <c r="N25" s="33">
        <f>$M25/(1+0.03)^($B25-'A - Inputs'!$C$6)</f>
        <v>0</v>
      </c>
      <c r="O25" s="33">
        <f>$M25/(1+0.07)^($B25-'A - Inputs'!$C$6)</f>
        <v>0</v>
      </c>
    </row>
    <row r="26" spans="2:15" x14ac:dyDescent="0.25">
      <c r="B26" s="66">
        <f t="shared" si="1"/>
        <v>2037</v>
      </c>
      <c r="C26" s="66">
        <f t="shared" si="2"/>
        <v>15</v>
      </c>
      <c r="D26" s="99">
        <f>IFERROR(VLOOKUP(B26,'D - Cost Estimate'!$H$14:$I$20,2,FALSE),0)</f>
        <v>0</v>
      </c>
      <c r="E26" s="33">
        <f>$D26/(1+0.03)^($B26-'A - Inputs'!$C$6)</f>
        <v>0</v>
      </c>
      <c r="F26" s="33">
        <f>$D26/(1+0.07)^($B26-'A - Inputs'!$C$6)</f>
        <v>0</v>
      </c>
      <c r="H26" s="66">
        <f t="shared" si="3"/>
        <v>2037</v>
      </c>
      <c r="I26" s="66">
        <f t="shared" si="4"/>
        <v>15</v>
      </c>
      <c r="J26" s="33">
        <f>IF(H26=('A - Inputs'!$C$7+'A - Inputs'!$C$11),'E - Construction &amp; Residual'!J$6,0)</f>
        <v>0</v>
      </c>
      <c r="K26" s="33">
        <f>IF(H26=('A - Inputs'!$C$7+'A - Inputs'!$C$11),'E - Construction &amp; Residual'!K$6,0)</f>
        <v>0</v>
      </c>
      <c r="L26" s="39">
        <f>IF(I26=('A - Inputs'!$C$7+'A - Inputs'!$C$11),'E - Construction &amp; Residual'!L$6,0)</f>
        <v>0</v>
      </c>
      <c r="M26" s="33">
        <f t="shared" si="0"/>
        <v>0</v>
      </c>
      <c r="N26" s="33">
        <f>$M26/(1+0.03)^($B26-'A - Inputs'!$C$6)</f>
        <v>0</v>
      </c>
      <c r="O26" s="33">
        <f>$M26/(1+0.07)^($B26-'A - Inputs'!$C$6)</f>
        <v>0</v>
      </c>
    </row>
    <row r="27" spans="2:15" x14ac:dyDescent="0.25">
      <c r="B27" s="66">
        <f t="shared" si="1"/>
        <v>2038</v>
      </c>
      <c r="C27" s="66">
        <f t="shared" si="2"/>
        <v>16</v>
      </c>
      <c r="D27" s="99">
        <f>IFERROR(VLOOKUP(B27,'D - Cost Estimate'!$H$14:$I$20,2,FALSE),0)</f>
        <v>0</v>
      </c>
      <c r="E27" s="33">
        <f>$D27/(1+0.03)^($B27-'A - Inputs'!$C$6)</f>
        <v>0</v>
      </c>
      <c r="F27" s="33">
        <f>$D27/(1+0.07)^($B27-'A - Inputs'!$C$6)</f>
        <v>0</v>
      </c>
      <c r="H27" s="66">
        <f t="shared" si="3"/>
        <v>2038</v>
      </c>
      <c r="I27" s="66">
        <f t="shared" si="4"/>
        <v>16</v>
      </c>
      <c r="J27" s="33">
        <f>IF(H27=('A - Inputs'!$C$7+'A - Inputs'!$C$11),'E - Construction &amp; Residual'!J$6,0)</f>
        <v>0</v>
      </c>
      <c r="K27" s="33">
        <f>IF(H27=('A - Inputs'!$C$7+'A - Inputs'!$C$11),'E - Construction &amp; Residual'!K$6,0)</f>
        <v>0</v>
      </c>
      <c r="L27" s="39">
        <f>IF(I27=('A - Inputs'!$C$7+'A - Inputs'!$C$11),'E - Construction &amp; Residual'!L$6,0)</f>
        <v>0</v>
      </c>
      <c r="M27" s="33">
        <f t="shared" si="0"/>
        <v>0</v>
      </c>
      <c r="N27" s="33">
        <f>$M27/(1+0.03)^($B27-'A - Inputs'!$C$6)</f>
        <v>0</v>
      </c>
      <c r="O27" s="33">
        <f>$M27/(1+0.07)^($B27-'A - Inputs'!$C$6)</f>
        <v>0</v>
      </c>
    </row>
    <row r="28" spans="2:15" x14ac:dyDescent="0.25">
      <c r="B28" s="66">
        <f t="shared" si="1"/>
        <v>2039</v>
      </c>
      <c r="C28" s="66">
        <f t="shared" si="2"/>
        <v>17</v>
      </c>
      <c r="D28" s="99">
        <f>IFERROR(VLOOKUP(B28,'D - Cost Estimate'!$H$14:$I$20,2,FALSE),0)</f>
        <v>0</v>
      </c>
      <c r="E28" s="33">
        <f>$D28/(1+0.03)^($B28-'A - Inputs'!$C$6)</f>
        <v>0</v>
      </c>
      <c r="F28" s="33">
        <f>$D28/(1+0.07)^($B28-'A - Inputs'!$C$6)</f>
        <v>0</v>
      </c>
      <c r="H28" s="66">
        <f t="shared" si="3"/>
        <v>2039</v>
      </c>
      <c r="I28" s="66">
        <f t="shared" si="4"/>
        <v>17</v>
      </c>
      <c r="J28" s="33">
        <f>IF(H28=('A - Inputs'!$C$7+'A - Inputs'!$C$11),'E - Construction &amp; Residual'!J$6,0)</f>
        <v>0</v>
      </c>
      <c r="K28" s="33">
        <f>IF(H28=('A - Inputs'!$C$7+'A - Inputs'!$C$11),'E - Construction &amp; Residual'!K$6,0)</f>
        <v>0</v>
      </c>
      <c r="L28" s="39">
        <f>IF(I28=('A - Inputs'!$C$7+'A - Inputs'!$C$11),'E - Construction &amp; Residual'!L$6,0)</f>
        <v>0</v>
      </c>
      <c r="M28" s="33">
        <f t="shared" si="0"/>
        <v>0</v>
      </c>
      <c r="N28" s="33">
        <f>$M28/(1+0.03)^($B28-'A - Inputs'!$C$6)</f>
        <v>0</v>
      </c>
      <c r="O28" s="33">
        <f>$M28/(1+0.07)^($B28-'A - Inputs'!$C$6)</f>
        <v>0</v>
      </c>
    </row>
    <row r="29" spans="2:15" x14ac:dyDescent="0.25">
      <c r="B29" s="66">
        <f t="shared" si="1"/>
        <v>2040</v>
      </c>
      <c r="C29" s="66">
        <f t="shared" si="2"/>
        <v>18</v>
      </c>
      <c r="D29" s="99">
        <f>IFERROR(VLOOKUP(B29,'D - Cost Estimate'!$H$14:$I$20,2,FALSE),0)</f>
        <v>0</v>
      </c>
      <c r="E29" s="33">
        <f>$D29/(1+0.03)^($B29-'A - Inputs'!$C$6)</f>
        <v>0</v>
      </c>
      <c r="F29" s="33">
        <f>$D29/(1+0.07)^($B29-'A - Inputs'!$C$6)</f>
        <v>0</v>
      </c>
      <c r="H29" s="66">
        <f t="shared" si="3"/>
        <v>2040</v>
      </c>
      <c r="I29" s="66">
        <f t="shared" si="4"/>
        <v>18</v>
      </c>
      <c r="J29" s="33">
        <f>IF(H29=('A - Inputs'!$C$7+'A - Inputs'!$C$11),'E - Construction &amp; Residual'!J$6,0)</f>
        <v>0</v>
      </c>
      <c r="K29" s="33">
        <f>IF(H29=('A - Inputs'!$C$7+'A - Inputs'!$C$11),'E - Construction &amp; Residual'!K$6,0)</f>
        <v>0</v>
      </c>
      <c r="L29" s="39">
        <f>IF(I29=('A - Inputs'!$C$7+'A - Inputs'!$C$11),'E - Construction &amp; Residual'!L$6,0)</f>
        <v>0</v>
      </c>
      <c r="M29" s="33">
        <f t="shared" si="0"/>
        <v>0</v>
      </c>
      <c r="N29" s="33">
        <f>$M29/(1+0.03)^($B29-'A - Inputs'!$C$6)</f>
        <v>0</v>
      </c>
      <c r="O29" s="33">
        <f>$M29/(1+0.07)^($B29-'A - Inputs'!$C$6)</f>
        <v>0</v>
      </c>
    </row>
    <row r="30" spans="2:15" x14ac:dyDescent="0.25">
      <c r="B30" s="66">
        <f t="shared" si="1"/>
        <v>2041</v>
      </c>
      <c r="C30" s="66">
        <f t="shared" si="2"/>
        <v>19</v>
      </c>
      <c r="D30" s="99">
        <f>IFERROR(VLOOKUP(B30,'D - Cost Estimate'!$H$14:$I$20,2,FALSE),0)</f>
        <v>0</v>
      </c>
      <c r="E30" s="33">
        <f>$D30/(1+0.03)^($B30-'A - Inputs'!$C$6)</f>
        <v>0</v>
      </c>
      <c r="F30" s="33">
        <f>$D30/(1+0.07)^($B30-'A - Inputs'!$C$6)</f>
        <v>0</v>
      </c>
      <c r="H30" s="66">
        <f t="shared" si="3"/>
        <v>2041</v>
      </c>
      <c r="I30" s="66">
        <f t="shared" si="4"/>
        <v>19</v>
      </c>
      <c r="J30" s="33">
        <f>IF(H30=('A - Inputs'!$C$7+'A - Inputs'!$C$11),'E - Construction &amp; Residual'!J$6,0)</f>
        <v>0</v>
      </c>
      <c r="K30" s="33">
        <f>IF(H30=('A - Inputs'!$C$7+'A - Inputs'!$C$11),'E - Construction &amp; Residual'!K$6,0)</f>
        <v>0</v>
      </c>
      <c r="L30" s="39">
        <f>IF(I30=('A - Inputs'!$C$7+'A - Inputs'!$C$11),'E - Construction &amp; Residual'!L$6,0)</f>
        <v>0</v>
      </c>
      <c r="M30" s="33">
        <f t="shared" si="0"/>
        <v>0</v>
      </c>
      <c r="N30" s="33">
        <f>$M30/(1+0.03)^($B30-'A - Inputs'!$C$6)</f>
        <v>0</v>
      </c>
      <c r="O30" s="33">
        <f>$M30/(1+0.07)^($B30-'A - Inputs'!$C$6)</f>
        <v>0</v>
      </c>
    </row>
    <row r="31" spans="2:15" x14ac:dyDescent="0.25">
      <c r="B31" s="66">
        <f t="shared" si="1"/>
        <v>2042</v>
      </c>
      <c r="C31" s="66">
        <f t="shared" si="2"/>
        <v>20</v>
      </c>
      <c r="D31" s="99">
        <f>IFERROR(VLOOKUP(B31,'D - Cost Estimate'!$H$14:$I$20,2,FALSE),0)</f>
        <v>0</v>
      </c>
      <c r="E31" s="33">
        <f>$D31/(1+0.03)^($B31-'A - Inputs'!$C$6)</f>
        <v>0</v>
      </c>
      <c r="F31" s="33">
        <f>$D31/(1+0.07)^($B31-'A - Inputs'!$C$6)</f>
        <v>0</v>
      </c>
      <c r="H31" s="66">
        <f t="shared" si="3"/>
        <v>2042</v>
      </c>
      <c r="I31" s="66">
        <f t="shared" si="4"/>
        <v>20</v>
      </c>
      <c r="J31" s="33">
        <f>IF(H31=('A - Inputs'!$C$7+'A - Inputs'!$C$11),'E - Construction &amp; Residual'!J$6,0)</f>
        <v>0</v>
      </c>
      <c r="K31" s="33">
        <f>IF(H31=('A - Inputs'!$C$7+'A - Inputs'!$C$11),'E - Construction &amp; Residual'!K$6,0)</f>
        <v>0</v>
      </c>
      <c r="L31" s="39">
        <f>IF(I31=('A - Inputs'!$C$7+'A - Inputs'!$C$11),'E - Construction &amp; Residual'!L$6,0)</f>
        <v>0</v>
      </c>
      <c r="M31" s="33">
        <f t="shared" si="0"/>
        <v>0</v>
      </c>
      <c r="N31" s="33">
        <f>$M31/(1+0.03)^($B31-'A - Inputs'!$C$6)</f>
        <v>0</v>
      </c>
      <c r="O31" s="33">
        <f>$M31/(1+0.07)^($B31-'A - Inputs'!$C$6)</f>
        <v>0</v>
      </c>
    </row>
    <row r="32" spans="2:15" x14ac:dyDescent="0.25">
      <c r="B32" s="66">
        <f t="shared" si="1"/>
        <v>2043</v>
      </c>
      <c r="C32" s="66">
        <f t="shared" si="2"/>
        <v>21</v>
      </c>
      <c r="D32" s="99">
        <f>IFERROR(VLOOKUP(B32,'D - Cost Estimate'!$H$14:$I$20,2,FALSE),0)</f>
        <v>0</v>
      </c>
      <c r="E32" s="33">
        <f>$D32/(1+0.03)^($B32-'A - Inputs'!$C$6)</f>
        <v>0</v>
      </c>
      <c r="F32" s="33">
        <f>$D32/(1+0.07)^($B32-'A - Inputs'!$C$6)</f>
        <v>0</v>
      </c>
      <c r="H32" s="66">
        <f t="shared" si="3"/>
        <v>2043</v>
      </c>
      <c r="I32" s="66">
        <f t="shared" si="4"/>
        <v>21</v>
      </c>
      <c r="J32" s="33">
        <f>IF(H32=('A - Inputs'!$C$7+'A - Inputs'!$C$11),'E - Construction &amp; Residual'!J$6,0)</f>
        <v>0</v>
      </c>
      <c r="K32" s="33">
        <f>IF(H32=('A - Inputs'!$C$7+'A - Inputs'!$C$11),'E - Construction &amp; Residual'!K$6,0)</f>
        <v>0</v>
      </c>
      <c r="L32" s="39">
        <f>IF(I32=('A - Inputs'!$C$7+'A - Inputs'!$C$11),'E - Construction &amp; Residual'!L$6,0)</f>
        <v>0</v>
      </c>
      <c r="M32" s="33">
        <f t="shared" si="0"/>
        <v>0</v>
      </c>
      <c r="N32" s="33">
        <f>$M32/(1+0.03)^($B32-'A - Inputs'!$C$6)</f>
        <v>0</v>
      </c>
      <c r="O32" s="33">
        <f>$M32/(1+0.07)^($B32-'A - Inputs'!$C$6)</f>
        <v>0</v>
      </c>
    </row>
    <row r="33" spans="2:15" x14ac:dyDescent="0.25">
      <c r="B33" s="66">
        <f t="shared" si="1"/>
        <v>2044</v>
      </c>
      <c r="C33" s="66">
        <f t="shared" si="2"/>
        <v>22</v>
      </c>
      <c r="D33" s="99">
        <f>IFERROR(VLOOKUP(B33,'D - Cost Estimate'!$H$14:$I$20,2,FALSE),0)</f>
        <v>0</v>
      </c>
      <c r="E33" s="33">
        <f>$D33/(1+0.03)^($B33-'A - Inputs'!$C$6)</f>
        <v>0</v>
      </c>
      <c r="F33" s="33">
        <f>$D33/(1+0.07)^($B33-'A - Inputs'!$C$6)</f>
        <v>0</v>
      </c>
      <c r="H33" s="66">
        <f t="shared" si="3"/>
        <v>2044</v>
      </c>
      <c r="I33" s="66">
        <f t="shared" si="4"/>
        <v>22</v>
      </c>
      <c r="J33" s="33">
        <f>IF(H33=('A - Inputs'!$C$7+'A - Inputs'!$C$11),'E - Construction &amp; Residual'!J$6,0)</f>
        <v>0</v>
      </c>
      <c r="K33" s="33">
        <f>IF(H33=('A - Inputs'!$C$7+'A - Inputs'!$C$11),'E - Construction &amp; Residual'!K$6,0)</f>
        <v>0</v>
      </c>
      <c r="L33" s="39">
        <f>IF(I33=('A - Inputs'!$C$7+'A - Inputs'!$C$11),'E - Construction &amp; Residual'!L$6,0)</f>
        <v>0</v>
      </c>
      <c r="M33" s="33">
        <f t="shared" si="0"/>
        <v>0</v>
      </c>
      <c r="N33" s="33">
        <f>$M33/(1+0.03)^($B33-'A - Inputs'!$C$6)</f>
        <v>0</v>
      </c>
      <c r="O33" s="33">
        <f>$M33/(1+0.07)^($B33-'A - Inputs'!$C$6)</f>
        <v>0</v>
      </c>
    </row>
    <row r="34" spans="2:15" x14ac:dyDescent="0.25">
      <c r="B34" s="66">
        <f t="shared" si="1"/>
        <v>2045</v>
      </c>
      <c r="C34" s="66">
        <f t="shared" si="2"/>
        <v>23</v>
      </c>
      <c r="D34" s="99">
        <f>IFERROR(VLOOKUP(B34,'D - Cost Estimate'!$H$14:$I$20,2,FALSE),0)</f>
        <v>0</v>
      </c>
      <c r="E34" s="33">
        <f>$D34/(1+0.03)^($B34-'A - Inputs'!$C$6)</f>
        <v>0</v>
      </c>
      <c r="F34" s="33">
        <f>$D34/(1+0.07)^($B34-'A - Inputs'!$C$6)</f>
        <v>0</v>
      </c>
      <c r="H34" s="66">
        <f t="shared" si="3"/>
        <v>2045</v>
      </c>
      <c r="I34" s="66">
        <f t="shared" si="4"/>
        <v>23</v>
      </c>
      <c r="J34" s="33">
        <f>IF(H34=('A - Inputs'!$C$7+'A - Inputs'!$C$11),'E - Construction &amp; Residual'!J$6,0)</f>
        <v>0</v>
      </c>
      <c r="K34" s="33">
        <f>IF(H34=('A - Inputs'!$C$7+'A - Inputs'!$C$11),'E - Construction &amp; Residual'!K$6,0)</f>
        <v>0</v>
      </c>
      <c r="L34" s="39">
        <f>IF(I34=('A - Inputs'!$C$7+'A - Inputs'!$C$11),'E - Construction &amp; Residual'!L$6,0)</f>
        <v>0</v>
      </c>
      <c r="M34" s="33">
        <f t="shared" si="0"/>
        <v>0</v>
      </c>
      <c r="N34" s="33">
        <f>$M34/(1+0.03)^($B34-'A - Inputs'!$C$6)</f>
        <v>0</v>
      </c>
      <c r="O34" s="33">
        <f>$M34/(1+0.07)^($B34-'A - Inputs'!$C$6)</f>
        <v>0</v>
      </c>
    </row>
    <row r="35" spans="2:15" x14ac:dyDescent="0.25">
      <c r="B35" s="66">
        <f t="shared" si="1"/>
        <v>2046</v>
      </c>
      <c r="C35" s="66">
        <f t="shared" si="2"/>
        <v>24</v>
      </c>
      <c r="D35" s="99">
        <f>IFERROR(VLOOKUP(B35,'D - Cost Estimate'!$H$14:$I$20,2,FALSE),0)</f>
        <v>0</v>
      </c>
      <c r="E35" s="33">
        <f>$D35/(1+0.03)^($B35-'A - Inputs'!$C$6)</f>
        <v>0</v>
      </c>
      <c r="F35" s="33">
        <f>$D35/(1+0.07)^($B35-'A - Inputs'!$C$6)</f>
        <v>0</v>
      </c>
      <c r="H35" s="66">
        <f t="shared" si="3"/>
        <v>2046</v>
      </c>
      <c r="I35" s="66">
        <f t="shared" si="4"/>
        <v>24</v>
      </c>
      <c r="J35" s="33">
        <f>IF(H35=('A - Inputs'!$C$7+'A - Inputs'!$C$11),'E - Construction &amp; Residual'!J$6,0)</f>
        <v>0</v>
      </c>
      <c r="K35" s="33">
        <f>IF(H35=('A - Inputs'!$C$7+'A - Inputs'!$C$11),'E - Construction &amp; Residual'!K$6,0)</f>
        <v>0</v>
      </c>
      <c r="L35" s="39">
        <f>IF(I35=('A - Inputs'!$C$7+'A - Inputs'!$C$11),'E - Construction &amp; Residual'!L$6,0)</f>
        <v>0</v>
      </c>
      <c r="M35" s="33">
        <f t="shared" si="0"/>
        <v>0</v>
      </c>
      <c r="N35" s="33">
        <f>$M35/(1+0.03)^($B35-'A - Inputs'!$C$6)</f>
        <v>0</v>
      </c>
      <c r="O35" s="33">
        <f>$M35/(1+0.07)^($B35-'A - Inputs'!$C$6)</f>
        <v>0</v>
      </c>
    </row>
    <row r="36" spans="2:15" x14ac:dyDescent="0.25">
      <c r="B36" s="66">
        <f t="shared" ref="B36:B46" si="5">B35+1</f>
        <v>2047</v>
      </c>
      <c r="C36" s="66">
        <f t="shared" ref="C36:C46" si="6">C35+1</f>
        <v>25</v>
      </c>
      <c r="D36" s="99">
        <f>IFERROR(VLOOKUP(B36,'D - Cost Estimate'!$H$14:$I$20,2,FALSE),0)</f>
        <v>0</v>
      </c>
      <c r="E36" s="33">
        <f>$D36/(1+0.03)^($B36-'A - Inputs'!$C$6)</f>
        <v>0</v>
      </c>
      <c r="F36" s="33">
        <f>$D36/(1+0.07)^($B36-'A - Inputs'!$C$6)</f>
        <v>0</v>
      </c>
      <c r="H36" s="66">
        <f t="shared" si="3"/>
        <v>2047</v>
      </c>
      <c r="I36" s="66">
        <f t="shared" si="4"/>
        <v>25</v>
      </c>
      <c r="J36" s="33">
        <f>IF(H36=('A - Inputs'!$C$7+'A - Inputs'!$C$11),'E - Construction &amp; Residual'!J$6,0)</f>
        <v>5561393.9686537031</v>
      </c>
      <c r="K36" s="33">
        <f>IF(H36=('A - Inputs'!$C$7+'A - Inputs'!$C$11),'E - Construction &amp; Residual'!K$6,0)</f>
        <v>57192803.353591569</v>
      </c>
      <c r="L36" s="39">
        <f>IF(H36=('A - Inputs'!$C$7+'A - Inputs'!$C$11),'E - Construction &amp; Residual'!L$6,0)</f>
        <v>53915485.703458071</v>
      </c>
      <c r="M36" s="33">
        <f t="shared" si="0"/>
        <v>116669683.02570334</v>
      </c>
      <c r="N36" s="33">
        <f>$M36/(1+0.03)^($B36-'A - Inputs'!$C$6)</f>
        <v>50993606.250297129</v>
      </c>
      <c r="O36" s="33">
        <f>$M36/(1+0.07)^($B36-'A - Inputs'!$C$6)</f>
        <v>17547378.450606417</v>
      </c>
    </row>
    <row r="37" spans="2:15" x14ac:dyDescent="0.25">
      <c r="B37" s="66">
        <f t="shared" si="5"/>
        <v>2048</v>
      </c>
      <c r="C37" s="66">
        <f t="shared" si="6"/>
        <v>26</v>
      </c>
      <c r="D37" s="99">
        <f>IFERROR(VLOOKUP(B37,'D - Cost Estimate'!$H$14:$I$20,2,FALSE),0)</f>
        <v>0</v>
      </c>
      <c r="E37" s="33">
        <f>$D37/(1+0.03)^($B37-'A - Inputs'!$C$6)</f>
        <v>0</v>
      </c>
      <c r="F37" s="33">
        <f>$D37/(1+0.07)^($B37-'A - Inputs'!$C$6)</f>
        <v>0</v>
      </c>
      <c r="H37" s="66">
        <f t="shared" si="3"/>
        <v>2048</v>
      </c>
      <c r="I37" s="66">
        <f t="shared" si="4"/>
        <v>26</v>
      </c>
      <c r="J37" s="33">
        <f>IF(H37=('A - Inputs'!$C$7+'A - Inputs'!$C$11),'E - Construction &amp; Residual'!J$6,0)</f>
        <v>0</v>
      </c>
      <c r="K37" s="33">
        <f>IF(H37=('A - Inputs'!$C$7+'A - Inputs'!$C$11),'E - Construction &amp; Residual'!K$6,0)</f>
        <v>0</v>
      </c>
      <c r="L37" s="39">
        <f>IF(I37=('A - Inputs'!$C$7+'A - Inputs'!$C$11),'E - Construction &amp; Residual'!L$6,0)</f>
        <v>0</v>
      </c>
      <c r="M37" s="33">
        <f t="shared" si="0"/>
        <v>0</v>
      </c>
      <c r="N37" s="33">
        <f>$M37/(1+0.03)^($B37-'A - Inputs'!$C$6)</f>
        <v>0</v>
      </c>
      <c r="O37" s="33">
        <f>$M37/(1+0.07)^($B37-'A - Inputs'!$C$6)</f>
        <v>0</v>
      </c>
    </row>
    <row r="38" spans="2:15" x14ac:dyDescent="0.25">
      <c r="B38" s="66">
        <f t="shared" si="5"/>
        <v>2049</v>
      </c>
      <c r="C38" s="66">
        <f t="shared" si="6"/>
        <v>27</v>
      </c>
      <c r="D38" s="99">
        <f>IFERROR(VLOOKUP(B38,'D - Cost Estimate'!$H$14:$I$20,2,FALSE),0)</f>
        <v>0</v>
      </c>
      <c r="E38" s="33">
        <f>$D38/(1+0.03)^($B38-'A - Inputs'!$C$6)</f>
        <v>0</v>
      </c>
      <c r="F38" s="33">
        <f>$D38/(1+0.07)^($B38-'A - Inputs'!$C$6)</f>
        <v>0</v>
      </c>
      <c r="H38" s="66">
        <f t="shared" si="3"/>
        <v>2049</v>
      </c>
      <c r="I38" s="66">
        <f t="shared" si="4"/>
        <v>27</v>
      </c>
      <c r="J38" s="33">
        <f>IF(H38=('A - Inputs'!$C$7+'A - Inputs'!$C$11),'E - Construction &amp; Residual'!J$6,0)</f>
        <v>0</v>
      </c>
      <c r="K38" s="33">
        <f>IF(H38=('A - Inputs'!$C$7+'A - Inputs'!$C$11),'E - Construction &amp; Residual'!K$6,0)</f>
        <v>0</v>
      </c>
      <c r="L38" s="39">
        <f>IF(I38=('A - Inputs'!$C$7+'A - Inputs'!$C$11),'E - Construction &amp; Residual'!L$6,0)</f>
        <v>0</v>
      </c>
      <c r="M38" s="33">
        <f t="shared" si="0"/>
        <v>0</v>
      </c>
      <c r="N38" s="33">
        <f>$M38/(1+0.03)^($B38-'A - Inputs'!$C$6)</f>
        <v>0</v>
      </c>
      <c r="O38" s="33">
        <f>$M38/(1+0.07)^($B38-'A - Inputs'!$C$6)</f>
        <v>0</v>
      </c>
    </row>
    <row r="39" spans="2:15" x14ac:dyDescent="0.25">
      <c r="B39" s="66">
        <f t="shared" si="5"/>
        <v>2050</v>
      </c>
      <c r="C39" s="66">
        <f t="shared" si="6"/>
        <v>28</v>
      </c>
      <c r="D39" s="99">
        <f>IFERROR(VLOOKUP(B39,'D - Cost Estimate'!$H$14:$I$20,2,FALSE),0)</f>
        <v>0</v>
      </c>
      <c r="E39" s="33">
        <f>$D39/(1+0.03)^($B39-'A - Inputs'!$C$6)</f>
        <v>0</v>
      </c>
      <c r="F39" s="33">
        <f>$D39/(1+0.07)^($B39-'A - Inputs'!$C$6)</f>
        <v>0</v>
      </c>
      <c r="H39" s="66">
        <f t="shared" si="3"/>
        <v>2050</v>
      </c>
      <c r="I39" s="66">
        <f t="shared" si="4"/>
        <v>28</v>
      </c>
      <c r="J39" s="33">
        <f>IF(H39=('A - Inputs'!$C$7+'A - Inputs'!$C$11),'E - Construction &amp; Residual'!J$6,0)</f>
        <v>0</v>
      </c>
      <c r="K39" s="33">
        <f>IF(H39=('A - Inputs'!$C$7+'A - Inputs'!$C$11),'E - Construction &amp; Residual'!K$6,0)</f>
        <v>0</v>
      </c>
      <c r="L39" s="39">
        <f>IF(I39=('A - Inputs'!$C$7+'A - Inputs'!$C$11),'E - Construction &amp; Residual'!L$6,0)</f>
        <v>0</v>
      </c>
      <c r="M39" s="33">
        <f t="shared" si="0"/>
        <v>0</v>
      </c>
      <c r="N39" s="33">
        <f>$M39/(1+0.03)^($B39-'A - Inputs'!$C$6)</f>
        <v>0</v>
      </c>
      <c r="O39" s="33">
        <f>$M39/(1+0.07)^($B39-'A - Inputs'!$C$6)</f>
        <v>0</v>
      </c>
    </row>
    <row r="40" spans="2:15" x14ac:dyDescent="0.25">
      <c r="B40" s="66">
        <f t="shared" si="5"/>
        <v>2051</v>
      </c>
      <c r="C40" s="66">
        <f t="shared" si="6"/>
        <v>29</v>
      </c>
      <c r="D40" s="99">
        <f>IFERROR(VLOOKUP(B40,'D - Cost Estimate'!$H$14:$I$20,2,FALSE),0)</f>
        <v>0</v>
      </c>
      <c r="E40" s="33">
        <f>$D40/(1+0.03)^($B40-'A - Inputs'!$C$6)</f>
        <v>0</v>
      </c>
      <c r="F40" s="33">
        <f>$D40/(1+0.07)^($B40-'A - Inputs'!$C$6)</f>
        <v>0</v>
      </c>
      <c r="H40" s="66">
        <f t="shared" si="3"/>
        <v>2051</v>
      </c>
      <c r="I40" s="66">
        <f t="shared" si="4"/>
        <v>29</v>
      </c>
      <c r="J40" s="33">
        <f>IF(H40=('A - Inputs'!$C$7+'A - Inputs'!$C$11),'E - Construction &amp; Residual'!J$6,0)</f>
        <v>0</v>
      </c>
      <c r="K40" s="33">
        <f>IF(H40=('A - Inputs'!$C$7+'A - Inputs'!$C$11),'E - Construction &amp; Residual'!K$6,0)</f>
        <v>0</v>
      </c>
      <c r="L40" s="39">
        <f>IF(I40=('A - Inputs'!$C$7+'A - Inputs'!$C$11),'E - Construction &amp; Residual'!L$6,0)</f>
        <v>0</v>
      </c>
      <c r="M40" s="33">
        <f t="shared" ref="M40:M46" si="7">SUM(J40:L40)</f>
        <v>0</v>
      </c>
      <c r="N40" s="33">
        <f>$M40/(1+0.03)^($B40-'A - Inputs'!$C$6)</f>
        <v>0</v>
      </c>
      <c r="O40" s="33">
        <f>$M40/(1+0.07)^($B40-'A - Inputs'!$C$6)</f>
        <v>0</v>
      </c>
    </row>
    <row r="41" spans="2:15" x14ac:dyDescent="0.25">
      <c r="B41" s="66">
        <f t="shared" si="5"/>
        <v>2052</v>
      </c>
      <c r="C41" s="66">
        <f t="shared" si="6"/>
        <v>30</v>
      </c>
      <c r="D41" s="99">
        <f>IFERROR(VLOOKUP(B41,'D - Cost Estimate'!$H$14:$I$20,2,FALSE),0)</f>
        <v>0</v>
      </c>
      <c r="E41" s="33">
        <f>$D41/(1+0.03)^($B41-'A - Inputs'!$C$6)</f>
        <v>0</v>
      </c>
      <c r="F41" s="33">
        <f>$D41/(1+0.07)^($B41-'A - Inputs'!$C$6)</f>
        <v>0</v>
      </c>
      <c r="H41" s="66">
        <f t="shared" si="3"/>
        <v>2052</v>
      </c>
      <c r="I41" s="66">
        <f t="shared" si="4"/>
        <v>30</v>
      </c>
      <c r="J41" s="33">
        <f>IF(H41=('A - Inputs'!$C$7+'A - Inputs'!$C$11),'E - Construction &amp; Residual'!J$6,0)</f>
        <v>0</v>
      </c>
      <c r="K41" s="33">
        <f>IF(H41=('A - Inputs'!$C$7+'A - Inputs'!$C$11),'E - Construction &amp; Residual'!K$6,0)</f>
        <v>0</v>
      </c>
      <c r="L41" s="39">
        <f>IF(I41=('A - Inputs'!$C$7+'A - Inputs'!$C$11),'E - Construction &amp; Residual'!L$6,0)</f>
        <v>0</v>
      </c>
      <c r="M41" s="33">
        <f t="shared" si="7"/>
        <v>0</v>
      </c>
      <c r="N41" s="33">
        <f>$M41/(1+0.03)^($B41-'A - Inputs'!$C$6)</f>
        <v>0</v>
      </c>
      <c r="O41" s="33">
        <f>$M41/(1+0.07)^($B41-'A - Inputs'!$C$6)</f>
        <v>0</v>
      </c>
    </row>
    <row r="42" spans="2:15" x14ac:dyDescent="0.25">
      <c r="B42" s="66">
        <f t="shared" si="5"/>
        <v>2053</v>
      </c>
      <c r="C42" s="66">
        <f t="shared" si="6"/>
        <v>31</v>
      </c>
      <c r="D42" s="99">
        <f>IFERROR(VLOOKUP(B42,'D - Cost Estimate'!$H$14:$I$20,2,FALSE),0)</f>
        <v>0</v>
      </c>
      <c r="E42" s="33">
        <f>$D42/(1+0.03)^($B42-'A - Inputs'!$C$6)</f>
        <v>0</v>
      </c>
      <c r="F42" s="33">
        <f>$D42/(1+0.07)^($B42-'A - Inputs'!$C$6)</f>
        <v>0</v>
      </c>
      <c r="H42" s="66">
        <f t="shared" si="3"/>
        <v>2053</v>
      </c>
      <c r="I42" s="66">
        <f t="shared" si="4"/>
        <v>31</v>
      </c>
      <c r="J42" s="33">
        <f>IF(H42=('A - Inputs'!$C$7+'A - Inputs'!$C$11),'E - Construction &amp; Residual'!J$6,0)</f>
        <v>0</v>
      </c>
      <c r="K42" s="33">
        <f>IF(H42=('A - Inputs'!$C$7+'A - Inputs'!$C$11),'E - Construction &amp; Residual'!K$6,0)</f>
        <v>0</v>
      </c>
      <c r="L42" s="39">
        <f>IF(I42=('A - Inputs'!$C$7+'A - Inputs'!$C$11),'E - Construction &amp; Residual'!L$6,0)</f>
        <v>0</v>
      </c>
      <c r="M42" s="33">
        <f t="shared" si="7"/>
        <v>0</v>
      </c>
      <c r="N42" s="33">
        <f>$M42/(1+0.03)^($B42-'A - Inputs'!$C$6)</f>
        <v>0</v>
      </c>
      <c r="O42" s="33">
        <f>$M42/(1+0.07)^($B42-'A - Inputs'!$C$6)</f>
        <v>0</v>
      </c>
    </row>
    <row r="43" spans="2:15" x14ac:dyDescent="0.25">
      <c r="B43" s="66">
        <f t="shared" si="5"/>
        <v>2054</v>
      </c>
      <c r="C43" s="66">
        <f t="shared" si="6"/>
        <v>32</v>
      </c>
      <c r="D43" s="99">
        <f>IFERROR(VLOOKUP(B43,'D - Cost Estimate'!$H$14:$I$20,2,FALSE),0)</f>
        <v>0</v>
      </c>
      <c r="E43" s="33">
        <f>$D43/(1+0.03)^($B43-'A - Inputs'!$C$6)</f>
        <v>0</v>
      </c>
      <c r="F43" s="33">
        <f>$D43/(1+0.07)^($B43-'A - Inputs'!$C$6)</f>
        <v>0</v>
      </c>
      <c r="H43" s="66">
        <f t="shared" si="3"/>
        <v>2054</v>
      </c>
      <c r="I43" s="66">
        <f t="shared" si="4"/>
        <v>32</v>
      </c>
      <c r="J43" s="33">
        <f>IF(H43=('A - Inputs'!$C$7+'A - Inputs'!$C$11),'E - Construction &amp; Residual'!J$6,0)</f>
        <v>0</v>
      </c>
      <c r="K43" s="33">
        <f>IF(H43=('A - Inputs'!$C$7+'A - Inputs'!$C$11),'E - Construction &amp; Residual'!K$6,0)</f>
        <v>0</v>
      </c>
      <c r="L43" s="39">
        <f>IF(I43=('A - Inputs'!$C$7+'A - Inputs'!$C$11),'E - Construction &amp; Residual'!L$6,0)</f>
        <v>0</v>
      </c>
      <c r="M43" s="33">
        <f t="shared" si="7"/>
        <v>0</v>
      </c>
      <c r="N43" s="33">
        <f>$M43/(1+0.03)^($B43-'A - Inputs'!$C$6)</f>
        <v>0</v>
      </c>
      <c r="O43" s="33">
        <f>$M43/(1+0.07)^($B43-'A - Inputs'!$C$6)</f>
        <v>0</v>
      </c>
    </row>
    <row r="44" spans="2:15" x14ac:dyDescent="0.25">
      <c r="B44" s="66">
        <f t="shared" si="5"/>
        <v>2055</v>
      </c>
      <c r="C44" s="66">
        <f t="shared" si="6"/>
        <v>33</v>
      </c>
      <c r="D44" s="99">
        <f>IFERROR(VLOOKUP(B44,'D - Cost Estimate'!$H$14:$I$20,2,FALSE),0)</f>
        <v>0</v>
      </c>
      <c r="E44" s="33">
        <f>$D44/(1+0.03)^($B44-'A - Inputs'!$C$6)</f>
        <v>0</v>
      </c>
      <c r="F44" s="33">
        <f>$D44/(1+0.07)^($B44-'A - Inputs'!$C$6)</f>
        <v>0</v>
      </c>
      <c r="H44" s="66">
        <f t="shared" si="3"/>
        <v>2055</v>
      </c>
      <c r="I44" s="66">
        <f t="shared" si="4"/>
        <v>33</v>
      </c>
      <c r="J44" s="33">
        <f>IF(H44=('A - Inputs'!$C$7+'A - Inputs'!$C$11),'E - Construction &amp; Residual'!J$6,0)</f>
        <v>0</v>
      </c>
      <c r="K44" s="33">
        <f>IF(H44=('A - Inputs'!$C$7+'A - Inputs'!$C$11),'E - Construction &amp; Residual'!K$6,0)</f>
        <v>0</v>
      </c>
      <c r="L44" s="39">
        <f>IF(I44=('A - Inputs'!$C$7+'A - Inputs'!$C$11),'E - Construction &amp; Residual'!L$6,0)</f>
        <v>0</v>
      </c>
      <c r="M44" s="33">
        <f t="shared" si="7"/>
        <v>0</v>
      </c>
      <c r="N44" s="33">
        <f>$M44/(1+0.03)^($B44-'A - Inputs'!$C$6)</f>
        <v>0</v>
      </c>
      <c r="O44" s="33">
        <f>$M44/(1+0.07)^($B44-'A - Inputs'!$C$6)</f>
        <v>0</v>
      </c>
    </row>
    <row r="45" spans="2:15" x14ac:dyDescent="0.25">
      <c r="B45" s="66">
        <f t="shared" si="5"/>
        <v>2056</v>
      </c>
      <c r="C45" s="66">
        <f t="shared" si="6"/>
        <v>34</v>
      </c>
      <c r="D45" s="99">
        <f>IFERROR(VLOOKUP(B45,'D - Cost Estimate'!$H$14:$I$20,2,FALSE),0)</f>
        <v>0</v>
      </c>
      <c r="E45" s="33">
        <f>$D45/(1+0.03)^($B45-'A - Inputs'!$C$6)</f>
        <v>0</v>
      </c>
      <c r="F45" s="33">
        <f>$D45/(1+0.07)^($B45-'A - Inputs'!$C$6)</f>
        <v>0</v>
      </c>
      <c r="H45" s="66">
        <f t="shared" si="3"/>
        <v>2056</v>
      </c>
      <c r="I45" s="66">
        <f t="shared" si="4"/>
        <v>34</v>
      </c>
      <c r="J45" s="33">
        <f>IF(H45=('A - Inputs'!$C$7+'A - Inputs'!$C$11),'E - Construction &amp; Residual'!J$6,0)</f>
        <v>0</v>
      </c>
      <c r="K45" s="33">
        <f>IF(H45=('A - Inputs'!$C$7+'A - Inputs'!$C$11),'E - Construction &amp; Residual'!K$6,0)</f>
        <v>0</v>
      </c>
      <c r="L45" s="39">
        <f>IF(I45=('A - Inputs'!$C$7+'A - Inputs'!$C$11),'E - Construction &amp; Residual'!L$6,0)</f>
        <v>0</v>
      </c>
      <c r="M45" s="33">
        <f t="shared" si="7"/>
        <v>0</v>
      </c>
      <c r="N45" s="33">
        <f>$M45/(1+0.03)^($B45-'A - Inputs'!$C$6)</f>
        <v>0</v>
      </c>
      <c r="O45" s="33">
        <f>$M45/(1+0.07)^($B45-'A - Inputs'!$C$6)</f>
        <v>0</v>
      </c>
    </row>
    <row r="46" spans="2:15" x14ac:dyDescent="0.25">
      <c r="B46" s="66">
        <f t="shared" si="5"/>
        <v>2057</v>
      </c>
      <c r="C46" s="66">
        <f t="shared" si="6"/>
        <v>35</v>
      </c>
      <c r="D46" s="99">
        <f>IFERROR(VLOOKUP(B46,'D - Cost Estimate'!$H$14:$I$20,2,FALSE),0)</f>
        <v>0</v>
      </c>
      <c r="E46" s="33">
        <f>$D46/(1+0.03)^($B46-'A - Inputs'!$C$6)</f>
        <v>0</v>
      </c>
      <c r="F46" s="33">
        <f>$D46/(1+0.07)^($B46-'A - Inputs'!$C$6)</f>
        <v>0</v>
      </c>
      <c r="H46" s="66">
        <f t="shared" si="3"/>
        <v>2057</v>
      </c>
      <c r="I46" s="66">
        <f t="shared" si="4"/>
        <v>35</v>
      </c>
      <c r="J46" s="33">
        <f>IF(H46=('A - Inputs'!$C$7+'A - Inputs'!$C$11),'E - Construction &amp; Residual'!J$6,0)</f>
        <v>0</v>
      </c>
      <c r="K46" s="33">
        <f>IF(H46=('A - Inputs'!$C$7+'A - Inputs'!$C$11),'E - Construction &amp; Residual'!K$6,0)</f>
        <v>0</v>
      </c>
      <c r="L46" s="39">
        <f>IF(I46=('A - Inputs'!$C$7+'A - Inputs'!$C$11),'E - Construction &amp; Residual'!L$6,0)</f>
        <v>0</v>
      </c>
      <c r="M46" s="33">
        <f t="shared" si="7"/>
        <v>0</v>
      </c>
      <c r="N46" s="33">
        <f>$M46/(1+0.03)^($B46-'A - Inputs'!$C$6)</f>
        <v>0</v>
      </c>
      <c r="O46" s="33">
        <f>$M46/(1+0.07)^($B46-'A - Inputs'!$C$6)</f>
        <v>0</v>
      </c>
    </row>
    <row r="47" spans="2:15" s="60" customFormat="1" x14ac:dyDescent="0.25">
      <c r="B47" s="100" t="s">
        <v>80</v>
      </c>
      <c r="C47" s="100"/>
      <c r="D47" s="45">
        <f t="shared" ref="D47:E47" si="8">SUM(D11:D46)</f>
        <v>345150563.33315933</v>
      </c>
      <c r="E47" s="45">
        <f t="shared" si="8"/>
        <v>292811351.93604261</v>
      </c>
      <c r="F47" s="45">
        <f t="shared" ref="F47" si="9">SUM(F11:F46)</f>
        <v>237634062.65168041</v>
      </c>
      <c r="G47" s="101"/>
      <c r="H47" s="100"/>
      <c r="I47" s="100"/>
      <c r="J47" s="45">
        <f>SUM(J11:J46)</f>
        <v>5561393.9686537031</v>
      </c>
      <c r="K47" s="45">
        <f t="shared" ref="K47:O47" si="10">SUM(K11:K46)</f>
        <v>57192803.353591569</v>
      </c>
      <c r="L47" s="46">
        <f t="shared" si="10"/>
        <v>53915485.703458071</v>
      </c>
      <c r="M47" s="45">
        <f t="shared" si="10"/>
        <v>116669683.02570334</v>
      </c>
      <c r="N47" s="45">
        <f t="shared" si="10"/>
        <v>50993606.250297129</v>
      </c>
      <c r="O47" s="45">
        <f t="shared" si="10"/>
        <v>17547378.450606417</v>
      </c>
    </row>
  </sheetData>
  <pageMargins left="0.7" right="0.7" top="0.75" bottom="0.75" header="0.3" footer="0.3"/>
  <pageSetup scale="67" orientation="landscape" r:id="rId1"/>
  <headerFooter>
    <oddHeader>&amp;L&amp;"Arial,Bold"FDOT - INFRA Grant for I-95&amp;R&amp;"Arial,Bold"&amp;A</oddHeader>
    <oddFooter>&amp;CPage E-&amp;P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0B12C-E7DF-41C5-9CE5-FD2738328141}">
  <sheetPr codeName="Sheet6">
    <pageSetUpPr fitToPage="1"/>
  </sheetPr>
  <dimension ref="B1:L52"/>
  <sheetViews>
    <sheetView view="pageLayout" zoomScaleNormal="80" workbookViewId="0">
      <selection activeCell="H2" sqref="H2"/>
    </sheetView>
  </sheetViews>
  <sheetFormatPr defaultColWidth="8.7109375" defaultRowHeight="15" x14ac:dyDescent="0.25"/>
  <cols>
    <col min="1" max="1" width="8.7109375" style="31"/>
    <col min="2" max="7" width="11.42578125" style="31" customWidth="1"/>
    <col min="8" max="9" width="15" style="31" customWidth="1"/>
    <col min="10" max="10" width="11.85546875" style="31" bestFit="1" customWidth="1"/>
    <col min="11" max="13" width="11.42578125" style="31" customWidth="1"/>
    <col min="14" max="15" width="13.140625" style="31" customWidth="1"/>
    <col min="16" max="17" width="8.7109375" style="31"/>
    <col min="18" max="18" width="11.140625" style="31" bestFit="1" customWidth="1"/>
    <col min="19" max="16384" width="8.7109375" style="31"/>
  </cols>
  <sheetData>
    <row r="1" spans="2:12" s="84" customFormat="1" x14ac:dyDescent="0.25">
      <c r="B1" s="30" t="s">
        <v>110</v>
      </c>
      <c r="C1" s="30"/>
      <c r="E1" s="30" t="s">
        <v>111</v>
      </c>
      <c r="F1" s="30"/>
      <c r="H1" s="30" t="s">
        <v>21</v>
      </c>
    </row>
    <row r="2" spans="2:12" x14ac:dyDescent="0.25">
      <c r="B2" s="31" t="s">
        <v>485</v>
      </c>
      <c r="E2" s="250">
        <v>64615</v>
      </c>
      <c r="F2" s="31" t="s">
        <v>486</v>
      </c>
      <c r="H2" s="31" t="s">
        <v>693</v>
      </c>
    </row>
    <row r="3" spans="2:12" x14ac:dyDescent="0.25">
      <c r="B3" s="31" t="s">
        <v>487</v>
      </c>
      <c r="E3" s="312">
        <f>'A - Inputs'!C30</f>
        <v>5.9279999999999999</v>
      </c>
      <c r="F3" s="31" t="s">
        <v>461</v>
      </c>
      <c r="K3" s="102"/>
    </row>
    <row r="4" spans="2:12" x14ac:dyDescent="0.25">
      <c r="B4" s="31" t="s">
        <v>488</v>
      </c>
      <c r="E4" s="251">
        <v>6</v>
      </c>
      <c r="F4" s="31" t="s">
        <v>489</v>
      </c>
      <c r="K4" s="102"/>
    </row>
    <row r="5" spans="2:12" x14ac:dyDescent="0.25">
      <c r="B5" s="31" t="s">
        <v>490</v>
      </c>
      <c r="E5" s="251">
        <v>10</v>
      </c>
      <c r="F5" s="31" t="s">
        <v>489</v>
      </c>
      <c r="K5" s="102"/>
    </row>
    <row r="6" spans="2:12" x14ac:dyDescent="0.25">
      <c r="B6" s="31" t="s">
        <v>491</v>
      </c>
      <c r="E6" s="252">
        <f>E2*E3</f>
        <v>383037.72</v>
      </c>
      <c r="F6" s="31" t="s">
        <v>492</v>
      </c>
      <c r="K6" s="102"/>
    </row>
    <row r="7" spans="2:12" x14ac:dyDescent="0.25">
      <c r="B7" s="31" t="s">
        <v>493</v>
      </c>
      <c r="E7" s="253">
        <v>0.05</v>
      </c>
      <c r="F7" s="102"/>
      <c r="K7" s="102"/>
      <c r="L7" s="102"/>
    </row>
    <row r="8" spans="2:12" customFormat="1" x14ac:dyDescent="0.25">
      <c r="B8" s="31" t="s">
        <v>494</v>
      </c>
      <c r="E8" s="254">
        <v>10</v>
      </c>
      <c r="F8" s="31" t="s">
        <v>12</v>
      </c>
      <c r="G8" s="426"/>
      <c r="H8" s="31"/>
      <c r="I8" s="31"/>
    </row>
    <row r="9" spans="2:12" s="507" customFormat="1" x14ac:dyDescent="0.25">
      <c r="B9" s="31"/>
      <c r="E9" s="254"/>
      <c r="F9" s="31"/>
      <c r="H9" s="31"/>
      <c r="I9" s="31"/>
    </row>
    <row r="10" spans="2:12" ht="14.45" customHeight="1" x14ac:dyDescent="0.25">
      <c r="B10" s="60"/>
      <c r="C10" s="60"/>
      <c r="D10" s="105"/>
      <c r="E10" s="427"/>
      <c r="F10" s="427"/>
      <c r="G10" s="427"/>
      <c r="H10" s="422"/>
      <c r="I10" s="364"/>
      <c r="J10" s="255" t="s">
        <v>112</v>
      </c>
      <c r="K10" s="29"/>
      <c r="L10" s="29"/>
    </row>
    <row r="11" spans="2:12" ht="60" x14ac:dyDescent="0.25">
      <c r="B11" s="256" t="s">
        <v>45</v>
      </c>
      <c r="C11" s="256" t="s">
        <v>46</v>
      </c>
      <c r="D11" s="257" t="s">
        <v>113</v>
      </c>
      <c r="E11" s="256" t="s">
        <v>638</v>
      </c>
      <c r="F11" s="256" t="s">
        <v>640</v>
      </c>
      <c r="G11" s="257" t="s">
        <v>639</v>
      </c>
      <c r="H11" s="143" t="s">
        <v>509</v>
      </c>
      <c r="I11" s="365" t="s">
        <v>508</v>
      </c>
      <c r="J11" s="258" t="s">
        <v>109</v>
      </c>
      <c r="K11" s="37" t="s">
        <v>52</v>
      </c>
      <c r="L11" s="37" t="s">
        <v>53</v>
      </c>
    </row>
    <row r="12" spans="2:12" x14ac:dyDescent="0.25">
      <c r="B12" s="98">
        <f>ProjStartYr</f>
        <v>2022</v>
      </c>
      <c r="C12" s="504">
        <v>0</v>
      </c>
      <c r="D12" s="32">
        <f t="shared" ref="D12:D40" si="0">MAX(B12-_xlfn.SINGLE(BenefitStart)+1,0)</f>
        <v>0</v>
      </c>
      <c r="E12" s="31">
        <f t="shared" ref="E12:E45" si="1">IF(B12&lt;2028,0,IF(B12=2028,1,E11+1))</f>
        <v>0</v>
      </c>
      <c r="F12" s="33">
        <f t="shared" ref="F12:F47" si="2">IF(E12=0,0,IF(E12=1,$E$6,IF(MOD(E12,10)=1,F11*(1+$E$7),F11)))</f>
        <v>0</v>
      </c>
      <c r="G12" s="39">
        <f>F12/6</f>
        <v>0</v>
      </c>
      <c r="H12" s="33">
        <f>IF(C12&gt;'A - Inputs'!$C$11,0,G12*6)</f>
        <v>0</v>
      </c>
      <c r="I12" s="33">
        <f>IF(C12&gt;'A - Inputs'!$C$11,0,G12*10)</f>
        <v>0</v>
      </c>
      <c r="J12" s="259">
        <f t="shared" ref="J12:J45" si="3">H12-I12</f>
        <v>0</v>
      </c>
      <c r="K12" s="33">
        <f>$J12/(1+0.03)^($B12-'A - Inputs'!$C$6)</f>
        <v>0</v>
      </c>
      <c r="L12" s="33">
        <f>$J12/(1+0.07)^($B12-'A - Inputs'!$C$6)</f>
        <v>0</v>
      </c>
    </row>
    <row r="13" spans="2:12" x14ac:dyDescent="0.25">
      <c r="B13" s="66">
        <f>B12+1</f>
        <v>2023</v>
      </c>
      <c r="C13" s="505">
        <f t="shared" ref="C13" si="4">C12+1</f>
        <v>1</v>
      </c>
      <c r="D13" s="32">
        <f t="shared" si="0"/>
        <v>0</v>
      </c>
      <c r="E13" s="31">
        <f t="shared" si="1"/>
        <v>0</v>
      </c>
      <c r="F13" s="33">
        <f t="shared" si="2"/>
        <v>0</v>
      </c>
      <c r="G13" s="39">
        <f t="shared" ref="G13:G47" si="5">F13/6</f>
        <v>0</v>
      </c>
      <c r="H13" s="33">
        <f>IF(C13&gt;'A - Inputs'!$C$11,0,G13*6)</f>
        <v>0</v>
      </c>
      <c r="I13" s="33">
        <f>IF(C13&gt;'A - Inputs'!$C$11,0,G13*10)</f>
        <v>0</v>
      </c>
      <c r="J13" s="259">
        <f t="shared" si="3"/>
        <v>0</v>
      </c>
      <c r="K13" s="33">
        <f>$J13/(1+0.03)^($B13-'A - Inputs'!$C$6)</f>
        <v>0</v>
      </c>
      <c r="L13" s="33">
        <f>$J13/(1+0.07)^($B13-'A - Inputs'!$C$6)</f>
        <v>0</v>
      </c>
    </row>
    <row r="14" spans="2:12" x14ac:dyDescent="0.25">
      <c r="B14" s="66">
        <f t="shared" ref="B14:C29" si="6">B13+1</f>
        <v>2024</v>
      </c>
      <c r="C14" s="66">
        <f t="shared" si="6"/>
        <v>2</v>
      </c>
      <c r="D14" s="32">
        <f t="shared" si="0"/>
        <v>0</v>
      </c>
      <c r="E14" s="31">
        <f t="shared" si="1"/>
        <v>0</v>
      </c>
      <c r="F14" s="33">
        <f t="shared" si="2"/>
        <v>0</v>
      </c>
      <c r="G14" s="39">
        <f t="shared" si="5"/>
        <v>0</v>
      </c>
      <c r="H14" s="33">
        <f>IF(C14&gt;'A - Inputs'!$C$11,0,G14*6)</f>
        <v>0</v>
      </c>
      <c r="I14" s="33">
        <f>IF(C14&gt;'A - Inputs'!$C$11,0,G14*10)</f>
        <v>0</v>
      </c>
      <c r="J14" s="259">
        <f t="shared" si="3"/>
        <v>0</v>
      </c>
      <c r="K14" s="33">
        <f>$J14/(1+0.03)^($B14-'A - Inputs'!$C$6)</f>
        <v>0</v>
      </c>
      <c r="L14" s="33">
        <f>$J14/(1+0.07)^($B14-'A - Inputs'!$C$6)</f>
        <v>0</v>
      </c>
    </row>
    <row r="15" spans="2:12" x14ac:dyDescent="0.25">
      <c r="B15" s="66">
        <f t="shared" si="6"/>
        <v>2025</v>
      </c>
      <c r="C15" s="66">
        <f t="shared" si="6"/>
        <v>3</v>
      </c>
      <c r="D15" s="32">
        <f t="shared" si="0"/>
        <v>0</v>
      </c>
      <c r="E15" s="31">
        <f t="shared" si="1"/>
        <v>0</v>
      </c>
      <c r="F15" s="33">
        <f t="shared" si="2"/>
        <v>0</v>
      </c>
      <c r="G15" s="39">
        <f t="shared" si="5"/>
        <v>0</v>
      </c>
      <c r="H15" s="33">
        <f>IF(C15&gt;'A - Inputs'!$C$11,0,G15*6)</f>
        <v>0</v>
      </c>
      <c r="I15" s="33">
        <f>IF(C15&gt;'A - Inputs'!$C$11,0,G15*10)</f>
        <v>0</v>
      </c>
      <c r="J15" s="259">
        <f t="shared" si="3"/>
        <v>0</v>
      </c>
      <c r="K15" s="33">
        <f>$J15/(1+0.03)^($B15-'A - Inputs'!$C$6)</f>
        <v>0</v>
      </c>
      <c r="L15" s="33">
        <f>$J15/(1+0.07)^($B15-'A - Inputs'!$C$6)</f>
        <v>0</v>
      </c>
    </row>
    <row r="16" spans="2:12" x14ac:dyDescent="0.25">
      <c r="B16" s="66">
        <f t="shared" si="6"/>
        <v>2026</v>
      </c>
      <c r="C16" s="66">
        <f t="shared" si="6"/>
        <v>4</v>
      </c>
      <c r="D16" s="32">
        <f t="shared" si="0"/>
        <v>0</v>
      </c>
      <c r="E16" s="31">
        <f t="shared" si="1"/>
        <v>0</v>
      </c>
      <c r="F16" s="33">
        <f t="shared" si="2"/>
        <v>0</v>
      </c>
      <c r="G16" s="39">
        <f t="shared" si="5"/>
        <v>0</v>
      </c>
      <c r="H16" s="33">
        <f>IF(C16&gt;'A - Inputs'!$C$11,0,G16*6)</f>
        <v>0</v>
      </c>
      <c r="I16" s="33">
        <f>IF(C16&gt;'A - Inputs'!$C$11,0,G16*10)</f>
        <v>0</v>
      </c>
      <c r="J16" s="259">
        <f t="shared" si="3"/>
        <v>0</v>
      </c>
      <c r="K16" s="33">
        <f>$J16/(1+0.03)^($B16-'A - Inputs'!$C$6)</f>
        <v>0</v>
      </c>
      <c r="L16" s="33">
        <f>$J16/(1+0.07)^($B16-'A - Inputs'!$C$6)</f>
        <v>0</v>
      </c>
    </row>
    <row r="17" spans="2:12" x14ac:dyDescent="0.25">
      <c r="B17" s="66">
        <f t="shared" si="6"/>
        <v>2027</v>
      </c>
      <c r="C17" s="66">
        <f t="shared" si="6"/>
        <v>5</v>
      </c>
      <c r="D17" s="32">
        <f t="shared" si="0"/>
        <v>0</v>
      </c>
      <c r="E17" s="31">
        <f t="shared" si="1"/>
        <v>0</v>
      </c>
      <c r="F17" s="33">
        <f t="shared" si="2"/>
        <v>0</v>
      </c>
      <c r="G17" s="39">
        <f t="shared" si="5"/>
        <v>0</v>
      </c>
      <c r="H17" s="33">
        <f>IF(C17&gt;'A - Inputs'!$C$11,0,G17*6)</f>
        <v>0</v>
      </c>
      <c r="I17" s="33">
        <f>IF(C17&gt;'A - Inputs'!$C$11,0,G17*10)</f>
        <v>0</v>
      </c>
      <c r="J17" s="259">
        <f t="shared" si="3"/>
        <v>0</v>
      </c>
      <c r="K17" s="33">
        <f>$J17/(1+0.03)^($B17-'A - Inputs'!$C$6)</f>
        <v>0</v>
      </c>
      <c r="L17" s="33">
        <f>$J17/(1+0.07)^($B17-'A - Inputs'!$C$6)</f>
        <v>0</v>
      </c>
    </row>
    <row r="18" spans="2:12" x14ac:dyDescent="0.25">
      <c r="B18" s="66">
        <f t="shared" si="6"/>
        <v>2028</v>
      </c>
      <c r="C18" s="66">
        <f t="shared" si="6"/>
        <v>6</v>
      </c>
      <c r="D18" s="32">
        <f>MAX(B18-_xlfn.SINGLE(BenefitStart)+1,0)</f>
        <v>1</v>
      </c>
      <c r="E18" s="31">
        <f t="shared" si="1"/>
        <v>1</v>
      </c>
      <c r="F18" s="33">
        <f t="shared" si="2"/>
        <v>383037.72</v>
      </c>
      <c r="G18" s="39">
        <f t="shared" si="5"/>
        <v>63839.619999999995</v>
      </c>
      <c r="H18" s="33">
        <f>IF(C18&gt;'A - Inputs'!$C$11,0,G18*6)</f>
        <v>383037.72</v>
      </c>
      <c r="I18" s="33">
        <f>IF(C18&gt;'A - Inputs'!$C$11,0,G18*10)</f>
        <v>638396.19999999995</v>
      </c>
      <c r="J18" s="259">
        <f t="shared" si="3"/>
        <v>-255358.47999999998</v>
      </c>
      <c r="K18" s="33">
        <f>$J18/(1+0.03)^($B18-'A - Inputs'!$C$6)</f>
        <v>-195711.01181783539</v>
      </c>
      <c r="L18" s="33">
        <f>$J18/(1+0.07)^($B18-'A - Inputs'!$C$6)</f>
        <v>-138898.0937269993</v>
      </c>
    </row>
    <row r="19" spans="2:12" x14ac:dyDescent="0.25">
      <c r="B19" s="66">
        <f t="shared" si="6"/>
        <v>2029</v>
      </c>
      <c r="C19" s="66">
        <f t="shared" si="6"/>
        <v>7</v>
      </c>
      <c r="D19" s="32">
        <f t="shared" si="0"/>
        <v>2</v>
      </c>
      <c r="E19" s="31">
        <f t="shared" si="1"/>
        <v>2</v>
      </c>
      <c r="F19" s="33">
        <f t="shared" si="2"/>
        <v>383037.72</v>
      </c>
      <c r="G19" s="39">
        <f t="shared" si="5"/>
        <v>63839.619999999995</v>
      </c>
      <c r="H19" s="33">
        <f>IF(C19&gt;'A - Inputs'!$C$11,0,G19*6)</f>
        <v>383037.72</v>
      </c>
      <c r="I19" s="33">
        <f>IF(C19&gt;'A - Inputs'!$C$11,0,G19*10)</f>
        <v>638396.19999999995</v>
      </c>
      <c r="J19" s="259">
        <f t="shared" si="3"/>
        <v>-255358.47999999998</v>
      </c>
      <c r="K19" s="33">
        <f>$J19/(1+0.03)^($B19-'A - Inputs'!$C$6)</f>
        <v>-190010.6910852771</v>
      </c>
      <c r="L19" s="33">
        <f>$J19/(1+0.07)^($B19-'A - Inputs'!$C$6)</f>
        <v>-129811.30254859748</v>
      </c>
    </row>
    <row r="20" spans="2:12" x14ac:dyDescent="0.25">
      <c r="B20" s="66">
        <f t="shared" si="6"/>
        <v>2030</v>
      </c>
      <c r="C20" s="66">
        <f t="shared" si="6"/>
        <v>8</v>
      </c>
      <c r="D20" s="32">
        <f t="shared" si="0"/>
        <v>3</v>
      </c>
      <c r="E20" s="31">
        <f t="shared" si="1"/>
        <v>3</v>
      </c>
      <c r="F20" s="33">
        <f t="shared" si="2"/>
        <v>383037.72</v>
      </c>
      <c r="G20" s="39">
        <f t="shared" si="5"/>
        <v>63839.619999999995</v>
      </c>
      <c r="H20" s="33">
        <f>IF(C20&gt;'A - Inputs'!$C$11,0,G20*6)</f>
        <v>383037.72</v>
      </c>
      <c r="I20" s="33">
        <f>IF(C20&gt;'A - Inputs'!$C$11,0,G20*10)</f>
        <v>638396.19999999995</v>
      </c>
      <c r="J20" s="259">
        <f t="shared" si="3"/>
        <v>-255358.47999999998</v>
      </c>
      <c r="K20" s="33">
        <f>$J20/(1+0.03)^($B20-'A - Inputs'!$C$6)</f>
        <v>-184476.39911191948</v>
      </c>
      <c r="L20" s="33">
        <f>$J20/(1+0.07)^($B20-'A - Inputs'!$C$6)</f>
        <v>-121318.97434448361</v>
      </c>
    </row>
    <row r="21" spans="2:12" x14ac:dyDescent="0.25">
      <c r="B21" s="66">
        <f t="shared" si="6"/>
        <v>2031</v>
      </c>
      <c r="C21" s="66">
        <f t="shared" si="6"/>
        <v>9</v>
      </c>
      <c r="D21" s="32">
        <f t="shared" si="0"/>
        <v>4</v>
      </c>
      <c r="E21" s="31">
        <f t="shared" si="1"/>
        <v>4</v>
      </c>
      <c r="F21" s="33">
        <f t="shared" si="2"/>
        <v>383037.72</v>
      </c>
      <c r="G21" s="39">
        <f t="shared" si="5"/>
        <v>63839.619999999995</v>
      </c>
      <c r="H21" s="33">
        <f>IF(C21&gt;'A - Inputs'!$C$11,0,G21*6)</f>
        <v>383037.72</v>
      </c>
      <c r="I21" s="33">
        <f>IF(C21&gt;'A - Inputs'!$C$11,0,G21*10)</f>
        <v>638396.19999999995</v>
      </c>
      <c r="J21" s="259">
        <f t="shared" si="3"/>
        <v>-255358.47999999998</v>
      </c>
      <c r="K21" s="33">
        <f>$J21/(1+0.03)^($B21-'A - Inputs'!$C$6)</f>
        <v>-179103.30010865972</v>
      </c>
      <c r="L21" s="33">
        <f>$J21/(1+0.07)^($B21-'A - Inputs'!$C$6)</f>
        <v>-113382.2190135361</v>
      </c>
    </row>
    <row r="22" spans="2:12" x14ac:dyDescent="0.25">
      <c r="B22" s="66">
        <f t="shared" si="6"/>
        <v>2032</v>
      </c>
      <c r="C22" s="66">
        <f t="shared" si="6"/>
        <v>10</v>
      </c>
      <c r="D22" s="32">
        <f t="shared" si="0"/>
        <v>5</v>
      </c>
      <c r="E22" s="31">
        <f t="shared" si="1"/>
        <v>5</v>
      </c>
      <c r="F22" s="33">
        <f t="shared" si="2"/>
        <v>383037.72</v>
      </c>
      <c r="G22" s="39">
        <f t="shared" si="5"/>
        <v>63839.619999999995</v>
      </c>
      <c r="H22" s="33">
        <f>IF(C22&gt;'A - Inputs'!$C$11,0,G22*6)</f>
        <v>383037.72</v>
      </c>
      <c r="I22" s="33">
        <f>IF(C22&gt;'A - Inputs'!$C$11,0,G22*10)</f>
        <v>638396.19999999995</v>
      </c>
      <c r="J22" s="259">
        <f t="shared" si="3"/>
        <v>-255358.47999999998</v>
      </c>
      <c r="K22" s="33">
        <f>$J22/(1+0.03)^($B22-'A - Inputs'!$C$6)</f>
        <v>-173886.6991346211</v>
      </c>
      <c r="L22" s="33">
        <f>$J22/(1+0.07)^($B22-'A - Inputs'!$C$6)</f>
        <v>-105964.69066685617</v>
      </c>
    </row>
    <row r="23" spans="2:12" x14ac:dyDescent="0.25">
      <c r="B23" s="66">
        <f t="shared" si="6"/>
        <v>2033</v>
      </c>
      <c r="C23" s="66">
        <f t="shared" si="6"/>
        <v>11</v>
      </c>
      <c r="D23" s="32">
        <f t="shared" si="0"/>
        <v>6</v>
      </c>
      <c r="E23" s="31">
        <f t="shared" si="1"/>
        <v>6</v>
      </c>
      <c r="F23" s="33">
        <f t="shared" si="2"/>
        <v>383037.72</v>
      </c>
      <c r="G23" s="39">
        <f t="shared" si="5"/>
        <v>63839.619999999995</v>
      </c>
      <c r="H23" s="33">
        <f>IF(C23&gt;'A - Inputs'!$C$11,0,G23*6)</f>
        <v>383037.72</v>
      </c>
      <c r="I23" s="33">
        <f>IF(C23&gt;'A - Inputs'!$C$11,0,G23*10)</f>
        <v>638396.19999999995</v>
      </c>
      <c r="J23" s="259">
        <f t="shared" si="3"/>
        <v>-255358.47999999998</v>
      </c>
      <c r="K23" s="33">
        <f>$J23/(1+0.03)^($B23-'A - Inputs'!$C$6)</f>
        <v>-168822.03799477775</v>
      </c>
      <c r="L23" s="33">
        <f>$J23/(1+0.07)^($B23-'A - Inputs'!$C$6)</f>
        <v>-99032.421183977727</v>
      </c>
    </row>
    <row r="24" spans="2:12" x14ac:dyDescent="0.25">
      <c r="B24" s="66">
        <f t="shared" si="6"/>
        <v>2034</v>
      </c>
      <c r="C24" s="66">
        <f t="shared" si="6"/>
        <v>12</v>
      </c>
      <c r="D24" s="32">
        <f t="shared" si="0"/>
        <v>7</v>
      </c>
      <c r="E24" s="31">
        <f t="shared" si="1"/>
        <v>7</v>
      </c>
      <c r="F24" s="33">
        <f t="shared" si="2"/>
        <v>383037.72</v>
      </c>
      <c r="G24" s="39">
        <f t="shared" si="5"/>
        <v>63839.619999999995</v>
      </c>
      <c r="H24" s="33">
        <f>IF(C24&gt;'A - Inputs'!$C$11,0,G24*6)</f>
        <v>383037.72</v>
      </c>
      <c r="I24" s="33">
        <f>IF(C24&gt;'A - Inputs'!$C$11,0,G24*10)</f>
        <v>638396.19999999995</v>
      </c>
      <c r="J24" s="259">
        <f t="shared" si="3"/>
        <v>-255358.47999999998</v>
      </c>
      <c r="K24" s="33">
        <f>$J24/(1+0.03)^($B24-'A - Inputs'!$C$6)</f>
        <v>-163904.89125706578</v>
      </c>
      <c r="L24" s="33">
        <f>$J24/(1+0.07)^($B24-'A - Inputs'!$C$6)</f>
        <v>-92553.664657923102</v>
      </c>
    </row>
    <row r="25" spans="2:12" x14ac:dyDescent="0.25">
      <c r="B25" s="66">
        <f t="shared" si="6"/>
        <v>2035</v>
      </c>
      <c r="C25" s="66">
        <f t="shared" si="6"/>
        <v>13</v>
      </c>
      <c r="D25" s="32">
        <f t="shared" si="0"/>
        <v>8</v>
      </c>
      <c r="E25" s="31">
        <f t="shared" si="1"/>
        <v>8</v>
      </c>
      <c r="F25" s="33">
        <f t="shared" si="2"/>
        <v>383037.72</v>
      </c>
      <c r="G25" s="39">
        <f t="shared" si="5"/>
        <v>63839.619999999995</v>
      </c>
      <c r="H25" s="33">
        <f>IF(C25&gt;'A - Inputs'!$C$11,0,G25*6)</f>
        <v>383037.72</v>
      </c>
      <c r="I25" s="33">
        <f>IF(C25&gt;'A - Inputs'!$C$11,0,G25*10)</f>
        <v>638396.19999999995</v>
      </c>
      <c r="J25" s="259">
        <f t="shared" si="3"/>
        <v>-255358.47999999998</v>
      </c>
      <c r="K25" s="33">
        <f>$J25/(1+0.03)^($B25-'A - Inputs'!$C$6)</f>
        <v>-159130.96238550078</v>
      </c>
      <c r="L25" s="33">
        <f>$J25/(1+0.07)^($B25-'A - Inputs'!$C$6)</f>
        <v>-86498.752016750572</v>
      </c>
    </row>
    <row r="26" spans="2:12" x14ac:dyDescent="0.25">
      <c r="B26" s="66">
        <f t="shared" si="6"/>
        <v>2036</v>
      </c>
      <c r="C26" s="66">
        <f t="shared" si="6"/>
        <v>14</v>
      </c>
      <c r="D26" s="32">
        <f t="shared" si="0"/>
        <v>9</v>
      </c>
      <c r="E26" s="31">
        <f t="shared" si="1"/>
        <v>9</v>
      </c>
      <c r="F26" s="33">
        <f t="shared" si="2"/>
        <v>383037.72</v>
      </c>
      <c r="G26" s="39">
        <f t="shared" si="5"/>
        <v>63839.619999999995</v>
      </c>
      <c r="H26" s="33">
        <f>IF(C26&gt;'A - Inputs'!$C$11,0,G26*6)</f>
        <v>383037.72</v>
      </c>
      <c r="I26" s="33">
        <f>IF(C26&gt;'A - Inputs'!$C$11,0,G26*10)</f>
        <v>638396.19999999995</v>
      </c>
      <c r="J26" s="259">
        <f t="shared" si="3"/>
        <v>-255358.47999999998</v>
      </c>
      <c r="K26" s="33">
        <f>$J26/(1+0.03)^($B26-'A - Inputs'!$C$6)</f>
        <v>-154496.07998592308</v>
      </c>
      <c r="L26" s="33">
        <f>$J26/(1+0.07)^($B26-'A - Inputs'!$C$6)</f>
        <v>-80839.955155841657</v>
      </c>
    </row>
    <row r="27" spans="2:12" x14ac:dyDescent="0.25">
      <c r="B27" s="66">
        <f t="shared" si="6"/>
        <v>2037</v>
      </c>
      <c r="C27" s="66">
        <f t="shared" si="6"/>
        <v>15</v>
      </c>
      <c r="D27" s="32">
        <f t="shared" si="0"/>
        <v>10</v>
      </c>
      <c r="E27" s="31">
        <f t="shared" si="1"/>
        <v>10</v>
      </c>
      <c r="F27" s="33">
        <f t="shared" si="2"/>
        <v>383037.72</v>
      </c>
      <c r="G27" s="39">
        <f t="shared" si="5"/>
        <v>63839.619999999995</v>
      </c>
      <c r="H27" s="33">
        <f>IF(C27&gt;'A - Inputs'!$C$11,0,G27*6)</f>
        <v>383037.72</v>
      </c>
      <c r="I27" s="33">
        <f>IF(C27&gt;'A - Inputs'!$C$11,0,G27*10)</f>
        <v>638396.19999999995</v>
      </c>
      <c r="J27" s="259">
        <f t="shared" si="3"/>
        <v>-255358.47999999998</v>
      </c>
      <c r="K27" s="33">
        <f>$J27/(1+0.03)^($B27-'A - Inputs'!$C$6)</f>
        <v>-149996.19416109036</v>
      </c>
      <c r="L27" s="33">
        <f>$J27/(1+0.07)^($B27-'A - Inputs'!$C$6)</f>
        <v>-75551.359958730522</v>
      </c>
    </row>
    <row r="28" spans="2:12" x14ac:dyDescent="0.25">
      <c r="B28" s="66">
        <f t="shared" si="6"/>
        <v>2038</v>
      </c>
      <c r="C28" s="66">
        <f t="shared" si="6"/>
        <v>16</v>
      </c>
      <c r="D28" s="32">
        <f t="shared" si="0"/>
        <v>11</v>
      </c>
      <c r="E28" s="31">
        <f t="shared" si="1"/>
        <v>11</v>
      </c>
      <c r="F28" s="33">
        <f t="shared" si="2"/>
        <v>402189.60599999997</v>
      </c>
      <c r="G28" s="39">
        <f t="shared" si="5"/>
        <v>67031.600999999995</v>
      </c>
      <c r="H28" s="33">
        <f>IF(C28&gt;'A - Inputs'!$C$11,0,G28*6)</f>
        <v>402189.60599999997</v>
      </c>
      <c r="I28" s="33">
        <f>IF(C28&gt;'A - Inputs'!$C$11,0,G28*10)</f>
        <v>670316.01</v>
      </c>
      <c r="J28" s="259">
        <f t="shared" si="3"/>
        <v>-268126.40400000004</v>
      </c>
      <c r="K28" s="33">
        <f>$J28/(1+0.03)^($B28-'A - Inputs'!$C$6)</f>
        <v>-152908.74162052906</v>
      </c>
      <c r="L28" s="33">
        <f>$J28/(1+0.07)^($B28-'A - Inputs'!$C$6)</f>
        <v>-74139.185006230895</v>
      </c>
    </row>
    <row r="29" spans="2:12" x14ac:dyDescent="0.25">
      <c r="B29" s="66">
        <f t="shared" si="6"/>
        <v>2039</v>
      </c>
      <c r="C29" s="66">
        <f t="shared" si="6"/>
        <v>17</v>
      </c>
      <c r="D29" s="32">
        <f t="shared" si="0"/>
        <v>12</v>
      </c>
      <c r="E29" s="31">
        <f t="shared" si="1"/>
        <v>12</v>
      </c>
      <c r="F29" s="33">
        <f t="shared" si="2"/>
        <v>402189.60599999997</v>
      </c>
      <c r="G29" s="39">
        <f t="shared" si="5"/>
        <v>67031.600999999995</v>
      </c>
      <c r="H29" s="33">
        <f>IF(C29&gt;'A - Inputs'!$C$11,0,G29*6)</f>
        <v>402189.60599999997</v>
      </c>
      <c r="I29" s="33">
        <f>IF(C29&gt;'A - Inputs'!$C$11,0,G29*10)</f>
        <v>670316.01</v>
      </c>
      <c r="J29" s="259">
        <f t="shared" si="3"/>
        <v>-268126.40400000004</v>
      </c>
      <c r="K29" s="33">
        <f>$J29/(1+0.03)^($B29-'A - Inputs'!$C$6)</f>
        <v>-148455.08895196996</v>
      </c>
      <c r="L29" s="33">
        <f>$J29/(1+0.07)^($B29-'A - Inputs'!$C$6)</f>
        <v>-69288.95794974851</v>
      </c>
    </row>
    <row r="30" spans="2:12" x14ac:dyDescent="0.25">
      <c r="B30" s="66">
        <f t="shared" ref="B30:C40" si="7">B29+1</f>
        <v>2040</v>
      </c>
      <c r="C30" s="66">
        <f t="shared" si="7"/>
        <v>18</v>
      </c>
      <c r="D30" s="32">
        <f t="shared" si="0"/>
        <v>13</v>
      </c>
      <c r="E30" s="31">
        <f t="shared" si="1"/>
        <v>13</v>
      </c>
      <c r="F30" s="33">
        <f t="shared" si="2"/>
        <v>402189.60599999997</v>
      </c>
      <c r="G30" s="39">
        <f t="shared" si="5"/>
        <v>67031.600999999995</v>
      </c>
      <c r="H30" s="33">
        <f>IF(C30&gt;'A - Inputs'!$C$11,0,G30*6)</f>
        <v>402189.60599999997</v>
      </c>
      <c r="I30" s="33">
        <f>IF(C30&gt;'A - Inputs'!$C$11,0,G30*10)</f>
        <v>670316.01</v>
      </c>
      <c r="J30" s="259">
        <f t="shared" si="3"/>
        <v>-268126.40400000004</v>
      </c>
      <c r="K30" s="33">
        <f>$J30/(1+0.03)^($B30-'A - Inputs'!$C$6)</f>
        <v>-144131.15432230095</v>
      </c>
      <c r="L30" s="33">
        <f>$J30/(1+0.07)^($B30-'A - Inputs'!$C$6)</f>
        <v>-64756.035467054673</v>
      </c>
    </row>
    <row r="31" spans="2:12" x14ac:dyDescent="0.25">
      <c r="B31" s="66">
        <f t="shared" si="7"/>
        <v>2041</v>
      </c>
      <c r="C31" s="66">
        <f t="shared" si="7"/>
        <v>19</v>
      </c>
      <c r="D31" s="32">
        <f t="shared" si="0"/>
        <v>14</v>
      </c>
      <c r="E31" s="31">
        <f t="shared" si="1"/>
        <v>14</v>
      </c>
      <c r="F31" s="33">
        <f t="shared" si="2"/>
        <v>402189.60599999997</v>
      </c>
      <c r="G31" s="39">
        <f t="shared" si="5"/>
        <v>67031.600999999995</v>
      </c>
      <c r="H31" s="33">
        <f>IF(C31&gt;'A - Inputs'!$C$11,0,G31*6)</f>
        <v>402189.60599999997</v>
      </c>
      <c r="I31" s="33">
        <f>IF(C31&gt;'A - Inputs'!$C$11,0,G31*10)</f>
        <v>670316.01</v>
      </c>
      <c r="J31" s="259">
        <f t="shared" si="3"/>
        <v>-268126.40400000004</v>
      </c>
      <c r="K31" s="33">
        <f>$J31/(1+0.03)^($B31-'A - Inputs'!$C$6)</f>
        <v>-139933.15953621452</v>
      </c>
      <c r="L31" s="33">
        <f>$J31/(1+0.07)^($B31-'A - Inputs'!$C$6)</f>
        <v>-60519.65931500437</v>
      </c>
    </row>
    <row r="32" spans="2:12" x14ac:dyDescent="0.25">
      <c r="B32" s="66">
        <f t="shared" si="7"/>
        <v>2042</v>
      </c>
      <c r="C32" s="66">
        <f t="shared" si="7"/>
        <v>20</v>
      </c>
      <c r="D32" s="32">
        <f t="shared" si="0"/>
        <v>15</v>
      </c>
      <c r="E32" s="31">
        <f t="shared" si="1"/>
        <v>15</v>
      </c>
      <c r="F32" s="33">
        <f t="shared" si="2"/>
        <v>402189.60599999997</v>
      </c>
      <c r="G32" s="39">
        <f t="shared" si="5"/>
        <v>67031.600999999995</v>
      </c>
      <c r="H32" s="33">
        <f>IF(C32&gt;'A - Inputs'!$C$11,0,G32*6)</f>
        <v>402189.60599999997</v>
      </c>
      <c r="I32" s="33">
        <f>IF(C32&gt;'A - Inputs'!$C$11,0,G32*10)</f>
        <v>670316.01</v>
      </c>
      <c r="J32" s="259">
        <f t="shared" si="3"/>
        <v>-268126.40400000004</v>
      </c>
      <c r="K32" s="33">
        <f>$J32/(1+0.03)^($B32-'A - Inputs'!$C$6)</f>
        <v>-135857.4364429267</v>
      </c>
      <c r="L32" s="33">
        <f>$J32/(1+0.07)^($B32-'A - Inputs'!$C$6)</f>
        <v>-56560.42926635922</v>
      </c>
    </row>
    <row r="33" spans="2:12" x14ac:dyDescent="0.25">
      <c r="B33" s="66">
        <f t="shared" si="7"/>
        <v>2043</v>
      </c>
      <c r="C33" s="66">
        <f t="shared" si="7"/>
        <v>21</v>
      </c>
      <c r="D33" s="32">
        <f t="shared" si="0"/>
        <v>16</v>
      </c>
      <c r="E33" s="31">
        <f t="shared" si="1"/>
        <v>16</v>
      </c>
      <c r="F33" s="33">
        <f t="shared" si="2"/>
        <v>402189.60599999997</v>
      </c>
      <c r="G33" s="39">
        <f t="shared" si="5"/>
        <v>67031.600999999995</v>
      </c>
      <c r="H33" s="33">
        <f>IF(C33&gt;'A - Inputs'!$C$11,0,G33*6)</f>
        <v>402189.60599999997</v>
      </c>
      <c r="I33" s="33">
        <f>IF(C33&gt;'A - Inputs'!$C$11,0,G33*10)</f>
        <v>670316.01</v>
      </c>
      <c r="J33" s="259">
        <f t="shared" si="3"/>
        <v>-268126.40400000004</v>
      </c>
      <c r="K33" s="33">
        <f>$J33/(1+0.03)^($B33-'A - Inputs'!$C$6)</f>
        <v>-131900.42373099682</v>
      </c>
      <c r="L33" s="33">
        <f>$J33/(1+0.07)^($B33-'A - Inputs'!$C$6)</f>
        <v>-52860.214267625437</v>
      </c>
    </row>
    <row r="34" spans="2:12" x14ac:dyDescent="0.25">
      <c r="B34" s="66">
        <f t="shared" si="7"/>
        <v>2044</v>
      </c>
      <c r="C34" s="66">
        <f t="shared" si="7"/>
        <v>22</v>
      </c>
      <c r="D34" s="32">
        <f t="shared" si="0"/>
        <v>17</v>
      </c>
      <c r="E34" s="31">
        <f t="shared" si="1"/>
        <v>17</v>
      </c>
      <c r="F34" s="33">
        <f t="shared" si="2"/>
        <v>402189.60599999997</v>
      </c>
      <c r="G34" s="39">
        <f t="shared" si="5"/>
        <v>67031.600999999995</v>
      </c>
      <c r="H34" s="33">
        <f>IF(C34&gt;'A - Inputs'!$C$11,0,G34*6)</f>
        <v>402189.60599999997</v>
      </c>
      <c r="I34" s="33">
        <f>IF(C34&gt;'A - Inputs'!$C$11,0,G34*10)</f>
        <v>670316.01</v>
      </c>
      <c r="J34" s="259">
        <f t="shared" si="3"/>
        <v>-268126.40400000004</v>
      </c>
      <c r="K34" s="33">
        <f>$J34/(1+0.03)^($B34-'A - Inputs'!$C$6)</f>
        <v>-128058.66381650176</v>
      </c>
      <c r="L34" s="33">
        <f>$J34/(1+0.07)^($B34-'A - Inputs'!$C$6)</f>
        <v>-49402.069408995732</v>
      </c>
    </row>
    <row r="35" spans="2:12" x14ac:dyDescent="0.25">
      <c r="B35" s="66">
        <f t="shared" si="7"/>
        <v>2045</v>
      </c>
      <c r="C35" s="66">
        <f t="shared" si="7"/>
        <v>23</v>
      </c>
      <c r="D35" s="32">
        <f t="shared" si="0"/>
        <v>18</v>
      </c>
      <c r="E35" s="31">
        <f t="shared" si="1"/>
        <v>18</v>
      </c>
      <c r="F35" s="33">
        <f t="shared" si="2"/>
        <v>402189.60599999997</v>
      </c>
      <c r="G35" s="39">
        <f t="shared" si="5"/>
        <v>67031.600999999995</v>
      </c>
      <c r="H35" s="33">
        <f>IF(C35&gt;'A - Inputs'!$C$11,0,G35*6)</f>
        <v>402189.60599999997</v>
      </c>
      <c r="I35" s="33">
        <f>IF(C35&gt;'A - Inputs'!$C$11,0,G35*10)</f>
        <v>670316.01</v>
      </c>
      <c r="J35" s="259">
        <f t="shared" si="3"/>
        <v>-268126.40400000004</v>
      </c>
      <c r="K35" s="33">
        <f>$J35/(1+0.03)^($B35-'A - Inputs'!$C$6)</f>
        <v>-124328.79982184635</v>
      </c>
      <c r="L35" s="33">
        <f>$J35/(1+0.07)^($B35-'A - Inputs'!$C$6)</f>
        <v>-46170.158326164244</v>
      </c>
    </row>
    <row r="36" spans="2:12" x14ac:dyDescent="0.25">
      <c r="B36" s="66">
        <f t="shared" si="7"/>
        <v>2046</v>
      </c>
      <c r="C36" s="66">
        <f t="shared" si="7"/>
        <v>24</v>
      </c>
      <c r="D36" s="32">
        <f t="shared" si="0"/>
        <v>19</v>
      </c>
      <c r="E36" s="31">
        <f t="shared" si="1"/>
        <v>19</v>
      </c>
      <c r="F36" s="33">
        <f t="shared" si="2"/>
        <v>402189.60599999997</v>
      </c>
      <c r="G36" s="39">
        <f t="shared" si="5"/>
        <v>67031.600999999995</v>
      </c>
      <c r="H36" s="33">
        <f>IF(C36&gt;'A - Inputs'!$C$11,0,G36*6)</f>
        <v>402189.60599999997</v>
      </c>
      <c r="I36" s="33">
        <f>IF(C36&gt;'A - Inputs'!$C$11,0,G36*10)</f>
        <v>670316.01</v>
      </c>
      <c r="J36" s="259">
        <f t="shared" si="3"/>
        <v>-268126.40400000004</v>
      </c>
      <c r="K36" s="33">
        <f>$J36/(1+0.03)^($B36-'A - Inputs'!$C$6)</f>
        <v>-120707.57264256928</v>
      </c>
      <c r="L36" s="33">
        <f>$J36/(1+0.07)^($B36-'A - Inputs'!$C$6)</f>
        <v>-43149.680678658158</v>
      </c>
    </row>
    <row r="37" spans="2:12" x14ac:dyDescent="0.25">
      <c r="B37" s="66">
        <f t="shared" si="7"/>
        <v>2047</v>
      </c>
      <c r="C37" s="66">
        <f t="shared" si="7"/>
        <v>25</v>
      </c>
      <c r="D37" s="32">
        <f t="shared" si="0"/>
        <v>20</v>
      </c>
      <c r="E37" s="31">
        <f t="shared" si="1"/>
        <v>20</v>
      </c>
      <c r="F37" s="33">
        <f t="shared" si="2"/>
        <v>402189.60599999997</v>
      </c>
      <c r="G37" s="39">
        <f t="shared" si="5"/>
        <v>67031.600999999995</v>
      </c>
      <c r="H37" s="33">
        <f>IF(C37&gt;'A - Inputs'!$C$11,0,G37*6)</f>
        <v>402189.60599999997</v>
      </c>
      <c r="I37" s="33">
        <f>IF(C37&gt;'A - Inputs'!$C$11,0,G37*10)</f>
        <v>670316.01</v>
      </c>
      <c r="J37" s="259">
        <f t="shared" si="3"/>
        <v>-268126.40400000004</v>
      </c>
      <c r="K37" s="33">
        <f>$J37/(1+0.03)^($B37-'A - Inputs'!$C$6)</f>
        <v>-117191.81809958183</v>
      </c>
      <c r="L37" s="33">
        <f>$J37/(1+0.07)^($B37-'A - Inputs'!$C$6)</f>
        <v>-40326.804372577732</v>
      </c>
    </row>
    <row r="38" spans="2:12" x14ac:dyDescent="0.25">
      <c r="B38" s="66">
        <f t="shared" si="7"/>
        <v>2048</v>
      </c>
      <c r="C38" s="66">
        <f t="shared" si="7"/>
        <v>26</v>
      </c>
      <c r="D38" s="32">
        <f t="shared" si="0"/>
        <v>21</v>
      </c>
      <c r="E38" s="31">
        <f t="shared" si="1"/>
        <v>21</v>
      </c>
      <c r="F38" s="33">
        <f t="shared" si="2"/>
        <v>422299.08629999997</v>
      </c>
      <c r="G38" s="39">
        <f t="shared" si="5"/>
        <v>70383.181049999999</v>
      </c>
      <c r="H38" s="33">
        <f>IF(C38&gt;'A - Inputs'!$C$11,0,G38*6)</f>
        <v>0</v>
      </c>
      <c r="I38" s="33">
        <f>IF(C38&gt;'A - Inputs'!$C$11,0,G38*10)</f>
        <v>0</v>
      </c>
      <c r="J38" s="259">
        <f t="shared" si="3"/>
        <v>0</v>
      </c>
      <c r="K38" s="33">
        <f>$J38/(1+0.03)^($B38-'A - Inputs'!$C$6)</f>
        <v>0</v>
      </c>
      <c r="L38" s="33">
        <f>$J38/(1+0.07)^($B38-'A - Inputs'!$C$6)</f>
        <v>0</v>
      </c>
    </row>
    <row r="39" spans="2:12" x14ac:dyDescent="0.25">
      <c r="B39" s="66">
        <f t="shared" si="7"/>
        <v>2049</v>
      </c>
      <c r="C39" s="66">
        <f t="shared" si="7"/>
        <v>27</v>
      </c>
      <c r="D39" s="32">
        <f t="shared" si="0"/>
        <v>22</v>
      </c>
      <c r="E39" s="31">
        <f t="shared" si="1"/>
        <v>22</v>
      </c>
      <c r="F39" s="33">
        <f t="shared" si="2"/>
        <v>422299.08629999997</v>
      </c>
      <c r="G39" s="39">
        <f t="shared" si="5"/>
        <v>70383.181049999999</v>
      </c>
      <c r="H39" s="33">
        <f>IF(C39&gt;'A - Inputs'!$C$11,0,G39*6)</f>
        <v>0</v>
      </c>
      <c r="I39" s="33">
        <f>IF(C39&gt;'A - Inputs'!$C$11,0,G39*10)</f>
        <v>0</v>
      </c>
      <c r="J39" s="259">
        <f t="shared" si="3"/>
        <v>0</v>
      </c>
      <c r="K39" s="33">
        <f>$J39/(1+0.03)^($B39-'A - Inputs'!$C$6)</f>
        <v>0</v>
      </c>
      <c r="L39" s="33">
        <f>$J39/(1+0.07)^($B39-'A - Inputs'!$C$6)</f>
        <v>0</v>
      </c>
    </row>
    <row r="40" spans="2:12" x14ac:dyDescent="0.25">
      <c r="B40" s="66">
        <f t="shared" si="7"/>
        <v>2050</v>
      </c>
      <c r="C40" s="66">
        <f t="shared" si="7"/>
        <v>28</v>
      </c>
      <c r="D40" s="32">
        <f t="shared" si="0"/>
        <v>23</v>
      </c>
      <c r="E40" s="31">
        <f t="shared" si="1"/>
        <v>23</v>
      </c>
      <c r="F40" s="33">
        <f t="shared" si="2"/>
        <v>422299.08629999997</v>
      </c>
      <c r="G40" s="39">
        <f t="shared" si="5"/>
        <v>70383.181049999999</v>
      </c>
      <c r="H40" s="33">
        <f>IF(C40&gt;'A - Inputs'!$C$11,0,G40*6)</f>
        <v>0</v>
      </c>
      <c r="I40" s="33">
        <f>IF(C40&gt;'A - Inputs'!$C$11,0,G40*10)</f>
        <v>0</v>
      </c>
      <c r="J40" s="259">
        <f t="shared" si="3"/>
        <v>0</v>
      </c>
      <c r="K40" s="33">
        <f>$J40/(1+0.03)^($B40-'A - Inputs'!$C$6)</f>
        <v>0</v>
      </c>
      <c r="L40" s="33">
        <f>$J40/(1+0.07)^($B40-'A - Inputs'!$C$6)</f>
        <v>0</v>
      </c>
    </row>
    <row r="41" spans="2:12" x14ac:dyDescent="0.25">
      <c r="B41" s="66">
        <f t="shared" ref="B41:C41" si="8">B40+1</f>
        <v>2051</v>
      </c>
      <c r="C41" s="66">
        <f t="shared" si="8"/>
        <v>29</v>
      </c>
      <c r="D41" s="32">
        <f t="shared" ref="D41:D45" si="9">MAX(B41-_xlfn.SINGLE(BenefitStart)+1,0)</f>
        <v>24</v>
      </c>
      <c r="E41" s="31">
        <f t="shared" si="1"/>
        <v>24</v>
      </c>
      <c r="F41" s="33">
        <f t="shared" si="2"/>
        <v>422299.08629999997</v>
      </c>
      <c r="G41" s="39">
        <f t="shared" si="5"/>
        <v>70383.181049999999</v>
      </c>
      <c r="H41" s="33">
        <f>IF(C41&gt;'A - Inputs'!$C$11,0,G41*6)</f>
        <v>0</v>
      </c>
      <c r="I41" s="33">
        <f>IF(C41&gt;'A - Inputs'!$C$11,0,G41*10)</f>
        <v>0</v>
      </c>
      <c r="J41" s="259">
        <f t="shared" si="3"/>
        <v>0</v>
      </c>
      <c r="K41" s="33">
        <f>$J41/(1+0.03)^($B41-'A - Inputs'!$C$6)</f>
        <v>0</v>
      </c>
      <c r="L41" s="33">
        <f>$J41/(1+0.07)^($B41-'A - Inputs'!$C$6)</f>
        <v>0</v>
      </c>
    </row>
    <row r="42" spans="2:12" x14ac:dyDescent="0.25">
      <c r="B42" s="66">
        <f t="shared" ref="B42:C42" si="10">B41+1</f>
        <v>2052</v>
      </c>
      <c r="C42" s="66">
        <f t="shared" si="10"/>
        <v>30</v>
      </c>
      <c r="D42" s="32">
        <f t="shared" si="9"/>
        <v>25</v>
      </c>
      <c r="E42" s="31">
        <f t="shared" si="1"/>
        <v>25</v>
      </c>
      <c r="F42" s="33">
        <f t="shared" si="2"/>
        <v>422299.08629999997</v>
      </c>
      <c r="G42" s="39">
        <f t="shared" si="5"/>
        <v>70383.181049999999</v>
      </c>
      <c r="H42" s="33">
        <f>IF(C42&gt;'A - Inputs'!$C$11,0,G42*6)</f>
        <v>0</v>
      </c>
      <c r="I42" s="33">
        <f>IF(C42&gt;'A - Inputs'!$C$11,0,G42*10)</f>
        <v>0</v>
      </c>
      <c r="J42" s="259">
        <f t="shared" si="3"/>
        <v>0</v>
      </c>
      <c r="K42" s="33">
        <f>$J42/(1+0.03)^($B42-'A - Inputs'!$C$6)</f>
        <v>0</v>
      </c>
      <c r="L42" s="33">
        <f>$J42/(1+0.07)^($B42-'A - Inputs'!$C$6)</f>
        <v>0</v>
      </c>
    </row>
    <row r="43" spans="2:12" x14ac:dyDescent="0.25">
      <c r="B43" s="66">
        <f t="shared" ref="B43:C43" si="11">B42+1</f>
        <v>2053</v>
      </c>
      <c r="C43" s="66">
        <f t="shared" si="11"/>
        <v>31</v>
      </c>
      <c r="D43" s="32">
        <f t="shared" si="9"/>
        <v>26</v>
      </c>
      <c r="E43" s="31">
        <f t="shared" si="1"/>
        <v>26</v>
      </c>
      <c r="F43" s="33">
        <f t="shared" si="2"/>
        <v>422299.08629999997</v>
      </c>
      <c r="G43" s="39">
        <f t="shared" si="5"/>
        <v>70383.181049999999</v>
      </c>
      <c r="H43" s="33">
        <f>IF(C43&gt;'A - Inputs'!$C$11,0,G43*6)</f>
        <v>0</v>
      </c>
      <c r="I43" s="33">
        <f>IF(C43&gt;'A - Inputs'!$C$11,0,G43*10)</f>
        <v>0</v>
      </c>
      <c r="J43" s="259">
        <f t="shared" si="3"/>
        <v>0</v>
      </c>
      <c r="K43" s="33">
        <f>$J43/(1+0.03)^($B43-'A - Inputs'!$C$6)</f>
        <v>0</v>
      </c>
      <c r="L43" s="33">
        <f>$J43/(1+0.07)^($B43-'A - Inputs'!$C$6)</f>
        <v>0</v>
      </c>
    </row>
    <row r="44" spans="2:12" x14ac:dyDescent="0.25">
      <c r="B44" s="66">
        <f t="shared" ref="B44:C44" si="12">B43+1</f>
        <v>2054</v>
      </c>
      <c r="C44" s="66">
        <f t="shared" si="12"/>
        <v>32</v>
      </c>
      <c r="D44" s="32">
        <f t="shared" si="9"/>
        <v>27</v>
      </c>
      <c r="E44" s="31">
        <f t="shared" si="1"/>
        <v>27</v>
      </c>
      <c r="F44" s="33">
        <f t="shared" si="2"/>
        <v>422299.08629999997</v>
      </c>
      <c r="G44" s="39">
        <f t="shared" si="5"/>
        <v>70383.181049999999</v>
      </c>
      <c r="H44" s="33">
        <f>IF(C44&gt;'A - Inputs'!$C$11,0,G44*6)</f>
        <v>0</v>
      </c>
      <c r="I44" s="33">
        <f>IF(C44&gt;'A - Inputs'!$C$11,0,G44*10)</f>
        <v>0</v>
      </c>
      <c r="J44" s="259">
        <f t="shared" si="3"/>
        <v>0</v>
      </c>
      <c r="K44" s="33">
        <f>$J44/(1+0.03)^($B44-'A - Inputs'!$C$6)</f>
        <v>0</v>
      </c>
      <c r="L44" s="33">
        <f>$J44/(1+0.07)^($B44-'A - Inputs'!$C$6)</f>
        <v>0</v>
      </c>
    </row>
    <row r="45" spans="2:12" x14ac:dyDescent="0.25">
      <c r="B45" s="66">
        <f t="shared" ref="B45:C45" si="13">B44+1</f>
        <v>2055</v>
      </c>
      <c r="C45" s="66">
        <f t="shared" si="13"/>
        <v>33</v>
      </c>
      <c r="D45" s="32">
        <f t="shared" si="9"/>
        <v>28</v>
      </c>
      <c r="E45" s="31">
        <f t="shared" si="1"/>
        <v>28</v>
      </c>
      <c r="F45" s="33">
        <f t="shared" si="2"/>
        <v>422299.08629999997</v>
      </c>
      <c r="G45" s="39">
        <f t="shared" si="5"/>
        <v>70383.181049999999</v>
      </c>
      <c r="H45" s="33">
        <f>IF(C45&gt;'A - Inputs'!$C$11,0,G45*6)</f>
        <v>0</v>
      </c>
      <c r="I45" s="33">
        <f>IF(C45&gt;'A - Inputs'!$C$11,0,G45*10)</f>
        <v>0</v>
      </c>
      <c r="J45" s="259">
        <f t="shared" si="3"/>
        <v>0</v>
      </c>
      <c r="K45" s="33">
        <f>$J45/(1+0.03)^($B45-'A - Inputs'!$C$6)</f>
        <v>0</v>
      </c>
      <c r="L45" s="33">
        <f>$J45/(1+0.07)^($B45-'A - Inputs'!$C$6)</f>
        <v>0</v>
      </c>
    </row>
    <row r="46" spans="2:12" x14ac:dyDescent="0.25">
      <c r="B46" s="66">
        <f t="shared" ref="B46:C46" si="14">B45+1</f>
        <v>2056</v>
      </c>
      <c r="C46" s="66">
        <f t="shared" si="14"/>
        <v>34</v>
      </c>
      <c r="D46" s="32">
        <f t="shared" ref="D46:D47" si="15">MAX(B46-_xlfn.SINGLE(BenefitStart)+1,0)</f>
        <v>29</v>
      </c>
      <c r="E46" s="31">
        <f t="shared" ref="E46:E47" si="16">IF(B46&lt;2028,0,IF(B46=2028,1,E45+1))</f>
        <v>29</v>
      </c>
      <c r="F46" s="33">
        <f t="shared" si="2"/>
        <v>422299.08629999997</v>
      </c>
      <c r="G46" s="39">
        <f t="shared" si="5"/>
        <v>70383.181049999999</v>
      </c>
      <c r="H46" s="33">
        <f>IF(C46&gt;'A - Inputs'!$C$11,0,G46*6)</f>
        <v>0</v>
      </c>
      <c r="I46" s="33">
        <f>IF(C46&gt;'A - Inputs'!$C$11,0,G46*10)</f>
        <v>0</v>
      </c>
      <c r="J46" s="259">
        <f t="shared" ref="J46:J47" si="17">H46-I46</f>
        <v>0</v>
      </c>
      <c r="K46" s="33">
        <f>$J46/(1+0.03)^($B46-'A - Inputs'!$C$6)</f>
        <v>0</v>
      </c>
      <c r="L46" s="33">
        <f>$J46/(1+0.07)^($B46-'A - Inputs'!$C$6)</f>
        <v>0</v>
      </c>
    </row>
    <row r="47" spans="2:12" x14ac:dyDescent="0.25">
      <c r="B47" s="66">
        <f t="shared" ref="B47:C47" si="18">B46+1</f>
        <v>2057</v>
      </c>
      <c r="C47" s="66">
        <f t="shared" si="18"/>
        <v>35</v>
      </c>
      <c r="D47" s="32">
        <f t="shared" si="15"/>
        <v>30</v>
      </c>
      <c r="E47" s="31">
        <f t="shared" si="16"/>
        <v>30</v>
      </c>
      <c r="F47" s="33">
        <f t="shared" si="2"/>
        <v>422299.08629999997</v>
      </c>
      <c r="G47" s="39">
        <f t="shared" si="5"/>
        <v>70383.181049999999</v>
      </c>
      <c r="H47" s="33">
        <f>IF(C47&gt;'A - Inputs'!$C$11,0,G47*6)</f>
        <v>0</v>
      </c>
      <c r="I47" s="33">
        <f>IF(C47&gt;'A - Inputs'!$C$11,0,G47*10)</f>
        <v>0</v>
      </c>
      <c r="J47" s="259">
        <f t="shared" si="17"/>
        <v>0</v>
      </c>
      <c r="K47" s="33">
        <f>$J47/(1+0.03)^($B47-'A - Inputs'!$C$6)</f>
        <v>0</v>
      </c>
      <c r="L47" s="33">
        <f>$J47/(1+0.07)^($B47-'A - Inputs'!$C$6)</f>
        <v>0</v>
      </c>
    </row>
    <row r="48" spans="2:12" x14ac:dyDescent="0.25">
      <c r="B48" s="100"/>
      <c r="C48" s="100"/>
      <c r="D48" s="104"/>
      <c r="E48" s="428"/>
      <c r="F48" s="428"/>
      <c r="G48" s="104"/>
      <c r="H48" s="45">
        <f>SUM(H12:H47)</f>
        <v>7852273.2599999961</v>
      </c>
      <c r="I48" s="45">
        <f>SUM(I12:I47)</f>
        <v>13087122.1</v>
      </c>
      <c r="J48" s="260">
        <f t="shared" ref="J48:K48" si="19">SUM(J12:J47)</f>
        <v>-5234848.8400000008</v>
      </c>
      <c r="K48" s="45">
        <f t="shared" si="19"/>
        <v>-3063011.1260281075</v>
      </c>
      <c r="L48" s="45">
        <f>SUM(L12:L47)</f>
        <v>-1601024.6273321155</v>
      </c>
    </row>
    <row r="49" spans="2:2" ht="15" customHeight="1" x14ac:dyDescent="0.25"/>
    <row r="50" spans="2:2" s="261" customFormat="1" ht="15" customHeight="1" x14ac:dyDescent="0.25">
      <c r="B50" s="64"/>
    </row>
    <row r="51" spans="2:2" ht="15" customHeight="1" x14ac:dyDescent="0.25"/>
    <row r="52" spans="2:2" ht="15" customHeight="1" x14ac:dyDescent="0.25"/>
  </sheetData>
  <pageMargins left="0.7" right="0.7" top="0.75" bottom="0.75" header="0.3" footer="0.3"/>
  <pageSetup scale="65" orientation="landscape" r:id="rId1"/>
  <headerFooter>
    <oddHeader>&amp;L&amp;"Arial,Bold"FDOT - INFRA Grant for I-95&amp;R&amp;"Arial,Bold"&amp;A</oddHeader>
    <oddFooter>&amp;CPage F-&amp;P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C9947-4306-4E43-8F29-8A5BA08C13A7}">
  <sheetPr codeName="Sheet7"/>
  <dimension ref="A1:AM62"/>
  <sheetViews>
    <sheetView view="pageLayout" topLeftCell="A43" zoomScaleNormal="80" workbookViewId="0">
      <selection activeCell="O63" sqref="O63"/>
    </sheetView>
  </sheetViews>
  <sheetFormatPr defaultColWidth="8.7109375" defaultRowHeight="15" x14ac:dyDescent="0.25"/>
  <cols>
    <col min="1" max="1" width="3" style="160" bestFit="1" customWidth="1"/>
    <col min="2" max="2" width="20.5703125" style="160" bestFit="1" customWidth="1"/>
    <col min="3" max="3" width="34.140625" style="160" bestFit="1" customWidth="1"/>
    <col min="4" max="4" width="8.85546875" style="160" bestFit="1" customWidth="1"/>
    <col min="5" max="6" width="8.42578125" style="160" customWidth="1"/>
    <col min="7" max="10" width="11.140625" style="160" customWidth="1"/>
    <col min="11" max="11" width="11.140625" style="161" customWidth="1"/>
    <col min="12" max="27" width="11.140625" style="160" customWidth="1"/>
    <col min="28" max="28" width="12.42578125" style="160" bestFit="1" customWidth="1"/>
    <col min="29" max="35" width="11.140625" style="160" customWidth="1"/>
    <col min="36" max="37" width="12.42578125" style="160" bestFit="1" customWidth="1"/>
    <col min="38" max="39" width="12.85546875" style="160" bestFit="1" customWidth="1"/>
    <col min="40" max="16384" width="8.7109375" style="160"/>
  </cols>
  <sheetData>
    <row r="1" spans="1:27" x14ac:dyDescent="0.25">
      <c r="E1" s="15" t="s">
        <v>114</v>
      </c>
      <c r="F1" s="440"/>
      <c r="G1" s="191"/>
      <c r="H1" s="191"/>
      <c r="I1" s="192"/>
      <c r="J1" s="17" t="s">
        <v>115</v>
      </c>
      <c r="K1" s="18"/>
      <c r="L1" s="18"/>
      <c r="M1" s="18"/>
      <c r="N1" s="19"/>
      <c r="O1" s="29" t="s">
        <v>116</v>
      </c>
      <c r="P1" s="29"/>
      <c r="Q1" s="29"/>
      <c r="R1" s="29"/>
    </row>
    <row r="2" spans="1:27" s="161" customFormat="1" ht="45" x14ac:dyDescent="0.25">
      <c r="A2" s="47" t="s">
        <v>117</v>
      </c>
      <c r="B2" s="47" t="s">
        <v>118</v>
      </c>
      <c r="C2" s="47" t="s">
        <v>119</v>
      </c>
      <c r="D2" s="48" t="s">
        <v>120</v>
      </c>
      <c r="E2" s="12" t="s">
        <v>121</v>
      </c>
      <c r="F2" s="14" t="s">
        <v>47</v>
      </c>
      <c r="G2" s="191" t="s">
        <v>194</v>
      </c>
      <c r="H2" s="439"/>
      <c r="I2" s="13"/>
      <c r="J2" s="12" t="s">
        <v>122</v>
      </c>
      <c r="K2" s="13" t="s">
        <v>123</v>
      </c>
      <c r="L2" s="13" t="s">
        <v>124</v>
      </c>
      <c r="M2" s="13" t="s">
        <v>125</v>
      </c>
      <c r="N2" s="14" t="s">
        <v>126</v>
      </c>
      <c r="O2" s="443" t="s">
        <v>127</v>
      </c>
      <c r="P2" s="444" t="s">
        <v>128</v>
      </c>
      <c r="Q2" s="444" t="s">
        <v>129</v>
      </c>
      <c r="R2" s="445" t="s">
        <v>417</v>
      </c>
    </row>
    <row r="3" spans="1:27" x14ac:dyDescent="0.25">
      <c r="A3" s="160">
        <v>1</v>
      </c>
      <c r="B3" s="163" t="s">
        <v>130</v>
      </c>
      <c r="C3" s="164" t="s">
        <v>131</v>
      </c>
      <c r="D3" s="540">
        <v>2.2450000000000001</v>
      </c>
      <c r="E3" s="158">
        <v>58.5</v>
      </c>
      <c r="F3" s="441">
        <v>44.6</v>
      </c>
      <c r="G3" s="160" t="s">
        <v>134</v>
      </c>
      <c r="I3" s="187"/>
      <c r="J3" s="145">
        <v>6.0000000000000001E-3</v>
      </c>
      <c r="K3" s="145">
        <v>3.5000000000000003E-2</v>
      </c>
      <c r="L3" s="145">
        <v>0.113</v>
      </c>
      <c r="M3" s="145">
        <v>0.20599999999999999</v>
      </c>
      <c r="N3" s="442">
        <v>0.64100000000000001</v>
      </c>
      <c r="O3" s="446" t="s">
        <v>126</v>
      </c>
      <c r="P3" s="447" t="s">
        <v>132</v>
      </c>
      <c r="Q3" s="447" t="s">
        <v>133</v>
      </c>
      <c r="R3" s="448">
        <v>3700</v>
      </c>
      <c r="S3" s="166"/>
      <c r="AA3" s="167"/>
    </row>
    <row r="4" spans="1:27" x14ac:dyDescent="0.25">
      <c r="A4" s="160">
        <f>A3+1</f>
        <v>2</v>
      </c>
      <c r="B4" s="163" t="s">
        <v>130</v>
      </c>
      <c r="C4" s="164" t="s">
        <v>135</v>
      </c>
      <c r="D4" s="541">
        <v>0.38</v>
      </c>
      <c r="E4" s="158">
        <v>26.2</v>
      </c>
      <c r="F4" s="441">
        <v>18.600000000000001</v>
      </c>
      <c r="G4" s="160" t="s">
        <v>134</v>
      </c>
      <c r="I4" s="188"/>
      <c r="J4" s="145">
        <v>6.0000000000000001E-3</v>
      </c>
      <c r="K4" s="145">
        <v>3.5000000000000003E-2</v>
      </c>
      <c r="L4" s="145">
        <v>0.113</v>
      </c>
      <c r="M4" s="145">
        <v>0.20599999999999999</v>
      </c>
      <c r="N4" s="442">
        <v>0.64100000000000001</v>
      </c>
      <c r="O4" s="446"/>
      <c r="P4" s="447"/>
      <c r="Q4" s="447"/>
      <c r="R4" s="448"/>
      <c r="S4" s="166"/>
      <c r="AA4" s="167"/>
    </row>
    <row r="5" spans="1:27" s="9" customFormat="1" x14ac:dyDescent="0.25">
      <c r="A5" s="160">
        <f t="shared" ref="A5:A9" si="0">A4+1</f>
        <v>3</v>
      </c>
      <c r="B5" s="157" t="s">
        <v>130</v>
      </c>
      <c r="C5" s="10" t="s">
        <v>136</v>
      </c>
      <c r="D5" s="540">
        <v>1.8109999999999999</v>
      </c>
      <c r="E5" s="158">
        <v>104.3</v>
      </c>
      <c r="F5" s="441">
        <v>69.900000000000006</v>
      </c>
      <c r="G5" s="23" t="s">
        <v>134</v>
      </c>
      <c r="I5" s="187"/>
      <c r="J5" s="145">
        <v>6.0000000000000001E-3</v>
      </c>
      <c r="K5" s="145">
        <v>3.5000000000000003E-2</v>
      </c>
      <c r="L5" s="145">
        <v>0.113</v>
      </c>
      <c r="M5" s="145">
        <v>0.20599999999999999</v>
      </c>
      <c r="N5" s="442">
        <v>0.64100000000000001</v>
      </c>
      <c r="O5" s="446" t="s">
        <v>125</v>
      </c>
      <c r="P5" s="447" t="s">
        <v>137</v>
      </c>
      <c r="Q5" s="447" t="s">
        <v>138</v>
      </c>
      <c r="R5" s="448">
        <v>72500</v>
      </c>
      <c r="AA5" s="167"/>
    </row>
    <row r="6" spans="1:27" s="9" customFormat="1" x14ac:dyDescent="0.25">
      <c r="A6" s="160">
        <f t="shared" si="0"/>
        <v>4</v>
      </c>
      <c r="B6" s="157" t="s">
        <v>130</v>
      </c>
      <c r="C6" s="10" t="s">
        <v>139</v>
      </c>
      <c r="D6" s="540">
        <v>1.492</v>
      </c>
      <c r="E6" s="158">
        <v>52.2</v>
      </c>
      <c r="F6" s="441">
        <v>35</v>
      </c>
      <c r="G6" s="23" t="s">
        <v>134</v>
      </c>
      <c r="I6" s="188"/>
      <c r="J6" s="145">
        <v>6.0000000000000001E-3</v>
      </c>
      <c r="K6" s="145">
        <v>3.5000000000000003E-2</v>
      </c>
      <c r="L6" s="145">
        <v>0.113</v>
      </c>
      <c r="M6" s="145">
        <v>0.20599999999999999</v>
      </c>
      <c r="N6" s="442">
        <v>0.64100000000000001</v>
      </c>
      <c r="O6" s="446" t="s">
        <v>124</v>
      </c>
      <c r="P6" s="447" t="s">
        <v>140</v>
      </c>
      <c r="Q6" s="447" t="s">
        <v>141</v>
      </c>
      <c r="R6" s="448">
        <v>142000</v>
      </c>
      <c r="AA6" s="167"/>
    </row>
    <row r="7" spans="1:27" ht="30" x14ac:dyDescent="0.25">
      <c r="A7" s="160">
        <f t="shared" si="0"/>
        <v>5</v>
      </c>
      <c r="B7" s="163" t="s">
        <v>142</v>
      </c>
      <c r="C7" s="164" t="s">
        <v>143</v>
      </c>
      <c r="D7" s="114"/>
      <c r="E7" s="165">
        <v>28.6</v>
      </c>
      <c r="F7" s="441">
        <v>18.100000000000001</v>
      </c>
      <c r="G7" s="160" t="s">
        <v>146</v>
      </c>
      <c r="I7" s="189"/>
      <c r="J7" s="145">
        <v>8.0000000000000002E-3</v>
      </c>
      <c r="K7" s="145">
        <v>4.5999999999999999E-2</v>
      </c>
      <c r="L7" s="145">
        <v>0.14199999999999999</v>
      </c>
      <c r="M7" s="145">
        <v>0.23400000000000001</v>
      </c>
      <c r="N7" s="442">
        <v>0.57099999999999995</v>
      </c>
      <c r="O7" s="446" t="s">
        <v>123</v>
      </c>
      <c r="P7" s="447" t="s">
        <v>144</v>
      </c>
      <c r="Q7" s="447" t="s">
        <v>145</v>
      </c>
      <c r="R7" s="448">
        <v>521300</v>
      </c>
      <c r="AA7" s="167"/>
    </row>
    <row r="8" spans="1:27" ht="30" x14ac:dyDescent="0.25">
      <c r="A8" s="160">
        <f t="shared" si="0"/>
        <v>6</v>
      </c>
      <c r="B8" s="163" t="s">
        <v>147</v>
      </c>
      <c r="C8" s="164" t="s">
        <v>148</v>
      </c>
      <c r="D8" s="113"/>
      <c r="E8" s="190">
        <v>8.8000000000000007</v>
      </c>
      <c r="F8" s="441">
        <v>13.3</v>
      </c>
      <c r="G8" s="160" t="s">
        <v>146</v>
      </c>
      <c r="I8" s="187"/>
      <c r="J8" s="145">
        <v>8.0000000000000002E-3</v>
      </c>
      <c r="K8" s="145">
        <v>4.5999999999999999E-2</v>
      </c>
      <c r="L8" s="145">
        <v>0.14199999999999999</v>
      </c>
      <c r="M8" s="145">
        <v>0.23400000000000001</v>
      </c>
      <c r="N8" s="442">
        <v>0.57099999999999995</v>
      </c>
      <c r="O8" s="446" t="s">
        <v>122</v>
      </c>
      <c r="P8" s="447" t="s">
        <v>149</v>
      </c>
      <c r="Q8" s="447" t="s">
        <v>150</v>
      </c>
      <c r="R8" s="448">
        <v>10900000</v>
      </c>
      <c r="AA8" s="167"/>
    </row>
    <row r="9" spans="1:27" ht="30" x14ac:dyDescent="0.25">
      <c r="A9" s="160">
        <f t="shared" si="0"/>
        <v>7</v>
      </c>
      <c r="B9" s="163" t="s">
        <v>151</v>
      </c>
      <c r="C9" s="164" t="s">
        <v>152</v>
      </c>
      <c r="D9" s="113"/>
      <c r="E9" s="158">
        <v>52</v>
      </c>
      <c r="F9" s="441">
        <v>32.9</v>
      </c>
      <c r="G9" s="160" t="s">
        <v>146</v>
      </c>
      <c r="I9" s="189"/>
      <c r="J9" s="145">
        <v>8.0000000000000002E-3</v>
      </c>
      <c r="K9" s="145">
        <v>4.5999999999999999E-2</v>
      </c>
      <c r="L9" s="145">
        <v>0.14199999999999999</v>
      </c>
      <c r="M9" s="145">
        <v>0.23400000000000001</v>
      </c>
      <c r="N9" s="442">
        <v>0.57099999999999995</v>
      </c>
      <c r="O9" s="446" t="s">
        <v>153</v>
      </c>
      <c r="P9" s="447" t="s">
        <v>154</v>
      </c>
      <c r="Q9" s="447" t="s">
        <v>155</v>
      </c>
      <c r="R9" s="448">
        <v>150200</v>
      </c>
      <c r="AA9" s="167"/>
    </row>
    <row r="10" spans="1:27" ht="15.6" customHeight="1" x14ac:dyDescent="0.25">
      <c r="I10" s="544" t="s">
        <v>417</v>
      </c>
      <c r="J10" s="547">
        <f>VLOOKUP(J2,$O$2:$R$9,4,FALSE)</f>
        <v>10900000</v>
      </c>
      <c r="K10" s="547">
        <f>VLOOKUP(K2,$O$2:$R$9,4,FALSE)</f>
        <v>521300</v>
      </c>
      <c r="L10" s="547">
        <f>VLOOKUP(L2,$O$2:$R$9,4,FALSE)</f>
        <v>142000</v>
      </c>
      <c r="M10" s="547">
        <f>VLOOKUP(M2,$O$2:$R$9,4,FALSE)</f>
        <v>72500</v>
      </c>
      <c r="N10" s="548">
        <f>VLOOKUP(N2,$O$2:$R$9,4,FALSE)</f>
        <v>3700</v>
      </c>
      <c r="Q10" s="161"/>
      <c r="U10" s="161"/>
    </row>
    <row r="11" spans="1:27" ht="15.6" customHeight="1" x14ac:dyDescent="0.25">
      <c r="I11" s="161"/>
      <c r="K11" s="160"/>
      <c r="L11" s="168"/>
      <c r="M11" s="170"/>
      <c r="N11" s="170"/>
      <c r="O11" s="170"/>
      <c r="P11" s="170"/>
      <c r="Q11" s="170"/>
      <c r="R11" s="161"/>
      <c r="W11" s="31"/>
      <c r="X11" s="33"/>
    </row>
    <row r="12" spans="1:27" s="171" customFormat="1" ht="78.599999999999994" customHeight="1" x14ac:dyDescent="0.25">
      <c r="G12" s="172" t="str">
        <f>C3</f>
        <v>Butler Blvd (JTB) to Bowden Rd</v>
      </c>
      <c r="H12" s="172" t="str">
        <f>C4</f>
        <v>Bowden Rd to University Blvd</v>
      </c>
      <c r="I12" s="172" t="str">
        <f>C5</f>
        <v>University Blvd to Emerson St</v>
      </c>
      <c r="J12" s="172" t="str">
        <f>C6</f>
        <v>Emerson St to Atlantic Blvd</v>
      </c>
      <c r="K12" s="172" t="str">
        <f>C7</f>
        <v>Interchange at Butler Blvd at Belfort Rd</v>
      </c>
      <c r="L12" s="172" t="str">
        <f>C8</f>
        <v>Interchange at I-95 and University Blvd</v>
      </c>
      <c r="M12" s="172" t="str">
        <f>C9</f>
        <v xml:space="preserve">Interchange at I-95 and Emerson Street </v>
      </c>
    </row>
    <row r="13" spans="1:27" ht="21" customHeight="1" x14ac:dyDescent="0.25">
      <c r="F13" s="542" t="s">
        <v>484</v>
      </c>
      <c r="G13" s="169">
        <f>SUMPRODUCT($J$10:$N$10,J3:N3)</f>
        <v>116998.2</v>
      </c>
      <c r="H13" s="169">
        <f>SUMPRODUCT($J$10:$N$10,J4:N4)</f>
        <v>116998.2</v>
      </c>
      <c r="I13" s="169">
        <f>SUMPRODUCT($J$10:$N$10,J5:N5)</f>
        <v>116998.2</v>
      </c>
      <c r="J13" s="169">
        <f>SUMPRODUCT($J$10:$N$10,J6:N6)</f>
        <v>116998.2</v>
      </c>
      <c r="K13" s="169">
        <f>SUMPRODUCT($J$10:$N$10,J7:N7)</f>
        <v>150421.5</v>
      </c>
      <c r="L13" s="169">
        <f>SUMPRODUCT($J$10:$N$10,J8:N8)</f>
        <v>150421.5</v>
      </c>
      <c r="M13" s="169">
        <f>SUMPRODUCT($J$10:$N$10,J9:N9)</f>
        <v>150421.5</v>
      </c>
    </row>
    <row r="14" spans="1:27" ht="15.6" customHeight="1" x14ac:dyDescent="0.25">
      <c r="B14" s="64"/>
      <c r="F14" s="147"/>
      <c r="G14" s="173"/>
      <c r="H14" s="173"/>
      <c r="I14" s="173"/>
      <c r="J14" s="173"/>
      <c r="K14" s="173"/>
      <c r="L14" s="173"/>
      <c r="M14" s="173"/>
    </row>
    <row r="15" spans="1:27" x14ac:dyDescent="0.25">
      <c r="F15" s="543" t="s">
        <v>694</v>
      </c>
      <c r="G15" s="161"/>
      <c r="K15" s="160"/>
      <c r="L15" s="161"/>
    </row>
    <row r="16" spans="1:27" x14ac:dyDescent="0.25">
      <c r="F16" s="542" t="s">
        <v>618</v>
      </c>
      <c r="G16" s="174" t="s">
        <v>668</v>
      </c>
      <c r="K16" s="160"/>
      <c r="L16" s="161"/>
    </row>
    <row r="17" spans="4:39" x14ac:dyDescent="0.25">
      <c r="F17" s="542" t="s">
        <v>157</v>
      </c>
      <c r="G17" s="174" t="s">
        <v>158</v>
      </c>
      <c r="K17" s="160"/>
      <c r="L17" s="161"/>
    </row>
    <row r="18" spans="4:39" x14ac:dyDescent="0.25">
      <c r="F18" s="542" t="s">
        <v>159</v>
      </c>
      <c r="G18" s="146" t="s">
        <v>160</v>
      </c>
      <c r="K18" s="160"/>
      <c r="L18" s="161"/>
    </row>
    <row r="19" spans="4:39" x14ac:dyDescent="0.25">
      <c r="F19" s="542" t="s">
        <v>161</v>
      </c>
      <c r="G19" s="551" t="s">
        <v>206</v>
      </c>
      <c r="K19" s="160"/>
      <c r="L19" s="161"/>
    </row>
    <row r="20" spans="4:39" x14ac:dyDescent="0.25">
      <c r="J20" s="161"/>
      <c r="K20" s="160"/>
      <c r="Z20" s="161"/>
      <c r="AA20" s="161"/>
    </row>
    <row r="21" spans="4:39" x14ac:dyDescent="0.25">
      <c r="E21" s="175"/>
      <c r="F21" s="20"/>
      <c r="G21" s="8" t="s">
        <v>162</v>
      </c>
      <c r="H21" s="8"/>
      <c r="I21" s="8"/>
      <c r="J21" s="8"/>
      <c r="K21" s="8"/>
      <c r="L21" s="8"/>
      <c r="M21" s="11"/>
      <c r="N21" s="8" t="s">
        <v>163</v>
      </c>
      <c r="O21" s="8"/>
      <c r="P21" s="8"/>
      <c r="Q21" s="8"/>
      <c r="R21" s="8"/>
      <c r="S21" s="8"/>
      <c r="T21" s="11"/>
      <c r="U21" s="8" t="s">
        <v>164</v>
      </c>
      <c r="V21" s="8"/>
      <c r="W21" s="176"/>
      <c r="X21" s="176"/>
      <c r="Y21" s="176"/>
      <c r="Z21" s="176"/>
      <c r="AA21" s="176"/>
      <c r="AB21" s="177"/>
      <c r="AC21" s="8" t="s">
        <v>165</v>
      </c>
      <c r="AD21" s="176"/>
      <c r="AE21" s="176"/>
      <c r="AF21" s="176"/>
      <c r="AG21" s="177"/>
      <c r="AH21" s="177"/>
      <c r="AI21" s="178"/>
      <c r="AJ21" s="178"/>
      <c r="AK21" s="8" t="s">
        <v>166</v>
      </c>
      <c r="AL21" s="8"/>
      <c r="AM21" s="11"/>
    </row>
    <row r="22" spans="4:39" ht="75" x14ac:dyDescent="0.25">
      <c r="D22" s="172" t="s">
        <v>45</v>
      </c>
      <c r="E22" s="179" t="s">
        <v>46</v>
      </c>
      <c r="F22" s="257" t="s">
        <v>113</v>
      </c>
      <c r="G22" s="172" t="str">
        <f>C3</f>
        <v>Butler Blvd (JTB) to Bowden Rd</v>
      </c>
      <c r="H22" s="172" t="str">
        <f>C4</f>
        <v>Bowden Rd to University Blvd</v>
      </c>
      <c r="I22" s="172" t="str">
        <f>C5</f>
        <v>University Blvd to Emerson St</v>
      </c>
      <c r="J22" s="172" t="str">
        <f>C6</f>
        <v>Emerson St to Atlantic Blvd</v>
      </c>
      <c r="K22" s="172" t="str">
        <f>C7</f>
        <v>Interchange at Butler Blvd at Belfort Rd</v>
      </c>
      <c r="L22" s="172" t="str">
        <f>C8</f>
        <v>Interchange at I-95 and University Blvd</v>
      </c>
      <c r="M22" s="180" t="str">
        <f>C9</f>
        <v xml:space="preserve">Interchange at I-95 and Emerson Street </v>
      </c>
      <c r="N22" s="172" t="str">
        <f>G22</f>
        <v>Butler Blvd (JTB) to Bowden Rd</v>
      </c>
      <c r="O22" s="172" t="str">
        <f t="shared" ref="O22:T22" si="1">H22</f>
        <v>Bowden Rd to University Blvd</v>
      </c>
      <c r="P22" s="172" t="str">
        <f t="shared" si="1"/>
        <v>University Blvd to Emerson St</v>
      </c>
      <c r="Q22" s="172" t="str">
        <f t="shared" si="1"/>
        <v>Emerson St to Atlantic Blvd</v>
      </c>
      <c r="R22" s="172" t="str">
        <f t="shared" si="1"/>
        <v>Interchange at Butler Blvd at Belfort Rd</v>
      </c>
      <c r="S22" s="172" t="str">
        <f t="shared" si="1"/>
        <v>Interchange at I-95 and University Blvd</v>
      </c>
      <c r="T22" s="180" t="str">
        <f t="shared" si="1"/>
        <v xml:space="preserve">Interchange at I-95 and Emerson Street </v>
      </c>
      <c r="U22" s="172" t="str">
        <f>N22</f>
        <v>Butler Blvd (JTB) to Bowden Rd</v>
      </c>
      <c r="V22" s="172" t="str">
        <f t="shared" ref="V22:AA22" si="2">O22</f>
        <v>Bowden Rd to University Blvd</v>
      </c>
      <c r="W22" s="172" t="str">
        <f t="shared" si="2"/>
        <v>University Blvd to Emerson St</v>
      </c>
      <c r="X22" s="172" t="str">
        <f t="shared" si="2"/>
        <v>Emerson St to Atlantic Blvd</v>
      </c>
      <c r="Y22" s="172" t="str">
        <f t="shared" si="2"/>
        <v>Interchange at Butler Blvd at Belfort Rd</v>
      </c>
      <c r="Z22" s="172" t="str">
        <f t="shared" si="2"/>
        <v>Interchange at I-95 and University Blvd</v>
      </c>
      <c r="AA22" s="180" t="str">
        <f t="shared" si="2"/>
        <v xml:space="preserve">Interchange at I-95 and Emerson Street </v>
      </c>
      <c r="AB22" s="179" t="s">
        <v>80</v>
      </c>
      <c r="AC22" s="172" t="str">
        <f>C3</f>
        <v>Butler Blvd (JTB) to Bowden Rd</v>
      </c>
      <c r="AD22" s="172" t="str">
        <f t="shared" ref="AD22:AI22" si="3">V22</f>
        <v>Bowden Rd to University Blvd</v>
      </c>
      <c r="AE22" s="172" t="str">
        <f t="shared" si="3"/>
        <v>University Blvd to Emerson St</v>
      </c>
      <c r="AF22" s="172" t="str">
        <f t="shared" si="3"/>
        <v>Emerson St to Atlantic Blvd</v>
      </c>
      <c r="AG22" s="172" t="str">
        <f t="shared" si="3"/>
        <v>Interchange at Butler Blvd at Belfort Rd</v>
      </c>
      <c r="AH22" s="172" t="str">
        <f t="shared" si="3"/>
        <v>Interchange at I-95 and University Blvd</v>
      </c>
      <c r="AI22" s="180" t="str">
        <f t="shared" si="3"/>
        <v xml:space="preserve">Interchange at I-95 and Emerson Street </v>
      </c>
      <c r="AJ22" s="182" t="s">
        <v>80</v>
      </c>
      <c r="AK22" s="37" t="s">
        <v>80</v>
      </c>
      <c r="AL22" s="37" t="s">
        <v>52</v>
      </c>
      <c r="AM22" s="38" t="s">
        <v>53</v>
      </c>
    </row>
    <row r="23" spans="4:39" x14ac:dyDescent="0.25">
      <c r="D23" s="40">
        <f>'A - Inputs'!$C$7</f>
        <v>2022</v>
      </c>
      <c r="E23" s="434">
        <v>0</v>
      </c>
      <c r="F23" s="32">
        <f t="shared" ref="F23:F56" si="4">MAX(D23-_xlfn.SINGLE(BenefitStart)+1,0)</f>
        <v>0</v>
      </c>
      <c r="G23" s="401">
        <f>IF(OR($D23&lt;$D$29,$E23&gt;'A - Inputs'!$C$11),0,$E$3)</f>
        <v>0</v>
      </c>
      <c r="H23" s="408">
        <f>IF(OR($D23&lt;$D$29,$E23&gt;'A - Inputs'!$C$11),0,$E$4)</f>
        <v>0</v>
      </c>
      <c r="I23" s="408">
        <f>IF(OR($D23&lt;$D$29,$E23&gt;'A - Inputs'!$C$11),0,$E$5)</f>
        <v>0</v>
      </c>
      <c r="J23" s="408">
        <f>IF(OR($D23&lt;$D$29,$E23&gt;'A - Inputs'!$C$11),0,$E$6)</f>
        <v>0</v>
      </c>
      <c r="K23" s="408">
        <f>IF(OR($D23&lt;$D$29,$E23&gt;'A - Inputs'!$C$11),0,$E$7)</f>
        <v>0</v>
      </c>
      <c r="L23" s="408">
        <f>IF(OR($D23&lt;$D$29,$E23&gt;'A - Inputs'!$C$11),0,$E$8)</f>
        <v>0</v>
      </c>
      <c r="M23" s="409">
        <f>IF(OR($D23&lt;$D$29,$E23&gt;'A - Inputs'!$C$11),0,$E$9)</f>
        <v>0</v>
      </c>
      <c r="N23" s="402">
        <f>IF(OR($D23&lt;$D$29,$E23&gt;'A - Inputs'!$C$11),0,$F$4)</f>
        <v>0</v>
      </c>
      <c r="O23" s="408">
        <f>IF(OR($D23&lt;$D$29,$E23&gt;'A - Inputs'!$C$11),0,$F$4)</f>
        <v>0</v>
      </c>
      <c r="P23" s="408">
        <f>IF(OR($D23&lt;$D$29,$E23&gt;'A - Inputs'!$C$11),0,$F$5)</f>
        <v>0</v>
      </c>
      <c r="Q23" s="408">
        <f>IF(OR($D23&lt;$D$29,$E23&gt;'A - Inputs'!$C$11),0,$F$6)</f>
        <v>0</v>
      </c>
      <c r="R23" s="408">
        <f>IF(OR($D23&lt;$D$29,$E23&gt;'A - Inputs'!$C$11),0,$F$7)</f>
        <v>0</v>
      </c>
      <c r="S23" s="408">
        <f>IF(OR($D23&lt;$D$29,$E23&gt;'A - Inputs'!$C$11),0,$F$8)</f>
        <v>0</v>
      </c>
      <c r="T23" s="409">
        <f>IF(OR($D23&lt;$D$29,$E23&gt;'A - Inputs'!$C$11),0,$F$9)</f>
        <v>0</v>
      </c>
      <c r="U23" s="403">
        <f t="shared" ref="U23:U58" si="5">G23*$G$13</f>
        <v>0</v>
      </c>
      <c r="V23" s="404">
        <f t="shared" ref="V23:V58" si="6">H23*$H$13</f>
        <v>0</v>
      </c>
      <c r="W23" s="404">
        <f t="shared" ref="W23:W58" si="7">I23*$I$13</f>
        <v>0</v>
      </c>
      <c r="X23" s="404">
        <f t="shared" ref="X23:X58" si="8">J23*$J$13</f>
        <v>0</v>
      </c>
      <c r="Y23" s="404">
        <f t="shared" ref="Y23:Y58" si="9">K23*$K$13</f>
        <v>0</v>
      </c>
      <c r="Z23" s="404">
        <f t="shared" ref="Z23:Z58" si="10">L23*$L$13</f>
        <v>0</v>
      </c>
      <c r="AA23" s="405">
        <f t="shared" ref="AA23:AA58" si="11">M23*$M$13</f>
        <v>0</v>
      </c>
      <c r="AB23" s="405">
        <f t="shared" ref="AB23:AB52" si="12">SUM(U23:AA23)</f>
        <v>0</v>
      </c>
      <c r="AC23" s="404">
        <f t="shared" ref="AC23:AC58" si="13">N23*$G$13</f>
        <v>0</v>
      </c>
      <c r="AD23" s="404">
        <f t="shared" ref="AD23:AD58" si="14">O23*$H$13</f>
        <v>0</v>
      </c>
      <c r="AE23" s="404">
        <f t="shared" ref="AE23:AE58" si="15">P23*$I$13</f>
        <v>0</v>
      </c>
      <c r="AF23" s="404">
        <f t="shared" ref="AF23:AF58" si="16">Q23*$J$13</f>
        <v>0</v>
      </c>
      <c r="AG23" s="404">
        <f t="shared" ref="AG23:AG58" si="17">R23*$K$13</f>
        <v>0</v>
      </c>
      <c r="AH23" s="404">
        <f t="shared" ref="AH23:AH58" si="18">S23*$L$13</f>
        <v>0</v>
      </c>
      <c r="AI23" s="405">
        <f t="shared" ref="AI23:AI58" si="19">T23*$M$13</f>
        <v>0</v>
      </c>
      <c r="AJ23" s="406">
        <f>SUM(AC23:AI23)</f>
        <v>0</v>
      </c>
      <c r="AK23" s="96">
        <f>AB23-AJ23</f>
        <v>0</v>
      </c>
      <c r="AL23" s="96">
        <f>AK23/(1+0.03)^($D23-'A - Inputs'!$C$6)</f>
        <v>0</v>
      </c>
      <c r="AM23" s="407">
        <f>AK23/(1+0.07)^($D23-'A - Inputs'!$C$6)</f>
        <v>0</v>
      </c>
    </row>
    <row r="24" spans="4:39" x14ac:dyDescent="0.25">
      <c r="D24" s="161">
        <f t="shared" ref="D24:E39" si="20">D23+1</f>
        <v>2023</v>
      </c>
      <c r="E24" s="183">
        <f t="shared" si="20"/>
        <v>1</v>
      </c>
      <c r="F24" s="32">
        <f t="shared" si="4"/>
        <v>0</v>
      </c>
      <c r="G24" s="401">
        <f>IF(OR($D24&lt;$D$29,$E24&gt;'A - Inputs'!$C$11),0,$E$3)</f>
        <v>0</v>
      </c>
      <c r="H24" s="410">
        <f>IF(OR($D24&lt;$D$29,$E24&gt;'A - Inputs'!$C$11),0,$E$4)</f>
        <v>0</v>
      </c>
      <c r="I24" s="410">
        <f>IF(OR($D24&lt;$D$29,$E24&gt;'A - Inputs'!$C$11),0,$E$5)</f>
        <v>0</v>
      </c>
      <c r="J24" s="410">
        <f>IF(OR($D24&lt;$D$29,$E24&gt;'A - Inputs'!$C$11),0,$E$6)</f>
        <v>0</v>
      </c>
      <c r="K24" s="410">
        <f>IF(OR($D24&lt;$D$29,$E24&gt;'A - Inputs'!$C$11),0,$E$7)</f>
        <v>0</v>
      </c>
      <c r="L24" s="410">
        <f>IF(OR($D24&lt;$D$29,$E24&gt;'A - Inputs'!$C$11),0,$E$8)</f>
        <v>0</v>
      </c>
      <c r="M24" s="411">
        <f>IF(OR($D24&lt;$D$29,$E24&gt;'A - Inputs'!$C$11),0,$E$9)</f>
        <v>0</v>
      </c>
      <c r="N24" s="401">
        <f>IF(OR($D24&lt;$D$29,$E24&gt;'A - Inputs'!$C$11),0,$F$4)</f>
        <v>0</v>
      </c>
      <c r="O24" s="410">
        <f>IF(OR($D24&lt;$D$29,$E24&gt;'A - Inputs'!$C$11),0,$F$4)</f>
        <v>0</v>
      </c>
      <c r="P24" s="410">
        <f>IF(OR($D24&lt;$D$29,$E24&gt;'A - Inputs'!$C$11),0,$F$5)</f>
        <v>0</v>
      </c>
      <c r="Q24" s="410">
        <f>IF(OR($D24&lt;$D$29,$E24&gt;'A - Inputs'!$C$11),0,$F$6)</f>
        <v>0</v>
      </c>
      <c r="R24" s="410">
        <f>IF(OR($D24&lt;$D$29,$E24&gt;'A - Inputs'!$C$11),0,$F$7)</f>
        <v>0</v>
      </c>
      <c r="S24" s="410">
        <f>IF(OR($D24&lt;$D$29,$E24&gt;'A - Inputs'!$C$11),0,$F$8)</f>
        <v>0</v>
      </c>
      <c r="T24" s="411">
        <f>IF(OR($D24&lt;$D$29,$E24&gt;'A - Inputs'!$C$11),0,$F$9)</f>
        <v>0</v>
      </c>
      <c r="U24" s="404">
        <f t="shared" si="5"/>
        <v>0</v>
      </c>
      <c r="V24" s="404">
        <f t="shared" si="6"/>
        <v>0</v>
      </c>
      <c r="W24" s="404">
        <f t="shared" si="7"/>
        <v>0</v>
      </c>
      <c r="X24" s="404">
        <f t="shared" si="8"/>
        <v>0</v>
      </c>
      <c r="Y24" s="404">
        <f t="shared" si="9"/>
        <v>0</v>
      </c>
      <c r="Z24" s="404">
        <f t="shared" si="10"/>
        <v>0</v>
      </c>
      <c r="AA24" s="405">
        <f t="shared" si="11"/>
        <v>0</v>
      </c>
      <c r="AB24" s="405">
        <f t="shared" si="12"/>
        <v>0</v>
      </c>
      <c r="AC24" s="404">
        <f t="shared" si="13"/>
        <v>0</v>
      </c>
      <c r="AD24" s="404">
        <f t="shared" si="14"/>
        <v>0</v>
      </c>
      <c r="AE24" s="404">
        <f t="shared" si="15"/>
        <v>0</v>
      </c>
      <c r="AF24" s="404">
        <f t="shared" si="16"/>
        <v>0</v>
      </c>
      <c r="AG24" s="404">
        <f t="shared" si="17"/>
        <v>0</v>
      </c>
      <c r="AH24" s="404">
        <f t="shared" si="18"/>
        <v>0</v>
      </c>
      <c r="AI24" s="405">
        <f t="shared" si="19"/>
        <v>0</v>
      </c>
      <c r="AJ24" s="406">
        <f t="shared" ref="AJ24:AJ52" si="21">SUM(AC24:AI24)</f>
        <v>0</v>
      </c>
      <c r="AK24" s="96">
        <f t="shared" ref="AK24:AK52" si="22">AB24-AJ24</f>
        <v>0</v>
      </c>
      <c r="AL24" s="96">
        <f>AK24/(1+0.03)^($D24-'A - Inputs'!$C$6)</f>
        <v>0</v>
      </c>
      <c r="AM24" s="407">
        <f>AK24/(1+0.07)^($D24-'A - Inputs'!$C$6)</f>
        <v>0</v>
      </c>
    </row>
    <row r="25" spans="4:39" x14ac:dyDescent="0.25">
      <c r="D25" s="161">
        <f t="shared" si="20"/>
        <v>2024</v>
      </c>
      <c r="E25" s="183">
        <f t="shared" si="20"/>
        <v>2</v>
      </c>
      <c r="F25" s="32">
        <f t="shared" si="4"/>
        <v>0</v>
      </c>
      <c r="G25" s="401">
        <f>IF(OR($D25&lt;$D$29,$E25&gt;'A - Inputs'!$C$11),0,$E$3)</f>
        <v>0</v>
      </c>
      <c r="H25" s="410">
        <f>IF(OR($D25&lt;$D$29,$E25&gt;'A - Inputs'!$C$11),0,$E$4)</f>
        <v>0</v>
      </c>
      <c r="I25" s="410">
        <f>IF(OR($D25&lt;$D$29,$E25&gt;'A - Inputs'!$C$11),0,$E$5)</f>
        <v>0</v>
      </c>
      <c r="J25" s="410">
        <f>IF(OR($D25&lt;$D$29,$E25&gt;'A - Inputs'!$C$11),0,$E$6)</f>
        <v>0</v>
      </c>
      <c r="K25" s="410">
        <f>IF(OR($D25&lt;$D$29,$E25&gt;'A - Inputs'!$C$11),0,$E$7)</f>
        <v>0</v>
      </c>
      <c r="L25" s="410">
        <f>IF(OR($D25&lt;$D$29,$E25&gt;'A - Inputs'!$C$11),0,$E$8)</f>
        <v>0</v>
      </c>
      <c r="M25" s="411">
        <f>IF(OR($D25&lt;$D$29,$E25&gt;'A - Inputs'!$C$11),0,$E$9)</f>
        <v>0</v>
      </c>
      <c r="N25" s="401">
        <f>IF(OR($D25&lt;$D$29,$E25&gt;'A - Inputs'!$C$11),0,$F$4)</f>
        <v>0</v>
      </c>
      <c r="O25" s="410">
        <f>IF(OR($D25&lt;$D$29,$E25&gt;'A - Inputs'!$C$11),0,$F$4)</f>
        <v>0</v>
      </c>
      <c r="P25" s="410">
        <f>IF(OR($D25&lt;$D$29,$E25&gt;'A - Inputs'!$C$11),0,$F$5)</f>
        <v>0</v>
      </c>
      <c r="Q25" s="410">
        <f>IF(OR($D25&lt;$D$29,$E25&gt;'A - Inputs'!$C$11),0,$F$6)</f>
        <v>0</v>
      </c>
      <c r="R25" s="410">
        <f>IF(OR($D25&lt;$D$29,$E25&gt;'A - Inputs'!$C$11),0,$F$7)</f>
        <v>0</v>
      </c>
      <c r="S25" s="410">
        <f>IF(OR($D25&lt;$D$29,$E25&gt;'A - Inputs'!$C$11),0,$F$8)</f>
        <v>0</v>
      </c>
      <c r="T25" s="411">
        <f>IF(OR($D25&lt;$D$29,$E25&gt;'A - Inputs'!$C$11),0,$F$9)</f>
        <v>0</v>
      </c>
      <c r="U25" s="404">
        <f t="shared" si="5"/>
        <v>0</v>
      </c>
      <c r="V25" s="404">
        <f t="shared" si="6"/>
        <v>0</v>
      </c>
      <c r="W25" s="404">
        <f t="shared" si="7"/>
        <v>0</v>
      </c>
      <c r="X25" s="404">
        <f t="shared" si="8"/>
        <v>0</v>
      </c>
      <c r="Y25" s="404">
        <f t="shared" si="9"/>
        <v>0</v>
      </c>
      <c r="Z25" s="404">
        <f t="shared" si="10"/>
        <v>0</v>
      </c>
      <c r="AA25" s="405">
        <f t="shared" si="11"/>
        <v>0</v>
      </c>
      <c r="AB25" s="405">
        <f t="shared" si="12"/>
        <v>0</v>
      </c>
      <c r="AC25" s="404">
        <f t="shared" si="13"/>
        <v>0</v>
      </c>
      <c r="AD25" s="404">
        <f t="shared" si="14"/>
        <v>0</v>
      </c>
      <c r="AE25" s="404">
        <f t="shared" si="15"/>
        <v>0</v>
      </c>
      <c r="AF25" s="404">
        <f t="shared" si="16"/>
        <v>0</v>
      </c>
      <c r="AG25" s="404">
        <f t="shared" si="17"/>
        <v>0</v>
      </c>
      <c r="AH25" s="404">
        <f t="shared" si="18"/>
        <v>0</v>
      </c>
      <c r="AI25" s="405">
        <f t="shared" si="19"/>
        <v>0</v>
      </c>
      <c r="AJ25" s="406">
        <f t="shared" si="21"/>
        <v>0</v>
      </c>
      <c r="AK25" s="96">
        <f t="shared" si="22"/>
        <v>0</v>
      </c>
      <c r="AL25" s="96">
        <f>AK25/(1+0.03)^($D25-'A - Inputs'!$C$6)</f>
        <v>0</v>
      </c>
      <c r="AM25" s="407">
        <f>AK25/(1+0.07)^($D25-'A - Inputs'!$C$6)</f>
        <v>0</v>
      </c>
    </row>
    <row r="26" spans="4:39" x14ac:dyDescent="0.25">
      <c r="D26" s="161">
        <f t="shared" si="20"/>
        <v>2025</v>
      </c>
      <c r="E26" s="183">
        <f t="shared" si="20"/>
        <v>3</v>
      </c>
      <c r="F26" s="32">
        <f>MAX(D26-_xlfn.SINGLE(BenefitStart)+1,0)</f>
        <v>0</v>
      </c>
      <c r="G26" s="401">
        <f>IF(OR($D26&lt;$D$29,$E26&gt;'A - Inputs'!$C$11),0,$E$3)</f>
        <v>0</v>
      </c>
      <c r="H26" s="410">
        <f>IF(OR($D26&lt;$D$29,$E26&gt;'A - Inputs'!$C$11),0,$E$4)</f>
        <v>0</v>
      </c>
      <c r="I26" s="410">
        <f>IF(OR($D26&lt;$D$29,$E26&gt;'A - Inputs'!$C$11),0,$E$5)</f>
        <v>0</v>
      </c>
      <c r="J26" s="410">
        <f>IF(OR($D26&lt;$D$29,$E26&gt;'A - Inputs'!$C$11),0,$E$6)</f>
        <v>0</v>
      </c>
      <c r="K26" s="410">
        <f>IF(OR($D26&lt;$D$29,$E26&gt;'A - Inputs'!$C$11),0,$E$7)</f>
        <v>0</v>
      </c>
      <c r="L26" s="410">
        <f>IF(OR($D26&lt;$D$29,$E26&gt;'A - Inputs'!$C$11),0,$E$8)</f>
        <v>0</v>
      </c>
      <c r="M26" s="411">
        <f>IF(OR($D26&lt;$D$29,$E26&gt;'A - Inputs'!$C$11),0,$E$9)</f>
        <v>0</v>
      </c>
      <c r="N26" s="401">
        <f>IF(OR($D26&lt;$D$29,$E26&gt;'A - Inputs'!$C$11),0,$F$4)</f>
        <v>0</v>
      </c>
      <c r="O26" s="410">
        <f>IF(OR($D26&lt;$D$29,$E26&gt;'A - Inputs'!$C$11),0,$F$4)</f>
        <v>0</v>
      </c>
      <c r="P26" s="410">
        <f>IF(OR($D26&lt;$D$29,$E26&gt;'A - Inputs'!$C$11),0,$F$5)</f>
        <v>0</v>
      </c>
      <c r="Q26" s="410">
        <f>IF(OR($D26&lt;$D$29,$E26&gt;'A - Inputs'!$C$11),0,$F$6)</f>
        <v>0</v>
      </c>
      <c r="R26" s="410">
        <f>IF(OR($D26&lt;$D$29,$E26&gt;'A - Inputs'!$C$11),0,$F$7)</f>
        <v>0</v>
      </c>
      <c r="S26" s="410">
        <f>IF(OR($D26&lt;$D$29,$E26&gt;'A - Inputs'!$C$11),0,$F$8)</f>
        <v>0</v>
      </c>
      <c r="T26" s="411">
        <f>IF(OR($D26&lt;$D$29,$E26&gt;'A - Inputs'!$C$11),0,$F$9)</f>
        <v>0</v>
      </c>
      <c r="U26" s="404">
        <f t="shared" si="5"/>
        <v>0</v>
      </c>
      <c r="V26" s="404">
        <f t="shared" si="6"/>
        <v>0</v>
      </c>
      <c r="W26" s="404">
        <f t="shared" si="7"/>
        <v>0</v>
      </c>
      <c r="X26" s="404">
        <f t="shared" si="8"/>
        <v>0</v>
      </c>
      <c r="Y26" s="404">
        <f t="shared" si="9"/>
        <v>0</v>
      </c>
      <c r="Z26" s="404">
        <f t="shared" si="10"/>
        <v>0</v>
      </c>
      <c r="AA26" s="405">
        <f t="shared" si="11"/>
        <v>0</v>
      </c>
      <c r="AB26" s="405">
        <f t="shared" si="12"/>
        <v>0</v>
      </c>
      <c r="AC26" s="404">
        <f t="shared" si="13"/>
        <v>0</v>
      </c>
      <c r="AD26" s="404">
        <f t="shared" si="14"/>
        <v>0</v>
      </c>
      <c r="AE26" s="404">
        <f t="shared" si="15"/>
        <v>0</v>
      </c>
      <c r="AF26" s="404">
        <f t="shared" si="16"/>
        <v>0</v>
      </c>
      <c r="AG26" s="404">
        <f t="shared" si="17"/>
        <v>0</v>
      </c>
      <c r="AH26" s="404">
        <f t="shared" si="18"/>
        <v>0</v>
      </c>
      <c r="AI26" s="405">
        <f t="shared" si="19"/>
        <v>0</v>
      </c>
      <c r="AJ26" s="406">
        <f t="shared" si="21"/>
        <v>0</v>
      </c>
      <c r="AK26" s="96">
        <f t="shared" si="22"/>
        <v>0</v>
      </c>
      <c r="AL26" s="96">
        <f>AK26/(1+0.03)^($D26-'A - Inputs'!$C$6)</f>
        <v>0</v>
      </c>
      <c r="AM26" s="407">
        <f>AK26/(1+0.07)^($D26-'A - Inputs'!$C$6)</f>
        <v>0</v>
      </c>
    </row>
    <row r="27" spans="4:39" x14ac:dyDescent="0.25">
      <c r="D27" s="161">
        <f t="shared" si="20"/>
        <v>2026</v>
      </c>
      <c r="E27" s="183">
        <f t="shared" si="20"/>
        <v>4</v>
      </c>
      <c r="F27" s="32">
        <f t="shared" si="4"/>
        <v>0</v>
      </c>
      <c r="G27" s="401">
        <f>IF(OR($D27&lt;$D$29,$E27&gt;'A - Inputs'!$C$11),0,$E$3)</f>
        <v>0</v>
      </c>
      <c r="H27" s="410">
        <f>IF(OR($D27&lt;$D$29,$E27&gt;'A - Inputs'!$C$11),0,$E$4)</f>
        <v>0</v>
      </c>
      <c r="I27" s="410">
        <f>IF(OR($D27&lt;$D$29,$E27&gt;'A - Inputs'!$C$11),0,$E$5)</f>
        <v>0</v>
      </c>
      <c r="J27" s="410">
        <f>IF(OR($D27&lt;$D$29,$E27&gt;'A - Inputs'!$C$11),0,$E$6)</f>
        <v>0</v>
      </c>
      <c r="K27" s="410">
        <f>IF(OR($D27&lt;$D$29,$E27&gt;'A - Inputs'!$C$11),0,$E$7)</f>
        <v>0</v>
      </c>
      <c r="L27" s="410">
        <f>IF(OR($D27&lt;$D$29,$E27&gt;'A - Inputs'!$C$11),0,$E$8)</f>
        <v>0</v>
      </c>
      <c r="M27" s="411">
        <f>IF(OR($D27&lt;$D$29,$E27&gt;'A - Inputs'!$C$11),0,$E$9)</f>
        <v>0</v>
      </c>
      <c r="N27" s="401">
        <f>IF(OR($D27&lt;$D$29,$E27&gt;'A - Inputs'!$C$11),0,$F$4)</f>
        <v>0</v>
      </c>
      <c r="O27" s="410">
        <f>IF(OR($D27&lt;$D$29,$E27&gt;'A - Inputs'!$C$11),0,$F$4)</f>
        <v>0</v>
      </c>
      <c r="P27" s="410">
        <f>IF(OR($D27&lt;$D$29,$E27&gt;'A - Inputs'!$C$11),0,$F$5)</f>
        <v>0</v>
      </c>
      <c r="Q27" s="410">
        <f>IF(OR($D27&lt;$D$29,$E27&gt;'A - Inputs'!$C$11),0,$F$6)</f>
        <v>0</v>
      </c>
      <c r="R27" s="410">
        <f>IF(OR($D27&lt;$D$29,$E27&gt;'A - Inputs'!$C$11),0,$F$7)</f>
        <v>0</v>
      </c>
      <c r="S27" s="410">
        <f>IF(OR($D27&lt;$D$29,$E27&gt;'A - Inputs'!$C$11),0,$F$8)</f>
        <v>0</v>
      </c>
      <c r="T27" s="411">
        <f>IF(OR($D27&lt;$D$29,$E27&gt;'A - Inputs'!$C$11),0,$F$9)</f>
        <v>0</v>
      </c>
      <c r="U27" s="404">
        <f t="shared" si="5"/>
        <v>0</v>
      </c>
      <c r="V27" s="404">
        <f t="shared" si="6"/>
        <v>0</v>
      </c>
      <c r="W27" s="404">
        <f t="shared" si="7"/>
        <v>0</v>
      </c>
      <c r="X27" s="404">
        <f t="shared" si="8"/>
        <v>0</v>
      </c>
      <c r="Y27" s="404">
        <f t="shared" si="9"/>
        <v>0</v>
      </c>
      <c r="Z27" s="404">
        <f t="shared" si="10"/>
        <v>0</v>
      </c>
      <c r="AA27" s="405">
        <f t="shared" si="11"/>
        <v>0</v>
      </c>
      <c r="AB27" s="405">
        <f t="shared" si="12"/>
        <v>0</v>
      </c>
      <c r="AC27" s="404">
        <f t="shared" si="13"/>
        <v>0</v>
      </c>
      <c r="AD27" s="404">
        <f t="shared" si="14"/>
        <v>0</v>
      </c>
      <c r="AE27" s="404">
        <f t="shared" si="15"/>
        <v>0</v>
      </c>
      <c r="AF27" s="404">
        <f t="shared" si="16"/>
        <v>0</v>
      </c>
      <c r="AG27" s="404">
        <f t="shared" si="17"/>
        <v>0</v>
      </c>
      <c r="AH27" s="404">
        <f t="shared" si="18"/>
        <v>0</v>
      </c>
      <c r="AI27" s="405">
        <f t="shared" si="19"/>
        <v>0</v>
      </c>
      <c r="AJ27" s="406">
        <f t="shared" si="21"/>
        <v>0</v>
      </c>
      <c r="AK27" s="96">
        <f t="shared" si="22"/>
        <v>0</v>
      </c>
      <c r="AL27" s="96">
        <f>AK27/(1+0.03)^($D27-'A - Inputs'!$C$6)</f>
        <v>0</v>
      </c>
      <c r="AM27" s="407">
        <f>AK27/(1+0.07)^($D27-'A - Inputs'!$C$6)</f>
        <v>0</v>
      </c>
    </row>
    <row r="28" spans="4:39" x14ac:dyDescent="0.25">
      <c r="D28" s="161">
        <f t="shared" si="20"/>
        <v>2027</v>
      </c>
      <c r="E28" s="183">
        <f t="shared" si="20"/>
        <v>5</v>
      </c>
      <c r="F28" s="32">
        <f t="shared" si="4"/>
        <v>0</v>
      </c>
      <c r="G28" s="401">
        <f>IF(OR($D28&lt;$D$29,$E28&gt;'A - Inputs'!$C$11),0,$E$3)</f>
        <v>0</v>
      </c>
      <c r="H28" s="410">
        <f>IF(OR($D28&lt;$D$29,$E28&gt;'A - Inputs'!$C$11),0,$E$4)</f>
        <v>0</v>
      </c>
      <c r="I28" s="410">
        <f>IF(OR($D28&lt;$D$29,$E28&gt;'A - Inputs'!$C$11),0,$E$5)</f>
        <v>0</v>
      </c>
      <c r="J28" s="410">
        <f>IF(OR($D28&lt;$D$29,$E28&gt;'A - Inputs'!$C$11),0,$E$6)</f>
        <v>0</v>
      </c>
      <c r="K28" s="410">
        <f>IF(OR($D28&lt;$D$29,$E28&gt;'A - Inputs'!$C$11),0,$E$7)</f>
        <v>0</v>
      </c>
      <c r="L28" s="410">
        <f>IF(OR($D28&lt;$D$29,$E28&gt;'A - Inputs'!$C$11),0,$E$8)</f>
        <v>0</v>
      </c>
      <c r="M28" s="411">
        <f>IF(OR($D28&lt;$D$29,$E28&gt;'A - Inputs'!$C$11),0,$E$9)</f>
        <v>0</v>
      </c>
      <c r="N28" s="401">
        <f>IF(OR($D28&lt;$D$29,$E28&gt;'A - Inputs'!$C$11),0,$F$4)</f>
        <v>0</v>
      </c>
      <c r="O28" s="410">
        <f>IF(OR($D28&lt;$D$29,$E28&gt;'A - Inputs'!$C$11),0,$F$4)</f>
        <v>0</v>
      </c>
      <c r="P28" s="410">
        <f>IF(OR($D28&lt;$D$29,$E28&gt;'A - Inputs'!$C$11),0,$F$5)</f>
        <v>0</v>
      </c>
      <c r="Q28" s="410">
        <f>IF(OR($D28&lt;$D$29,$E28&gt;'A - Inputs'!$C$11),0,$F$6)</f>
        <v>0</v>
      </c>
      <c r="R28" s="410">
        <f>IF(OR($D28&lt;$D$29,$E28&gt;'A - Inputs'!$C$11),0,$F$7)</f>
        <v>0</v>
      </c>
      <c r="S28" s="410">
        <f>IF(OR($D28&lt;$D$29,$E28&gt;'A - Inputs'!$C$11),0,$F$8)</f>
        <v>0</v>
      </c>
      <c r="T28" s="411">
        <f>IF(OR($D28&lt;$D$29,$E28&gt;'A - Inputs'!$C$11),0,$F$9)</f>
        <v>0</v>
      </c>
      <c r="U28" s="404">
        <f t="shared" si="5"/>
        <v>0</v>
      </c>
      <c r="V28" s="404">
        <f t="shared" si="6"/>
        <v>0</v>
      </c>
      <c r="W28" s="404">
        <f t="shared" si="7"/>
        <v>0</v>
      </c>
      <c r="X28" s="404">
        <f t="shared" si="8"/>
        <v>0</v>
      </c>
      <c r="Y28" s="404">
        <f t="shared" si="9"/>
        <v>0</v>
      </c>
      <c r="Z28" s="404">
        <f t="shared" si="10"/>
        <v>0</v>
      </c>
      <c r="AA28" s="405">
        <f t="shared" si="11"/>
        <v>0</v>
      </c>
      <c r="AB28" s="405">
        <f t="shared" si="12"/>
        <v>0</v>
      </c>
      <c r="AC28" s="404">
        <f t="shared" si="13"/>
        <v>0</v>
      </c>
      <c r="AD28" s="404">
        <f t="shared" si="14"/>
        <v>0</v>
      </c>
      <c r="AE28" s="404">
        <f t="shared" si="15"/>
        <v>0</v>
      </c>
      <c r="AF28" s="404">
        <f t="shared" si="16"/>
        <v>0</v>
      </c>
      <c r="AG28" s="404">
        <f t="shared" si="17"/>
        <v>0</v>
      </c>
      <c r="AH28" s="404">
        <f t="shared" si="18"/>
        <v>0</v>
      </c>
      <c r="AI28" s="405">
        <f t="shared" si="19"/>
        <v>0</v>
      </c>
      <c r="AJ28" s="406">
        <f t="shared" si="21"/>
        <v>0</v>
      </c>
      <c r="AK28" s="96">
        <f t="shared" si="22"/>
        <v>0</v>
      </c>
      <c r="AL28" s="96">
        <f>AK28/(1+0.03)^($D28-'A - Inputs'!$C$6)</f>
        <v>0</v>
      </c>
      <c r="AM28" s="407">
        <f>AK28/(1+0.07)^($D28-'A - Inputs'!$C$6)</f>
        <v>0</v>
      </c>
    </row>
    <row r="29" spans="4:39" x14ac:dyDescent="0.25">
      <c r="D29" s="161">
        <f t="shared" si="20"/>
        <v>2028</v>
      </c>
      <c r="E29" s="183">
        <f t="shared" si="20"/>
        <v>6</v>
      </c>
      <c r="F29" s="32">
        <f t="shared" si="4"/>
        <v>1</v>
      </c>
      <c r="G29" s="401">
        <f>IF(OR($D29&lt;$D$29,$E29&gt;'A - Inputs'!$C$11),0,$E$3)</f>
        <v>58.5</v>
      </c>
      <c r="H29" s="410">
        <f>IF(OR($D29&lt;$D$29,$E29&gt;'A - Inputs'!$C$11),0,$E$4)</f>
        <v>26.2</v>
      </c>
      <c r="I29" s="410">
        <f>IF(OR($D29&lt;$D$29,$E29&gt;'A - Inputs'!$C$11),0,$E$5)</f>
        <v>104.3</v>
      </c>
      <c r="J29" s="410">
        <f>IF(OR($D29&lt;$D$29,$E29&gt;'A - Inputs'!$C$11),0,$E$6)</f>
        <v>52.2</v>
      </c>
      <c r="K29" s="410">
        <f>IF(OR($D29&lt;$D$29,$E29&gt;'A - Inputs'!$C$11),0,$E$7)</f>
        <v>28.6</v>
      </c>
      <c r="L29" s="410">
        <f>IF(OR($D29&lt;$D$29,$E29&gt;'A - Inputs'!$C$11),0,$E$8)</f>
        <v>8.8000000000000007</v>
      </c>
      <c r="M29" s="411">
        <f>IF(OR($D29&lt;$D$29,$E29&gt;'A - Inputs'!$C$11),0,$E$9)</f>
        <v>52</v>
      </c>
      <c r="N29" s="401">
        <f>IF(OR($D29&lt;$D$29,$E29&gt;'A - Inputs'!$C$11),0,$F$4)</f>
        <v>18.600000000000001</v>
      </c>
      <c r="O29" s="410">
        <f>IF(OR($D29&lt;$D$29,$E29&gt;'A - Inputs'!$C$11),0,$F$4)</f>
        <v>18.600000000000001</v>
      </c>
      <c r="P29" s="410">
        <f>IF(OR($D29&lt;$D$29,$E29&gt;'A - Inputs'!$C$11),0,$F$5)</f>
        <v>69.900000000000006</v>
      </c>
      <c r="Q29" s="410">
        <f>IF(OR($D29&lt;$D$29,$E29&gt;'A - Inputs'!$C$11),0,$F$6)</f>
        <v>35</v>
      </c>
      <c r="R29" s="410">
        <f>IF(OR($D29&lt;$D$29,$E29&gt;'A - Inputs'!$C$11),0,$F$7)</f>
        <v>18.100000000000001</v>
      </c>
      <c r="S29" s="410">
        <f>IF(OR($D29&lt;$D$29,$E29&gt;'A - Inputs'!$C$11),0,$F$8)</f>
        <v>13.3</v>
      </c>
      <c r="T29" s="411">
        <f>IF(OR($D29&lt;$D$29,$E29&gt;'A - Inputs'!$C$11),0,$F$9)</f>
        <v>32.9</v>
      </c>
      <c r="U29" s="404">
        <f t="shared" si="5"/>
        <v>6844394.7000000002</v>
      </c>
      <c r="V29" s="404">
        <f t="shared" si="6"/>
        <v>3065352.84</v>
      </c>
      <c r="W29" s="404">
        <f t="shared" si="7"/>
        <v>12202912.26</v>
      </c>
      <c r="X29" s="404">
        <f t="shared" si="8"/>
        <v>6107306.04</v>
      </c>
      <c r="Y29" s="404">
        <f t="shared" si="9"/>
        <v>4302054.9000000004</v>
      </c>
      <c r="Z29" s="404">
        <f t="shared" si="10"/>
        <v>1323709.2000000002</v>
      </c>
      <c r="AA29" s="405">
        <f t="shared" si="11"/>
        <v>7821918</v>
      </c>
      <c r="AB29" s="405">
        <f t="shared" si="12"/>
        <v>41667647.939999998</v>
      </c>
      <c r="AC29" s="404">
        <f t="shared" si="13"/>
        <v>2176166.52</v>
      </c>
      <c r="AD29" s="404">
        <f t="shared" si="14"/>
        <v>2176166.52</v>
      </c>
      <c r="AE29" s="404">
        <f t="shared" si="15"/>
        <v>8178174.1800000006</v>
      </c>
      <c r="AF29" s="404">
        <f t="shared" si="16"/>
        <v>4094937</v>
      </c>
      <c r="AG29" s="404">
        <f t="shared" si="17"/>
        <v>2722629.1500000004</v>
      </c>
      <c r="AH29" s="404">
        <f t="shared" si="18"/>
        <v>2000605.9500000002</v>
      </c>
      <c r="AI29" s="405">
        <f t="shared" si="19"/>
        <v>4948867.3499999996</v>
      </c>
      <c r="AJ29" s="406">
        <f t="shared" si="21"/>
        <v>26297546.670000002</v>
      </c>
      <c r="AK29" s="96">
        <f t="shared" si="22"/>
        <v>15370101.269999996</v>
      </c>
      <c r="AL29" s="96">
        <f>AK29/(1+0.03)^($D29-'A - Inputs'!$C$6)</f>
        <v>11779902.791144026</v>
      </c>
      <c r="AM29" s="407">
        <f>AK29/(1+0.07)^($D29-'A - Inputs'!$C$6)</f>
        <v>8360316.7076884639</v>
      </c>
    </row>
    <row r="30" spans="4:39" x14ac:dyDescent="0.25">
      <c r="D30" s="161">
        <f t="shared" si="20"/>
        <v>2029</v>
      </c>
      <c r="E30" s="183">
        <f t="shared" si="20"/>
        <v>7</v>
      </c>
      <c r="F30" s="32">
        <f t="shared" si="4"/>
        <v>2</v>
      </c>
      <c r="G30" s="401">
        <f>IF(OR($D30&lt;$D$29,$E30&gt;'A - Inputs'!$C$11),0,$E$3)</f>
        <v>58.5</v>
      </c>
      <c r="H30" s="410">
        <f>IF(OR($D30&lt;$D$29,$E30&gt;'A - Inputs'!$C$11),0,$E$4)</f>
        <v>26.2</v>
      </c>
      <c r="I30" s="410">
        <f>IF(OR($D30&lt;$D$29,$E30&gt;'A - Inputs'!$C$11),0,$E$5)</f>
        <v>104.3</v>
      </c>
      <c r="J30" s="410">
        <f>IF(OR($D30&lt;$D$29,$E30&gt;'A - Inputs'!$C$11),0,$E$6)</f>
        <v>52.2</v>
      </c>
      <c r="K30" s="410">
        <f>IF(OR($D30&lt;$D$29,$E30&gt;'A - Inputs'!$C$11),0,$E$7)</f>
        <v>28.6</v>
      </c>
      <c r="L30" s="410">
        <f>IF(OR($D30&lt;$D$29,$E30&gt;'A - Inputs'!$C$11),0,$E$8)</f>
        <v>8.8000000000000007</v>
      </c>
      <c r="M30" s="411">
        <f>IF(OR($D30&lt;$D$29,$E30&gt;'A - Inputs'!$C$11),0,$E$9)</f>
        <v>52</v>
      </c>
      <c r="N30" s="401">
        <f>IF(OR($D30&lt;$D$29,$E30&gt;'A - Inputs'!$C$11),0,$F$4)</f>
        <v>18.600000000000001</v>
      </c>
      <c r="O30" s="410">
        <f>IF(OR($D30&lt;$D$29,$E30&gt;'A - Inputs'!$C$11),0,$F$4)</f>
        <v>18.600000000000001</v>
      </c>
      <c r="P30" s="410">
        <f>IF(OR($D30&lt;$D$29,$E30&gt;'A - Inputs'!$C$11),0,$F$5)</f>
        <v>69.900000000000006</v>
      </c>
      <c r="Q30" s="410">
        <f>IF(OR($D30&lt;$D$29,$E30&gt;'A - Inputs'!$C$11),0,$F$6)</f>
        <v>35</v>
      </c>
      <c r="R30" s="410">
        <f>IF(OR($D30&lt;$D$29,$E30&gt;'A - Inputs'!$C$11),0,$F$7)</f>
        <v>18.100000000000001</v>
      </c>
      <c r="S30" s="410">
        <f>IF(OR($D30&lt;$D$29,$E30&gt;'A - Inputs'!$C$11),0,$F$8)</f>
        <v>13.3</v>
      </c>
      <c r="T30" s="411">
        <f>IF(OR($D30&lt;$D$29,$E30&gt;'A - Inputs'!$C$11),0,$F$9)</f>
        <v>32.9</v>
      </c>
      <c r="U30" s="404">
        <f t="shared" si="5"/>
        <v>6844394.7000000002</v>
      </c>
      <c r="V30" s="404">
        <f t="shared" si="6"/>
        <v>3065352.84</v>
      </c>
      <c r="W30" s="404">
        <f t="shared" si="7"/>
        <v>12202912.26</v>
      </c>
      <c r="X30" s="404">
        <f t="shared" si="8"/>
        <v>6107306.04</v>
      </c>
      <c r="Y30" s="404">
        <f t="shared" si="9"/>
        <v>4302054.9000000004</v>
      </c>
      <c r="Z30" s="404">
        <f t="shared" si="10"/>
        <v>1323709.2000000002</v>
      </c>
      <c r="AA30" s="405">
        <f t="shared" si="11"/>
        <v>7821918</v>
      </c>
      <c r="AB30" s="405">
        <f t="shared" si="12"/>
        <v>41667647.939999998</v>
      </c>
      <c r="AC30" s="404">
        <f t="shared" si="13"/>
        <v>2176166.52</v>
      </c>
      <c r="AD30" s="404">
        <f t="shared" si="14"/>
        <v>2176166.52</v>
      </c>
      <c r="AE30" s="404">
        <f t="shared" si="15"/>
        <v>8178174.1800000006</v>
      </c>
      <c r="AF30" s="404">
        <f t="shared" si="16"/>
        <v>4094937</v>
      </c>
      <c r="AG30" s="404">
        <f t="shared" si="17"/>
        <v>2722629.1500000004</v>
      </c>
      <c r="AH30" s="404">
        <f t="shared" si="18"/>
        <v>2000605.9500000002</v>
      </c>
      <c r="AI30" s="405">
        <f t="shared" si="19"/>
        <v>4948867.3499999996</v>
      </c>
      <c r="AJ30" s="406">
        <f t="shared" si="21"/>
        <v>26297546.670000002</v>
      </c>
      <c r="AK30" s="96">
        <f t="shared" si="22"/>
        <v>15370101.269999996</v>
      </c>
      <c r="AL30" s="96">
        <f>AK30/(1+0.03)^($D30-'A - Inputs'!$C$6)</f>
        <v>11436798.826353425</v>
      </c>
      <c r="AM30" s="407">
        <f>AK30/(1+0.07)^($D30-'A - Inputs'!$C$6)</f>
        <v>7813380.1006434252</v>
      </c>
    </row>
    <row r="31" spans="4:39" x14ac:dyDescent="0.25">
      <c r="D31" s="161">
        <f t="shared" si="20"/>
        <v>2030</v>
      </c>
      <c r="E31" s="183">
        <f t="shared" si="20"/>
        <v>8</v>
      </c>
      <c r="F31" s="32">
        <f t="shared" si="4"/>
        <v>3</v>
      </c>
      <c r="G31" s="401">
        <f>IF(OR($D31&lt;$D$29,$E31&gt;'A - Inputs'!$C$11),0,$E$3)</f>
        <v>58.5</v>
      </c>
      <c r="H31" s="410">
        <f>IF(OR($D31&lt;$D$29,$E31&gt;'A - Inputs'!$C$11),0,$E$4)</f>
        <v>26.2</v>
      </c>
      <c r="I31" s="410">
        <f>IF(OR($D31&lt;$D$29,$E31&gt;'A - Inputs'!$C$11),0,$E$5)</f>
        <v>104.3</v>
      </c>
      <c r="J31" s="410">
        <f>IF(OR($D31&lt;$D$29,$E31&gt;'A - Inputs'!$C$11),0,$E$6)</f>
        <v>52.2</v>
      </c>
      <c r="K31" s="410">
        <f>IF(OR($D31&lt;$D$29,$E31&gt;'A - Inputs'!$C$11),0,$E$7)</f>
        <v>28.6</v>
      </c>
      <c r="L31" s="410">
        <f>IF(OR($D31&lt;$D$29,$E31&gt;'A - Inputs'!$C$11),0,$E$8)</f>
        <v>8.8000000000000007</v>
      </c>
      <c r="M31" s="411">
        <f>IF(OR($D31&lt;$D$29,$E31&gt;'A - Inputs'!$C$11),0,$E$9)</f>
        <v>52</v>
      </c>
      <c r="N31" s="401">
        <f>IF(OR($D31&lt;$D$29,$E31&gt;'A - Inputs'!$C$11),0,$F$4)</f>
        <v>18.600000000000001</v>
      </c>
      <c r="O31" s="410">
        <f>IF(OR($D31&lt;$D$29,$E31&gt;'A - Inputs'!$C$11),0,$F$4)</f>
        <v>18.600000000000001</v>
      </c>
      <c r="P31" s="410">
        <f>IF(OR($D31&lt;$D$29,$E31&gt;'A - Inputs'!$C$11),0,$F$5)</f>
        <v>69.900000000000006</v>
      </c>
      <c r="Q31" s="410">
        <f>IF(OR($D31&lt;$D$29,$E31&gt;'A - Inputs'!$C$11),0,$F$6)</f>
        <v>35</v>
      </c>
      <c r="R31" s="410">
        <f>IF(OR($D31&lt;$D$29,$E31&gt;'A - Inputs'!$C$11),0,$F$7)</f>
        <v>18.100000000000001</v>
      </c>
      <c r="S31" s="410">
        <f>IF(OR($D31&lt;$D$29,$E31&gt;'A - Inputs'!$C$11),0,$F$8)</f>
        <v>13.3</v>
      </c>
      <c r="T31" s="411">
        <f>IF(OR($D31&lt;$D$29,$E31&gt;'A - Inputs'!$C$11),0,$F$9)</f>
        <v>32.9</v>
      </c>
      <c r="U31" s="404">
        <f t="shared" si="5"/>
        <v>6844394.7000000002</v>
      </c>
      <c r="V31" s="404">
        <f t="shared" si="6"/>
        <v>3065352.84</v>
      </c>
      <c r="W31" s="404">
        <f t="shared" si="7"/>
        <v>12202912.26</v>
      </c>
      <c r="X31" s="404">
        <f t="shared" si="8"/>
        <v>6107306.04</v>
      </c>
      <c r="Y31" s="404">
        <f t="shared" si="9"/>
        <v>4302054.9000000004</v>
      </c>
      <c r="Z31" s="404">
        <f t="shared" si="10"/>
        <v>1323709.2000000002</v>
      </c>
      <c r="AA31" s="405">
        <f t="shared" si="11"/>
        <v>7821918</v>
      </c>
      <c r="AB31" s="405">
        <f t="shared" si="12"/>
        <v>41667647.939999998</v>
      </c>
      <c r="AC31" s="404">
        <f t="shared" si="13"/>
        <v>2176166.52</v>
      </c>
      <c r="AD31" s="404">
        <f t="shared" si="14"/>
        <v>2176166.52</v>
      </c>
      <c r="AE31" s="404">
        <f t="shared" si="15"/>
        <v>8178174.1800000006</v>
      </c>
      <c r="AF31" s="404">
        <f t="shared" si="16"/>
        <v>4094937</v>
      </c>
      <c r="AG31" s="404">
        <f t="shared" si="17"/>
        <v>2722629.1500000004</v>
      </c>
      <c r="AH31" s="404">
        <f t="shared" si="18"/>
        <v>2000605.9500000002</v>
      </c>
      <c r="AI31" s="405">
        <f t="shared" si="19"/>
        <v>4948867.3499999996</v>
      </c>
      <c r="AJ31" s="406">
        <f t="shared" si="21"/>
        <v>26297546.670000002</v>
      </c>
      <c r="AK31" s="96">
        <f t="shared" si="22"/>
        <v>15370101.269999996</v>
      </c>
      <c r="AL31" s="96">
        <f>AK31/(1+0.03)^($D31-'A - Inputs'!$C$6)</f>
        <v>11103688.180925654</v>
      </c>
      <c r="AM31" s="407">
        <f>AK31/(1+0.07)^($D31-'A - Inputs'!$C$6)</f>
        <v>7302224.3931246949</v>
      </c>
    </row>
    <row r="32" spans="4:39" x14ac:dyDescent="0.25">
      <c r="D32" s="161">
        <f t="shared" si="20"/>
        <v>2031</v>
      </c>
      <c r="E32" s="183">
        <f t="shared" si="20"/>
        <v>9</v>
      </c>
      <c r="F32" s="32">
        <f t="shared" si="4"/>
        <v>4</v>
      </c>
      <c r="G32" s="401">
        <f>IF(OR($D32&lt;$D$29,$E32&gt;'A - Inputs'!$C$11),0,$E$3)</f>
        <v>58.5</v>
      </c>
      <c r="H32" s="410">
        <f>IF(OR($D32&lt;$D$29,$E32&gt;'A - Inputs'!$C$11),0,$E$4)</f>
        <v>26.2</v>
      </c>
      <c r="I32" s="410">
        <f>IF(OR($D32&lt;$D$29,$E32&gt;'A - Inputs'!$C$11),0,$E$5)</f>
        <v>104.3</v>
      </c>
      <c r="J32" s="410">
        <f>IF(OR($D32&lt;$D$29,$E32&gt;'A - Inputs'!$C$11),0,$E$6)</f>
        <v>52.2</v>
      </c>
      <c r="K32" s="410">
        <f>IF(OR($D32&lt;$D$29,$E32&gt;'A - Inputs'!$C$11),0,$E$7)</f>
        <v>28.6</v>
      </c>
      <c r="L32" s="410">
        <f>IF(OR($D32&lt;$D$29,$E32&gt;'A - Inputs'!$C$11),0,$E$8)</f>
        <v>8.8000000000000007</v>
      </c>
      <c r="M32" s="411">
        <f>IF(OR($D32&lt;$D$29,$E32&gt;'A - Inputs'!$C$11),0,$E$9)</f>
        <v>52</v>
      </c>
      <c r="N32" s="401">
        <f>IF(OR($D32&lt;$D$29,$E32&gt;'A - Inputs'!$C$11),0,$F$4)</f>
        <v>18.600000000000001</v>
      </c>
      <c r="O32" s="410">
        <f>IF(OR($D32&lt;$D$29,$E32&gt;'A - Inputs'!$C$11),0,$F$4)</f>
        <v>18.600000000000001</v>
      </c>
      <c r="P32" s="410">
        <f>IF(OR($D32&lt;$D$29,$E32&gt;'A - Inputs'!$C$11),0,$F$5)</f>
        <v>69.900000000000006</v>
      </c>
      <c r="Q32" s="410">
        <f>IF(OR($D32&lt;$D$29,$E32&gt;'A - Inputs'!$C$11),0,$F$6)</f>
        <v>35</v>
      </c>
      <c r="R32" s="410">
        <f>IF(OR($D32&lt;$D$29,$E32&gt;'A - Inputs'!$C$11),0,$F$7)</f>
        <v>18.100000000000001</v>
      </c>
      <c r="S32" s="410">
        <f>IF(OR($D32&lt;$D$29,$E32&gt;'A - Inputs'!$C$11),0,$F$8)</f>
        <v>13.3</v>
      </c>
      <c r="T32" s="411">
        <f>IF(OR($D32&lt;$D$29,$E32&gt;'A - Inputs'!$C$11),0,$F$9)</f>
        <v>32.9</v>
      </c>
      <c r="U32" s="404">
        <f t="shared" si="5"/>
        <v>6844394.7000000002</v>
      </c>
      <c r="V32" s="404">
        <f t="shared" si="6"/>
        <v>3065352.84</v>
      </c>
      <c r="W32" s="404">
        <f t="shared" si="7"/>
        <v>12202912.26</v>
      </c>
      <c r="X32" s="404">
        <f t="shared" si="8"/>
        <v>6107306.04</v>
      </c>
      <c r="Y32" s="404">
        <f t="shared" si="9"/>
        <v>4302054.9000000004</v>
      </c>
      <c r="Z32" s="404">
        <f t="shared" si="10"/>
        <v>1323709.2000000002</v>
      </c>
      <c r="AA32" s="405">
        <f t="shared" si="11"/>
        <v>7821918</v>
      </c>
      <c r="AB32" s="405">
        <f t="shared" si="12"/>
        <v>41667647.939999998</v>
      </c>
      <c r="AC32" s="404">
        <f t="shared" si="13"/>
        <v>2176166.52</v>
      </c>
      <c r="AD32" s="404">
        <f t="shared" si="14"/>
        <v>2176166.52</v>
      </c>
      <c r="AE32" s="404">
        <f t="shared" si="15"/>
        <v>8178174.1800000006</v>
      </c>
      <c r="AF32" s="404">
        <f t="shared" si="16"/>
        <v>4094937</v>
      </c>
      <c r="AG32" s="404">
        <f t="shared" si="17"/>
        <v>2722629.1500000004</v>
      </c>
      <c r="AH32" s="404">
        <f t="shared" si="18"/>
        <v>2000605.9500000002</v>
      </c>
      <c r="AI32" s="405">
        <f t="shared" si="19"/>
        <v>4948867.3499999996</v>
      </c>
      <c r="AJ32" s="406">
        <f t="shared" si="21"/>
        <v>26297546.670000002</v>
      </c>
      <c r="AK32" s="96">
        <f t="shared" si="22"/>
        <v>15370101.269999996</v>
      </c>
      <c r="AL32" s="96">
        <f>AK32/(1+0.03)^($D32-'A - Inputs'!$C$6)</f>
        <v>10780279.787306463</v>
      </c>
      <c r="AM32" s="407">
        <f>AK32/(1+0.07)^($D32-'A - Inputs'!$C$6)</f>
        <v>6824508.7786212116</v>
      </c>
    </row>
    <row r="33" spans="4:39" x14ac:dyDescent="0.25">
      <c r="D33" s="161">
        <f t="shared" si="20"/>
        <v>2032</v>
      </c>
      <c r="E33" s="183">
        <f t="shared" si="20"/>
        <v>10</v>
      </c>
      <c r="F33" s="32">
        <f t="shared" si="4"/>
        <v>5</v>
      </c>
      <c r="G33" s="401">
        <f>IF(OR($D33&lt;$D$29,$E33&gt;'A - Inputs'!$C$11),0,$E$3)</f>
        <v>58.5</v>
      </c>
      <c r="H33" s="410">
        <f>IF(OR($D33&lt;$D$29,$E33&gt;'A - Inputs'!$C$11),0,$E$4)</f>
        <v>26.2</v>
      </c>
      <c r="I33" s="410">
        <f>IF(OR($D33&lt;$D$29,$E33&gt;'A - Inputs'!$C$11),0,$E$5)</f>
        <v>104.3</v>
      </c>
      <c r="J33" s="410">
        <f>IF(OR($D33&lt;$D$29,$E33&gt;'A - Inputs'!$C$11),0,$E$6)</f>
        <v>52.2</v>
      </c>
      <c r="K33" s="410">
        <f>IF(OR($D33&lt;$D$29,$E33&gt;'A - Inputs'!$C$11),0,$E$7)</f>
        <v>28.6</v>
      </c>
      <c r="L33" s="410">
        <f>IF(OR($D33&lt;$D$29,$E33&gt;'A - Inputs'!$C$11),0,$E$8)</f>
        <v>8.8000000000000007</v>
      </c>
      <c r="M33" s="411">
        <f>IF(OR($D33&lt;$D$29,$E33&gt;'A - Inputs'!$C$11),0,$E$9)</f>
        <v>52</v>
      </c>
      <c r="N33" s="401">
        <f>IF(OR($D33&lt;$D$29,$E33&gt;'A - Inputs'!$C$11),0,$F$4)</f>
        <v>18.600000000000001</v>
      </c>
      <c r="O33" s="410">
        <f>IF(OR($D33&lt;$D$29,$E33&gt;'A - Inputs'!$C$11),0,$F$4)</f>
        <v>18.600000000000001</v>
      </c>
      <c r="P33" s="410">
        <f>IF(OR($D33&lt;$D$29,$E33&gt;'A - Inputs'!$C$11),0,$F$5)</f>
        <v>69.900000000000006</v>
      </c>
      <c r="Q33" s="410">
        <f>IF(OR($D33&lt;$D$29,$E33&gt;'A - Inputs'!$C$11),0,$F$6)</f>
        <v>35</v>
      </c>
      <c r="R33" s="410">
        <f>IF(OR($D33&lt;$D$29,$E33&gt;'A - Inputs'!$C$11),0,$F$7)</f>
        <v>18.100000000000001</v>
      </c>
      <c r="S33" s="410">
        <f>IF(OR($D33&lt;$D$29,$E33&gt;'A - Inputs'!$C$11),0,$F$8)</f>
        <v>13.3</v>
      </c>
      <c r="T33" s="411">
        <f>IF(OR($D33&lt;$D$29,$E33&gt;'A - Inputs'!$C$11),0,$F$9)</f>
        <v>32.9</v>
      </c>
      <c r="U33" s="404">
        <f t="shared" si="5"/>
        <v>6844394.7000000002</v>
      </c>
      <c r="V33" s="404">
        <f t="shared" si="6"/>
        <v>3065352.84</v>
      </c>
      <c r="W33" s="404">
        <f t="shared" si="7"/>
        <v>12202912.26</v>
      </c>
      <c r="X33" s="404">
        <f t="shared" si="8"/>
        <v>6107306.04</v>
      </c>
      <c r="Y33" s="404">
        <f t="shared" si="9"/>
        <v>4302054.9000000004</v>
      </c>
      <c r="Z33" s="404">
        <f t="shared" si="10"/>
        <v>1323709.2000000002</v>
      </c>
      <c r="AA33" s="405">
        <f t="shared" si="11"/>
        <v>7821918</v>
      </c>
      <c r="AB33" s="405">
        <f t="shared" si="12"/>
        <v>41667647.939999998</v>
      </c>
      <c r="AC33" s="404">
        <f t="shared" si="13"/>
        <v>2176166.52</v>
      </c>
      <c r="AD33" s="404">
        <f t="shared" si="14"/>
        <v>2176166.52</v>
      </c>
      <c r="AE33" s="404">
        <f t="shared" si="15"/>
        <v>8178174.1800000006</v>
      </c>
      <c r="AF33" s="404">
        <f t="shared" si="16"/>
        <v>4094937</v>
      </c>
      <c r="AG33" s="404">
        <f t="shared" si="17"/>
        <v>2722629.1500000004</v>
      </c>
      <c r="AH33" s="404">
        <f t="shared" si="18"/>
        <v>2000605.9500000002</v>
      </c>
      <c r="AI33" s="405">
        <f t="shared" si="19"/>
        <v>4948867.3499999996</v>
      </c>
      <c r="AJ33" s="406">
        <f t="shared" si="21"/>
        <v>26297546.670000002</v>
      </c>
      <c r="AK33" s="96">
        <f t="shared" si="22"/>
        <v>15370101.269999996</v>
      </c>
      <c r="AL33" s="96">
        <f>AK33/(1+0.03)^($D33-'A - Inputs'!$C$6)</f>
        <v>10466291.055637343</v>
      </c>
      <c r="AM33" s="407">
        <f>AK33/(1+0.07)^($D33-'A - Inputs'!$C$6)</f>
        <v>6378045.5874964595</v>
      </c>
    </row>
    <row r="34" spans="4:39" x14ac:dyDescent="0.25">
      <c r="D34" s="161">
        <f t="shared" si="20"/>
        <v>2033</v>
      </c>
      <c r="E34" s="183">
        <f t="shared" si="20"/>
        <v>11</v>
      </c>
      <c r="F34" s="32">
        <f t="shared" si="4"/>
        <v>6</v>
      </c>
      <c r="G34" s="401">
        <f>IF(OR($D34&lt;$D$29,$E34&gt;'A - Inputs'!$C$11),0,$E$3)</f>
        <v>58.5</v>
      </c>
      <c r="H34" s="410">
        <f>IF(OR($D34&lt;$D$29,$E34&gt;'A - Inputs'!$C$11),0,$E$4)</f>
        <v>26.2</v>
      </c>
      <c r="I34" s="410">
        <f>IF(OR($D34&lt;$D$29,$E34&gt;'A - Inputs'!$C$11),0,$E$5)</f>
        <v>104.3</v>
      </c>
      <c r="J34" s="410">
        <f>IF(OR($D34&lt;$D$29,$E34&gt;'A - Inputs'!$C$11),0,$E$6)</f>
        <v>52.2</v>
      </c>
      <c r="K34" s="410">
        <f>IF(OR($D34&lt;$D$29,$E34&gt;'A - Inputs'!$C$11),0,$E$7)</f>
        <v>28.6</v>
      </c>
      <c r="L34" s="410">
        <f>IF(OR($D34&lt;$D$29,$E34&gt;'A - Inputs'!$C$11),0,$E$8)</f>
        <v>8.8000000000000007</v>
      </c>
      <c r="M34" s="411">
        <f>IF(OR($D34&lt;$D$29,$E34&gt;'A - Inputs'!$C$11),0,$E$9)</f>
        <v>52</v>
      </c>
      <c r="N34" s="401">
        <f>IF(OR($D34&lt;$D$29,$E34&gt;'A - Inputs'!$C$11),0,$F$4)</f>
        <v>18.600000000000001</v>
      </c>
      <c r="O34" s="410">
        <f>IF(OR($D34&lt;$D$29,$E34&gt;'A - Inputs'!$C$11),0,$F$4)</f>
        <v>18.600000000000001</v>
      </c>
      <c r="P34" s="410">
        <f>IF(OR($D34&lt;$D$29,$E34&gt;'A - Inputs'!$C$11),0,$F$5)</f>
        <v>69.900000000000006</v>
      </c>
      <c r="Q34" s="410">
        <f>IF(OR($D34&lt;$D$29,$E34&gt;'A - Inputs'!$C$11),0,$F$6)</f>
        <v>35</v>
      </c>
      <c r="R34" s="410">
        <f>IF(OR($D34&lt;$D$29,$E34&gt;'A - Inputs'!$C$11),0,$F$7)</f>
        <v>18.100000000000001</v>
      </c>
      <c r="S34" s="410">
        <f>IF(OR($D34&lt;$D$29,$E34&gt;'A - Inputs'!$C$11),0,$F$8)</f>
        <v>13.3</v>
      </c>
      <c r="T34" s="411">
        <f>IF(OR($D34&lt;$D$29,$E34&gt;'A - Inputs'!$C$11),0,$F$9)</f>
        <v>32.9</v>
      </c>
      <c r="U34" s="404">
        <f t="shared" si="5"/>
        <v>6844394.7000000002</v>
      </c>
      <c r="V34" s="404">
        <f t="shared" si="6"/>
        <v>3065352.84</v>
      </c>
      <c r="W34" s="404">
        <f t="shared" si="7"/>
        <v>12202912.26</v>
      </c>
      <c r="X34" s="404">
        <f t="shared" si="8"/>
        <v>6107306.04</v>
      </c>
      <c r="Y34" s="404">
        <f t="shared" si="9"/>
        <v>4302054.9000000004</v>
      </c>
      <c r="Z34" s="404">
        <f t="shared" si="10"/>
        <v>1323709.2000000002</v>
      </c>
      <c r="AA34" s="405">
        <f t="shared" si="11"/>
        <v>7821918</v>
      </c>
      <c r="AB34" s="405">
        <f t="shared" si="12"/>
        <v>41667647.939999998</v>
      </c>
      <c r="AC34" s="404">
        <f t="shared" si="13"/>
        <v>2176166.52</v>
      </c>
      <c r="AD34" s="404">
        <f t="shared" si="14"/>
        <v>2176166.52</v>
      </c>
      <c r="AE34" s="404">
        <f t="shared" si="15"/>
        <v>8178174.1800000006</v>
      </c>
      <c r="AF34" s="404">
        <f t="shared" si="16"/>
        <v>4094937</v>
      </c>
      <c r="AG34" s="404">
        <f t="shared" si="17"/>
        <v>2722629.1500000004</v>
      </c>
      <c r="AH34" s="404">
        <f t="shared" si="18"/>
        <v>2000605.9500000002</v>
      </c>
      <c r="AI34" s="405">
        <f t="shared" si="19"/>
        <v>4948867.3499999996</v>
      </c>
      <c r="AJ34" s="406">
        <f t="shared" si="21"/>
        <v>26297546.670000002</v>
      </c>
      <c r="AK34" s="96">
        <f t="shared" si="22"/>
        <v>15370101.269999996</v>
      </c>
      <c r="AL34" s="96">
        <f>AK34/(1+0.03)^($D34-'A - Inputs'!$C$6)</f>
        <v>10161447.62683237</v>
      </c>
      <c r="AM34" s="407">
        <f>AK34/(1+0.07)^($D34-'A - Inputs'!$C$6)</f>
        <v>5960790.2686882801</v>
      </c>
    </row>
    <row r="35" spans="4:39" x14ac:dyDescent="0.25">
      <c r="D35" s="161">
        <f t="shared" si="20"/>
        <v>2034</v>
      </c>
      <c r="E35" s="183">
        <f t="shared" si="20"/>
        <v>12</v>
      </c>
      <c r="F35" s="32">
        <f t="shared" si="4"/>
        <v>7</v>
      </c>
      <c r="G35" s="401">
        <f>IF(OR($D35&lt;$D$29,$E35&gt;'A - Inputs'!$C$11),0,$E$3)</f>
        <v>58.5</v>
      </c>
      <c r="H35" s="410">
        <f>IF(OR($D35&lt;$D$29,$E35&gt;'A - Inputs'!$C$11),0,$E$4)</f>
        <v>26.2</v>
      </c>
      <c r="I35" s="410">
        <f>IF(OR($D35&lt;$D$29,$E35&gt;'A - Inputs'!$C$11),0,$E$5)</f>
        <v>104.3</v>
      </c>
      <c r="J35" s="410">
        <f>IF(OR($D35&lt;$D$29,$E35&gt;'A - Inputs'!$C$11),0,$E$6)</f>
        <v>52.2</v>
      </c>
      <c r="K35" s="410">
        <f>IF(OR($D35&lt;$D$29,$E35&gt;'A - Inputs'!$C$11),0,$E$7)</f>
        <v>28.6</v>
      </c>
      <c r="L35" s="410">
        <f>IF(OR($D35&lt;$D$29,$E35&gt;'A - Inputs'!$C$11),0,$E$8)</f>
        <v>8.8000000000000007</v>
      </c>
      <c r="M35" s="411">
        <f>IF(OR($D35&lt;$D$29,$E35&gt;'A - Inputs'!$C$11),0,$E$9)</f>
        <v>52</v>
      </c>
      <c r="N35" s="401">
        <f>IF(OR($D35&lt;$D$29,$E35&gt;'A - Inputs'!$C$11),0,$F$4)</f>
        <v>18.600000000000001</v>
      </c>
      <c r="O35" s="410">
        <f>IF(OR($D35&lt;$D$29,$E35&gt;'A - Inputs'!$C$11),0,$F$4)</f>
        <v>18.600000000000001</v>
      </c>
      <c r="P35" s="410">
        <f>IF(OR($D35&lt;$D$29,$E35&gt;'A - Inputs'!$C$11),0,$F$5)</f>
        <v>69.900000000000006</v>
      </c>
      <c r="Q35" s="410">
        <f>IF(OR($D35&lt;$D$29,$E35&gt;'A - Inputs'!$C$11),0,$F$6)</f>
        <v>35</v>
      </c>
      <c r="R35" s="410">
        <f>IF(OR($D35&lt;$D$29,$E35&gt;'A - Inputs'!$C$11),0,$F$7)</f>
        <v>18.100000000000001</v>
      </c>
      <c r="S35" s="410">
        <f>IF(OR($D35&lt;$D$29,$E35&gt;'A - Inputs'!$C$11),0,$F$8)</f>
        <v>13.3</v>
      </c>
      <c r="T35" s="411">
        <f>IF(OR($D35&lt;$D$29,$E35&gt;'A - Inputs'!$C$11),0,$F$9)</f>
        <v>32.9</v>
      </c>
      <c r="U35" s="404">
        <f t="shared" si="5"/>
        <v>6844394.7000000002</v>
      </c>
      <c r="V35" s="404">
        <f t="shared" si="6"/>
        <v>3065352.84</v>
      </c>
      <c r="W35" s="404">
        <f t="shared" si="7"/>
        <v>12202912.26</v>
      </c>
      <c r="X35" s="404">
        <f t="shared" si="8"/>
        <v>6107306.04</v>
      </c>
      <c r="Y35" s="404">
        <f t="shared" si="9"/>
        <v>4302054.9000000004</v>
      </c>
      <c r="Z35" s="404">
        <f t="shared" si="10"/>
        <v>1323709.2000000002</v>
      </c>
      <c r="AA35" s="405">
        <f t="shared" si="11"/>
        <v>7821918</v>
      </c>
      <c r="AB35" s="405">
        <f t="shared" si="12"/>
        <v>41667647.939999998</v>
      </c>
      <c r="AC35" s="404">
        <f t="shared" si="13"/>
        <v>2176166.52</v>
      </c>
      <c r="AD35" s="404">
        <f t="shared" si="14"/>
        <v>2176166.52</v>
      </c>
      <c r="AE35" s="404">
        <f t="shared" si="15"/>
        <v>8178174.1800000006</v>
      </c>
      <c r="AF35" s="404">
        <f t="shared" si="16"/>
        <v>4094937</v>
      </c>
      <c r="AG35" s="404">
        <f t="shared" si="17"/>
        <v>2722629.1500000004</v>
      </c>
      <c r="AH35" s="404">
        <f t="shared" si="18"/>
        <v>2000605.9500000002</v>
      </c>
      <c r="AI35" s="405">
        <f t="shared" si="19"/>
        <v>4948867.3499999996</v>
      </c>
      <c r="AJ35" s="406">
        <f t="shared" si="21"/>
        <v>26297546.670000002</v>
      </c>
      <c r="AK35" s="96">
        <f t="shared" si="22"/>
        <v>15370101.269999996</v>
      </c>
      <c r="AL35" s="96">
        <f>AK35/(1+0.03)^($D35-'A - Inputs'!$C$6)</f>
        <v>9865483.1328469608</v>
      </c>
      <c r="AM35" s="407">
        <f>AK35/(1+0.07)^($D35-'A - Inputs'!$C$6)</f>
        <v>5570832.0268114759</v>
      </c>
    </row>
    <row r="36" spans="4:39" x14ac:dyDescent="0.25">
      <c r="D36" s="161">
        <f t="shared" si="20"/>
        <v>2035</v>
      </c>
      <c r="E36" s="183">
        <f t="shared" si="20"/>
        <v>13</v>
      </c>
      <c r="F36" s="32">
        <f t="shared" si="4"/>
        <v>8</v>
      </c>
      <c r="G36" s="401">
        <f>IF(OR($D36&lt;$D$29,$E36&gt;'A - Inputs'!$C$11),0,$E$3)</f>
        <v>58.5</v>
      </c>
      <c r="H36" s="410">
        <f>IF(OR($D36&lt;$D$29,$E36&gt;'A - Inputs'!$C$11),0,$E$4)</f>
        <v>26.2</v>
      </c>
      <c r="I36" s="410">
        <f>IF(OR($D36&lt;$D$29,$E36&gt;'A - Inputs'!$C$11),0,$E$5)</f>
        <v>104.3</v>
      </c>
      <c r="J36" s="410">
        <f>IF(OR($D36&lt;$D$29,$E36&gt;'A - Inputs'!$C$11),0,$E$6)</f>
        <v>52.2</v>
      </c>
      <c r="K36" s="410">
        <f>IF(OR($D36&lt;$D$29,$E36&gt;'A - Inputs'!$C$11),0,$E$7)</f>
        <v>28.6</v>
      </c>
      <c r="L36" s="410">
        <f>IF(OR($D36&lt;$D$29,$E36&gt;'A - Inputs'!$C$11),0,$E$8)</f>
        <v>8.8000000000000007</v>
      </c>
      <c r="M36" s="411">
        <f>IF(OR($D36&lt;$D$29,$E36&gt;'A - Inputs'!$C$11),0,$E$9)</f>
        <v>52</v>
      </c>
      <c r="N36" s="401">
        <f>IF(OR($D36&lt;$D$29,$E36&gt;'A - Inputs'!$C$11),0,$F$4)</f>
        <v>18.600000000000001</v>
      </c>
      <c r="O36" s="410">
        <f>IF(OR($D36&lt;$D$29,$E36&gt;'A - Inputs'!$C$11),0,$F$4)</f>
        <v>18.600000000000001</v>
      </c>
      <c r="P36" s="410">
        <f>IF(OR($D36&lt;$D$29,$E36&gt;'A - Inputs'!$C$11),0,$F$5)</f>
        <v>69.900000000000006</v>
      </c>
      <c r="Q36" s="410">
        <f>IF(OR($D36&lt;$D$29,$E36&gt;'A - Inputs'!$C$11),0,$F$6)</f>
        <v>35</v>
      </c>
      <c r="R36" s="410">
        <f>IF(OR($D36&lt;$D$29,$E36&gt;'A - Inputs'!$C$11),0,$F$7)</f>
        <v>18.100000000000001</v>
      </c>
      <c r="S36" s="410">
        <f>IF(OR($D36&lt;$D$29,$E36&gt;'A - Inputs'!$C$11),0,$F$8)</f>
        <v>13.3</v>
      </c>
      <c r="T36" s="411">
        <f>IF(OR($D36&lt;$D$29,$E36&gt;'A - Inputs'!$C$11),0,$F$9)</f>
        <v>32.9</v>
      </c>
      <c r="U36" s="404">
        <f t="shared" si="5"/>
        <v>6844394.7000000002</v>
      </c>
      <c r="V36" s="404">
        <f t="shared" si="6"/>
        <v>3065352.84</v>
      </c>
      <c r="W36" s="404">
        <f t="shared" si="7"/>
        <v>12202912.26</v>
      </c>
      <c r="X36" s="404">
        <f t="shared" si="8"/>
        <v>6107306.04</v>
      </c>
      <c r="Y36" s="404">
        <f t="shared" si="9"/>
        <v>4302054.9000000004</v>
      </c>
      <c r="Z36" s="404">
        <f t="shared" si="10"/>
        <v>1323709.2000000002</v>
      </c>
      <c r="AA36" s="405">
        <f t="shared" si="11"/>
        <v>7821918</v>
      </c>
      <c r="AB36" s="405">
        <f t="shared" si="12"/>
        <v>41667647.939999998</v>
      </c>
      <c r="AC36" s="404">
        <f t="shared" si="13"/>
        <v>2176166.52</v>
      </c>
      <c r="AD36" s="404">
        <f t="shared" si="14"/>
        <v>2176166.52</v>
      </c>
      <c r="AE36" s="404">
        <f t="shared" si="15"/>
        <v>8178174.1800000006</v>
      </c>
      <c r="AF36" s="404">
        <f t="shared" si="16"/>
        <v>4094937</v>
      </c>
      <c r="AG36" s="404">
        <f t="shared" si="17"/>
        <v>2722629.1500000004</v>
      </c>
      <c r="AH36" s="404">
        <f t="shared" si="18"/>
        <v>2000605.9500000002</v>
      </c>
      <c r="AI36" s="405">
        <f t="shared" si="19"/>
        <v>4948867.3499999996</v>
      </c>
      <c r="AJ36" s="406">
        <f t="shared" si="21"/>
        <v>26297546.670000002</v>
      </c>
      <c r="AK36" s="96">
        <f t="shared" si="22"/>
        <v>15370101.269999996</v>
      </c>
      <c r="AL36" s="96">
        <f>AK36/(1+0.03)^($D36-'A - Inputs'!$C$6)</f>
        <v>9578138.9639290906</v>
      </c>
      <c r="AM36" s="407">
        <f>AK36/(1+0.07)^($D36-'A - Inputs'!$C$6)</f>
        <v>5206385.0717864269</v>
      </c>
    </row>
    <row r="37" spans="4:39" x14ac:dyDescent="0.25">
      <c r="D37" s="161">
        <f t="shared" si="20"/>
        <v>2036</v>
      </c>
      <c r="E37" s="183">
        <f t="shared" si="20"/>
        <v>14</v>
      </c>
      <c r="F37" s="32">
        <f t="shared" si="4"/>
        <v>9</v>
      </c>
      <c r="G37" s="401">
        <f>IF(OR($D37&lt;$D$29,$E37&gt;'A - Inputs'!$C$11),0,$E$3)</f>
        <v>58.5</v>
      </c>
      <c r="H37" s="410">
        <f>IF(OR($D37&lt;$D$29,$E37&gt;'A - Inputs'!$C$11),0,$E$4)</f>
        <v>26.2</v>
      </c>
      <c r="I37" s="410">
        <f>IF(OR($D37&lt;$D$29,$E37&gt;'A - Inputs'!$C$11),0,$E$5)</f>
        <v>104.3</v>
      </c>
      <c r="J37" s="410">
        <f>IF(OR($D37&lt;$D$29,$E37&gt;'A - Inputs'!$C$11),0,$E$6)</f>
        <v>52.2</v>
      </c>
      <c r="K37" s="410">
        <f>IF(OR($D37&lt;$D$29,$E37&gt;'A - Inputs'!$C$11),0,$E$7)</f>
        <v>28.6</v>
      </c>
      <c r="L37" s="410">
        <f>IF(OR($D37&lt;$D$29,$E37&gt;'A - Inputs'!$C$11),0,$E$8)</f>
        <v>8.8000000000000007</v>
      </c>
      <c r="M37" s="411">
        <f>IF(OR($D37&lt;$D$29,$E37&gt;'A - Inputs'!$C$11),0,$E$9)</f>
        <v>52</v>
      </c>
      <c r="N37" s="401">
        <f>IF(OR($D37&lt;$D$29,$E37&gt;'A - Inputs'!$C$11),0,$F$4)</f>
        <v>18.600000000000001</v>
      </c>
      <c r="O37" s="410">
        <f>IF(OR($D37&lt;$D$29,$E37&gt;'A - Inputs'!$C$11),0,$F$4)</f>
        <v>18.600000000000001</v>
      </c>
      <c r="P37" s="410">
        <f>IF(OR($D37&lt;$D$29,$E37&gt;'A - Inputs'!$C$11),0,$F$5)</f>
        <v>69.900000000000006</v>
      </c>
      <c r="Q37" s="410">
        <f>IF(OR($D37&lt;$D$29,$E37&gt;'A - Inputs'!$C$11),0,$F$6)</f>
        <v>35</v>
      </c>
      <c r="R37" s="410">
        <f>IF(OR($D37&lt;$D$29,$E37&gt;'A - Inputs'!$C$11),0,$F$7)</f>
        <v>18.100000000000001</v>
      </c>
      <c r="S37" s="410">
        <f>IF(OR($D37&lt;$D$29,$E37&gt;'A - Inputs'!$C$11),0,$F$8)</f>
        <v>13.3</v>
      </c>
      <c r="T37" s="411">
        <f>IF(OR($D37&lt;$D$29,$E37&gt;'A - Inputs'!$C$11),0,$F$9)</f>
        <v>32.9</v>
      </c>
      <c r="U37" s="404">
        <f t="shared" si="5"/>
        <v>6844394.7000000002</v>
      </c>
      <c r="V37" s="404">
        <f t="shared" si="6"/>
        <v>3065352.84</v>
      </c>
      <c r="W37" s="404">
        <f t="shared" si="7"/>
        <v>12202912.26</v>
      </c>
      <c r="X37" s="404">
        <f t="shared" si="8"/>
        <v>6107306.04</v>
      </c>
      <c r="Y37" s="404">
        <f t="shared" si="9"/>
        <v>4302054.9000000004</v>
      </c>
      <c r="Z37" s="404">
        <f t="shared" si="10"/>
        <v>1323709.2000000002</v>
      </c>
      <c r="AA37" s="405">
        <f t="shared" si="11"/>
        <v>7821918</v>
      </c>
      <c r="AB37" s="405">
        <f t="shared" si="12"/>
        <v>41667647.939999998</v>
      </c>
      <c r="AC37" s="404">
        <f t="shared" si="13"/>
        <v>2176166.52</v>
      </c>
      <c r="AD37" s="404">
        <f t="shared" si="14"/>
        <v>2176166.52</v>
      </c>
      <c r="AE37" s="404">
        <f t="shared" si="15"/>
        <v>8178174.1800000006</v>
      </c>
      <c r="AF37" s="404">
        <f t="shared" si="16"/>
        <v>4094937</v>
      </c>
      <c r="AG37" s="404">
        <f t="shared" si="17"/>
        <v>2722629.1500000004</v>
      </c>
      <c r="AH37" s="404">
        <f t="shared" si="18"/>
        <v>2000605.9500000002</v>
      </c>
      <c r="AI37" s="405">
        <f t="shared" si="19"/>
        <v>4948867.3499999996</v>
      </c>
      <c r="AJ37" s="406">
        <f t="shared" si="21"/>
        <v>26297546.670000002</v>
      </c>
      <c r="AK37" s="96">
        <f t="shared" si="22"/>
        <v>15370101.269999996</v>
      </c>
      <c r="AL37" s="96">
        <f>AK37/(1+0.03)^($D37-'A - Inputs'!$C$6)</f>
        <v>9299164.0426496025</v>
      </c>
      <c r="AM37" s="407">
        <f>AK37/(1+0.07)^($D37-'A - Inputs'!$C$6)</f>
        <v>4865780.4409218943</v>
      </c>
    </row>
    <row r="38" spans="4:39" x14ac:dyDescent="0.25">
      <c r="D38" s="161">
        <f t="shared" si="20"/>
        <v>2037</v>
      </c>
      <c r="E38" s="183">
        <f t="shared" si="20"/>
        <v>15</v>
      </c>
      <c r="F38" s="32">
        <f t="shared" si="4"/>
        <v>10</v>
      </c>
      <c r="G38" s="401">
        <f>IF(OR($D38&lt;$D$29,$E38&gt;'A - Inputs'!$C$11),0,$E$3)</f>
        <v>58.5</v>
      </c>
      <c r="H38" s="410">
        <f>IF(OR($D38&lt;$D$29,$E38&gt;'A - Inputs'!$C$11),0,$E$4)</f>
        <v>26.2</v>
      </c>
      <c r="I38" s="410">
        <f>IF(OR($D38&lt;$D$29,$E38&gt;'A - Inputs'!$C$11),0,$E$5)</f>
        <v>104.3</v>
      </c>
      <c r="J38" s="410">
        <f>IF(OR($D38&lt;$D$29,$E38&gt;'A - Inputs'!$C$11),0,$E$6)</f>
        <v>52.2</v>
      </c>
      <c r="K38" s="410">
        <f>IF(OR($D38&lt;$D$29,$E38&gt;'A - Inputs'!$C$11),0,$E$7)</f>
        <v>28.6</v>
      </c>
      <c r="L38" s="410">
        <f>IF(OR($D38&lt;$D$29,$E38&gt;'A - Inputs'!$C$11),0,$E$8)</f>
        <v>8.8000000000000007</v>
      </c>
      <c r="M38" s="411">
        <f>IF(OR($D38&lt;$D$29,$E38&gt;'A - Inputs'!$C$11),0,$E$9)</f>
        <v>52</v>
      </c>
      <c r="N38" s="401">
        <f>IF(OR($D38&lt;$D$29,$E38&gt;'A - Inputs'!$C$11),0,$F$4)</f>
        <v>18.600000000000001</v>
      </c>
      <c r="O38" s="410">
        <f>IF(OR($D38&lt;$D$29,$E38&gt;'A - Inputs'!$C$11),0,$F$4)</f>
        <v>18.600000000000001</v>
      </c>
      <c r="P38" s="410">
        <f>IF(OR($D38&lt;$D$29,$E38&gt;'A - Inputs'!$C$11),0,$F$5)</f>
        <v>69.900000000000006</v>
      </c>
      <c r="Q38" s="410">
        <f>IF(OR($D38&lt;$D$29,$E38&gt;'A - Inputs'!$C$11),0,$F$6)</f>
        <v>35</v>
      </c>
      <c r="R38" s="410">
        <f>IF(OR($D38&lt;$D$29,$E38&gt;'A - Inputs'!$C$11),0,$F$7)</f>
        <v>18.100000000000001</v>
      </c>
      <c r="S38" s="410">
        <f>IF(OR($D38&lt;$D$29,$E38&gt;'A - Inputs'!$C$11),0,$F$8)</f>
        <v>13.3</v>
      </c>
      <c r="T38" s="411">
        <f>IF(OR($D38&lt;$D$29,$E38&gt;'A - Inputs'!$C$11),0,$F$9)</f>
        <v>32.9</v>
      </c>
      <c r="U38" s="404">
        <f t="shared" si="5"/>
        <v>6844394.7000000002</v>
      </c>
      <c r="V38" s="404">
        <f t="shared" si="6"/>
        <v>3065352.84</v>
      </c>
      <c r="W38" s="404">
        <f t="shared" si="7"/>
        <v>12202912.26</v>
      </c>
      <c r="X38" s="404">
        <f t="shared" si="8"/>
        <v>6107306.04</v>
      </c>
      <c r="Y38" s="404">
        <f t="shared" si="9"/>
        <v>4302054.9000000004</v>
      </c>
      <c r="Z38" s="404">
        <f t="shared" si="10"/>
        <v>1323709.2000000002</v>
      </c>
      <c r="AA38" s="405">
        <f t="shared" si="11"/>
        <v>7821918</v>
      </c>
      <c r="AB38" s="405">
        <f t="shared" si="12"/>
        <v>41667647.939999998</v>
      </c>
      <c r="AC38" s="404">
        <f t="shared" si="13"/>
        <v>2176166.52</v>
      </c>
      <c r="AD38" s="404">
        <f t="shared" si="14"/>
        <v>2176166.52</v>
      </c>
      <c r="AE38" s="404">
        <f t="shared" si="15"/>
        <v>8178174.1800000006</v>
      </c>
      <c r="AF38" s="404">
        <f t="shared" si="16"/>
        <v>4094937</v>
      </c>
      <c r="AG38" s="404">
        <f t="shared" si="17"/>
        <v>2722629.1500000004</v>
      </c>
      <c r="AH38" s="404">
        <f t="shared" si="18"/>
        <v>2000605.9500000002</v>
      </c>
      <c r="AI38" s="405">
        <f t="shared" si="19"/>
        <v>4948867.3499999996</v>
      </c>
      <c r="AJ38" s="406">
        <f t="shared" si="21"/>
        <v>26297546.670000002</v>
      </c>
      <c r="AK38" s="96">
        <f t="shared" si="22"/>
        <v>15370101.269999996</v>
      </c>
      <c r="AL38" s="96">
        <f>AK38/(1+0.03)^($D38-'A - Inputs'!$C$6)</f>
        <v>9028314.604514176</v>
      </c>
      <c r="AM38" s="407">
        <f>AK38/(1+0.07)^($D38-'A - Inputs'!$C$6)</f>
        <v>4547458.3560017701</v>
      </c>
    </row>
    <row r="39" spans="4:39" x14ac:dyDescent="0.25">
      <c r="D39" s="161">
        <f t="shared" si="20"/>
        <v>2038</v>
      </c>
      <c r="E39" s="183">
        <f t="shared" si="20"/>
        <v>16</v>
      </c>
      <c r="F39" s="32">
        <f t="shared" si="4"/>
        <v>11</v>
      </c>
      <c r="G39" s="401">
        <f>IF(OR($D39&lt;$D$29,$E39&gt;'A - Inputs'!$C$11),0,$E$3)</f>
        <v>58.5</v>
      </c>
      <c r="H39" s="410">
        <f>IF(OR($D39&lt;$D$29,$E39&gt;'A - Inputs'!$C$11),0,$E$4)</f>
        <v>26.2</v>
      </c>
      <c r="I39" s="410">
        <f>IF(OR($D39&lt;$D$29,$E39&gt;'A - Inputs'!$C$11),0,$E$5)</f>
        <v>104.3</v>
      </c>
      <c r="J39" s="410">
        <f>IF(OR($D39&lt;$D$29,$E39&gt;'A - Inputs'!$C$11),0,$E$6)</f>
        <v>52.2</v>
      </c>
      <c r="K39" s="410">
        <f>IF(OR($D39&lt;$D$29,$E39&gt;'A - Inputs'!$C$11),0,$E$7)</f>
        <v>28.6</v>
      </c>
      <c r="L39" s="410">
        <f>IF(OR($D39&lt;$D$29,$E39&gt;'A - Inputs'!$C$11),0,$E$8)</f>
        <v>8.8000000000000007</v>
      </c>
      <c r="M39" s="411">
        <f>IF(OR($D39&lt;$D$29,$E39&gt;'A - Inputs'!$C$11),0,$E$9)</f>
        <v>52</v>
      </c>
      <c r="N39" s="401">
        <f>IF(OR($D39&lt;$D$29,$E39&gt;'A - Inputs'!$C$11),0,$F$4)</f>
        <v>18.600000000000001</v>
      </c>
      <c r="O39" s="410">
        <f>IF(OR($D39&lt;$D$29,$E39&gt;'A - Inputs'!$C$11),0,$F$4)</f>
        <v>18.600000000000001</v>
      </c>
      <c r="P39" s="410">
        <f>IF(OR($D39&lt;$D$29,$E39&gt;'A - Inputs'!$C$11),0,$F$5)</f>
        <v>69.900000000000006</v>
      </c>
      <c r="Q39" s="410">
        <f>IF(OR($D39&lt;$D$29,$E39&gt;'A - Inputs'!$C$11),0,$F$6)</f>
        <v>35</v>
      </c>
      <c r="R39" s="410">
        <f>IF(OR($D39&lt;$D$29,$E39&gt;'A - Inputs'!$C$11),0,$F$7)</f>
        <v>18.100000000000001</v>
      </c>
      <c r="S39" s="410">
        <f>IF(OR($D39&lt;$D$29,$E39&gt;'A - Inputs'!$C$11),0,$F$8)</f>
        <v>13.3</v>
      </c>
      <c r="T39" s="411">
        <f>IF(OR($D39&lt;$D$29,$E39&gt;'A - Inputs'!$C$11),0,$F$9)</f>
        <v>32.9</v>
      </c>
      <c r="U39" s="404">
        <f t="shared" si="5"/>
        <v>6844394.7000000002</v>
      </c>
      <c r="V39" s="404">
        <f t="shared" si="6"/>
        <v>3065352.84</v>
      </c>
      <c r="W39" s="404">
        <f t="shared" si="7"/>
        <v>12202912.26</v>
      </c>
      <c r="X39" s="404">
        <f t="shared" si="8"/>
        <v>6107306.04</v>
      </c>
      <c r="Y39" s="404">
        <f t="shared" si="9"/>
        <v>4302054.9000000004</v>
      </c>
      <c r="Z39" s="404">
        <f t="shared" si="10"/>
        <v>1323709.2000000002</v>
      </c>
      <c r="AA39" s="405">
        <f t="shared" si="11"/>
        <v>7821918</v>
      </c>
      <c r="AB39" s="405">
        <f t="shared" si="12"/>
        <v>41667647.939999998</v>
      </c>
      <c r="AC39" s="404">
        <f t="shared" si="13"/>
        <v>2176166.52</v>
      </c>
      <c r="AD39" s="404">
        <f t="shared" si="14"/>
        <v>2176166.52</v>
      </c>
      <c r="AE39" s="404">
        <f t="shared" si="15"/>
        <v>8178174.1800000006</v>
      </c>
      <c r="AF39" s="404">
        <f t="shared" si="16"/>
        <v>4094937</v>
      </c>
      <c r="AG39" s="404">
        <f t="shared" si="17"/>
        <v>2722629.1500000004</v>
      </c>
      <c r="AH39" s="404">
        <f t="shared" si="18"/>
        <v>2000605.9500000002</v>
      </c>
      <c r="AI39" s="405">
        <f t="shared" si="19"/>
        <v>4948867.3499999996</v>
      </c>
      <c r="AJ39" s="406">
        <f t="shared" si="21"/>
        <v>26297546.670000002</v>
      </c>
      <c r="AK39" s="96">
        <f t="shared" si="22"/>
        <v>15370101.269999996</v>
      </c>
      <c r="AL39" s="96">
        <f>AK39/(1+0.03)^($D39-'A - Inputs'!$C$6)</f>
        <v>8765353.9849652201</v>
      </c>
      <c r="AM39" s="407">
        <f>AK39/(1+0.07)^($D39-'A - Inputs'!$C$6)</f>
        <v>4249961.0803754861</v>
      </c>
    </row>
    <row r="40" spans="4:39" x14ac:dyDescent="0.25">
      <c r="D40" s="161">
        <f t="shared" ref="D40:E52" si="23">D39+1</f>
        <v>2039</v>
      </c>
      <c r="E40" s="183">
        <f t="shared" si="23"/>
        <v>17</v>
      </c>
      <c r="F40" s="32">
        <f t="shared" si="4"/>
        <v>12</v>
      </c>
      <c r="G40" s="401">
        <f>IF(OR($D40&lt;$D$29,$E40&gt;'A - Inputs'!$C$11),0,$E$3)</f>
        <v>58.5</v>
      </c>
      <c r="H40" s="410">
        <f>IF(OR($D40&lt;$D$29,$E40&gt;'A - Inputs'!$C$11),0,$E$4)</f>
        <v>26.2</v>
      </c>
      <c r="I40" s="410">
        <f>IF(OR($D40&lt;$D$29,$E40&gt;'A - Inputs'!$C$11),0,$E$5)</f>
        <v>104.3</v>
      </c>
      <c r="J40" s="410">
        <f>IF(OR($D40&lt;$D$29,$E40&gt;'A - Inputs'!$C$11),0,$E$6)</f>
        <v>52.2</v>
      </c>
      <c r="K40" s="410">
        <f>IF(OR($D40&lt;$D$29,$E40&gt;'A - Inputs'!$C$11),0,$E$7)</f>
        <v>28.6</v>
      </c>
      <c r="L40" s="410">
        <f>IF(OR($D40&lt;$D$29,$E40&gt;'A - Inputs'!$C$11),0,$E$8)</f>
        <v>8.8000000000000007</v>
      </c>
      <c r="M40" s="411">
        <f>IF(OR($D40&lt;$D$29,$E40&gt;'A - Inputs'!$C$11),0,$E$9)</f>
        <v>52</v>
      </c>
      <c r="N40" s="401">
        <f>IF(OR($D40&lt;$D$29,$E40&gt;'A - Inputs'!$C$11),0,$F$4)</f>
        <v>18.600000000000001</v>
      </c>
      <c r="O40" s="410">
        <f>IF(OR($D40&lt;$D$29,$E40&gt;'A - Inputs'!$C$11),0,$F$4)</f>
        <v>18.600000000000001</v>
      </c>
      <c r="P40" s="410">
        <f>IF(OR($D40&lt;$D$29,$E40&gt;'A - Inputs'!$C$11),0,$F$5)</f>
        <v>69.900000000000006</v>
      </c>
      <c r="Q40" s="410">
        <f>IF(OR($D40&lt;$D$29,$E40&gt;'A - Inputs'!$C$11),0,$F$6)</f>
        <v>35</v>
      </c>
      <c r="R40" s="410">
        <f>IF(OR($D40&lt;$D$29,$E40&gt;'A - Inputs'!$C$11),0,$F$7)</f>
        <v>18.100000000000001</v>
      </c>
      <c r="S40" s="410">
        <f>IF(OR($D40&lt;$D$29,$E40&gt;'A - Inputs'!$C$11),0,$F$8)</f>
        <v>13.3</v>
      </c>
      <c r="T40" s="411">
        <f>IF(OR($D40&lt;$D$29,$E40&gt;'A - Inputs'!$C$11),0,$F$9)</f>
        <v>32.9</v>
      </c>
      <c r="U40" s="404">
        <f t="shared" si="5"/>
        <v>6844394.7000000002</v>
      </c>
      <c r="V40" s="404">
        <f t="shared" si="6"/>
        <v>3065352.84</v>
      </c>
      <c r="W40" s="404">
        <f t="shared" si="7"/>
        <v>12202912.26</v>
      </c>
      <c r="X40" s="404">
        <f t="shared" si="8"/>
        <v>6107306.04</v>
      </c>
      <c r="Y40" s="404">
        <f t="shared" si="9"/>
        <v>4302054.9000000004</v>
      </c>
      <c r="Z40" s="404">
        <f t="shared" si="10"/>
        <v>1323709.2000000002</v>
      </c>
      <c r="AA40" s="405">
        <f t="shared" si="11"/>
        <v>7821918</v>
      </c>
      <c r="AB40" s="405">
        <f t="shared" si="12"/>
        <v>41667647.939999998</v>
      </c>
      <c r="AC40" s="404">
        <f t="shared" si="13"/>
        <v>2176166.52</v>
      </c>
      <c r="AD40" s="404">
        <f t="shared" si="14"/>
        <v>2176166.52</v>
      </c>
      <c r="AE40" s="404">
        <f t="shared" si="15"/>
        <v>8178174.1800000006</v>
      </c>
      <c r="AF40" s="404">
        <f t="shared" si="16"/>
        <v>4094937</v>
      </c>
      <c r="AG40" s="404">
        <f t="shared" si="17"/>
        <v>2722629.1500000004</v>
      </c>
      <c r="AH40" s="404">
        <f t="shared" si="18"/>
        <v>2000605.9500000002</v>
      </c>
      <c r="AI40" s="405">
        <f t="shared" si="19"/>
        <v>4948867.3499999996</v>
      </c>
      <c r="AJ40" s="406">
        <f t="shared" si="21"/>
        <v>26297546.670000002</v>
      </c>
      <c r="AK40" s="96">
        <f t="shared" si="22"/>
        <v>15370101.269999996</v>
      </c>
      <c r="AL40" s="96">
        <f>AK40/(1+0.03)^($D40-'A - Inputs'!$C$6)</f>
        <v>8510052.4125875924</v>
      </c>
      <c r="AM40" s="407">
        <f>AK40/(1+0.07)^($D40-'A - Inputs'!$C$6)</f>
        <v>3971926.2433415758</v>
      </c>
    </row>
    <row r="41" spans="4:39" x14ac:dyDescent="0.25">
      <c r="D41" s="161">
        <f t="shared" si="23"/>
        <v>2040</v>
      </c>
      <c r="E41" s="183">
        <f t="shared" si="23"/>
        <v>18</v>
      </c>
      <c r="F41" s="32">
        <f t="shared" si="4"/>
        <v>13</v>
      </c>
      <c r="G41" s="401">
        <f>IF(OR($D41&lt;$D$29,$E41&gt;'A - Inputs'!$C$11),0,$E$3)</f>
        <v>58.5</v>
      </c>
      <c r="H41" s="410">
        <f>IF(OR($D41&lt;$D$29,$E41&gt;'A - Inputs'!$C$11),0,$E$4)</f>
        <v>26.2</v>
      </c>
      <c r="I41" s="410">
        <f>IF(OR($D41&lt;$D$29,$E41&gt;'A - Inputs'!$C$11),0,$E$5)</f>
        <v>104.3</v>
      </c>
      <c r="J41" s="410">
        <f>IF(OR($D41&lt;$D$29,$E41&gt;'A - Inputs'!$C$11),0,$E$6)</f>
        <v>52.2</v>
      </c>
      <c r="K41" s="410">
        <f>IF(OR($D41&lt;$D$29,$E41&gt;'A - Inputs'!$C$11),0,$E$7)</f>
        <v>28.6</v>
      </c>
      <c r="L41" s="410">
        <f>IF(OR($D41&lt;$D$29,$E41&gt;'A - Inputs'!$C$11),0,$E$8)</f>
        <v>8.8000000000000007</v>
      </c>
      <c r="M41" s="411">
        <f>IF(OR($D41&lt;$D$29,$E41&gt;'A - Inputs'!$C$11),0,$E$9)</f>
        <v>52</v>
      </c>
      <c r="N41" s="401">
        <f>IF(OR($D41&lt;$D$29,$E41&gt;'A - Inputs'!$C$11),0,$F$4)</f>
        <v>18.600000000000001</v>
      </c>
      <c r="O41" s="410">
        <f>IF(OR($D41&lt;$D$29,$E41&gt;'A - Inputs'!$C$11),0,$F$4)</f>
        <v>18.600000000000001</v>
      </c>
      <c r="P41" s="410">
        <f>IF(OR($D41&lt;$D$29,$E41&gt;'A - Inputs'!$C$11),0,$F$5)</f>
        <v>69.900000000000006</v>
      </c>
      <c r="Q41" s="410">
        <f>IF(OR($D41&lt;$D$29,$E41&gt;'A - Inputs'!$C$11),0,$F$6)</f>
        <v>35</v>
      </c>
      <c r="R41" s="410">
        <f>IF(OR($D41&lt;$D$29,$E41&gt;'A - Inputs'!$C$11),0,$F$7)</f>
        <v>18.100000000000001</v>
      </c>
      <c r="S41" s="410">
        <f>IF(OR($D41&lt;$D$29,$E41&gt;'A - Inputs'!$C$11),0,$F$8)</f>
        <v>13.3</v>
      </c>
      <c r="T41" s="411">
        <f>IF(OR($D41&lt;$D$29,$E41&gt;'A - Inputs'!$C$11),0,$F$9)</f>
        <v>32.9</v>
      </c>
      <c r="U41" s="404">
        <f t="shared" si="5"/>
        <v>6844394.7000000002</v>
      </c>
      <c r="V41" s="404">
        <f t="shared" si="6"/>
        <v>3065352.84</v>
      </c>
      <c r="W41" s="404">
        <f t="shared" si="7"/>
        <v>12202912.26</v>
      </c>
      <c r="X41" s="404">
        <f t="shared" si="8"/>
        <v>6107306.04</v>
      </c>
      <c r="Y41" s="404">
        <f t="shared" si="9"/>
        <v>4302054.9000000004</v>
      </c>
      <c r="Z41" s="404">
        <f t="shared" si="10"/>
        <v>1323709.2000000002</v>
      </c>
      <c r="AA41" s="405">
        <f t="shared" si="11"/>
        <v>7821918</v>
      </c>
      <c r="AB41" s="405">
        <f t="shared" si="12"/>
        <v>41667647.939999998</v>
      </c>
      <c r="AC41" s="404">
        <f t="shared" si="13"/>
        <v>2176166.52</v>
      </c>
      <c r="AD41" s="404">
        <f t="shared" si="14"/>
        <v>2176166.52</v>
      </c>
      <c r="AE41" s="404">
        <f t="shared" si="15"/>
        <v>8178174.1800000006</v>
      </c>
      <c r="AF41" s="404">
        <f t="shared" si="16"/>
        <v>4094937</v>
      </c>
      <c r="AG41" s="404">
        <f t="shared" si="17"/>
        <v>2722629.1500000004</v>
      </c>
      <c r="AH41" s="404">
        <f t="shared" si="18"/>
        <v>2000605.9500000002</v>
      </c>
      <c r="AI41" s="405">
        <f t="shared" si="19"/>
        <v>4948867.3499999996</v>
      </c>
      <c r="AJ41" s="406">
        <f t="shared" si="21"/>
        <v>26297546.670000002</v>
      </c>
      <c r="AK41" s="96">
        <f t="shared" si="22"/>
        <v>15370101.269999996</v>
      </c>
      <c r="AL41" s="96">
        <f>AK41/(1+0.03)^($D41-'A - Inputs'!$C$6)</f>
        <v>8262186.8083374696</v>
      </c>
      <c r="AM41" s="407">
        <f>AK41/(1+0.07)^($D41-'A - Inputs'!$C$6)</f>
        <v>3712080.6012538089</v>
      </c>
    </row>
    <row r="42" spans="4:39" x14ac:dyDescent="0.25">
      <c r="D42" s="161">
        <f t="shared" si="23"/>
        <v>2041</v>
      </c>
      <c r="E42" s="183">
        <f t="shared" si="23"/>
        <v>19</v>
      </c>
      <c r="F42" s="32">
        <f t="shared" si="4"/>
        <v>14</v>
      </c>
      <c r="G42" s="401">
        <f>IF(OR($D42&lt;$D$29,$E42&gt;'A - Inputs'!$C$11),0,$E$3)</f>
        <v>58.5</v>
      </c>
      <c r="H42" s="410">
        <f>IF(OR($D42&lt;$D$29,$E42&gt;'A - Inputs'!$C$11),0,$E$4)</f>
        <v>26.2</v>
      </c>
      <c r="I42" s="410">
        <f>IF(OR($D42&lt;$D$29,$E42&gt;'A - Inputs'!$C$11),0,$E$5)</f>
        <v>104.3</v>
      </c>
      <c r="J42" s="410">
        <f>IF(OR($D42&lt;$D$29,$E42&gt;'A - Inputs'!$C$11),0,$E$6)</f>
        <v>52.2</v>
      </c>
      <c r="K42" s="410">
        <f>IF(OR($D42&lt;$D$29,$E42&gt;'A - Inputs'!$C$11),0,$E$7)</f>
        <v>28.6</v>
      </c>
      <c r="L42" s="410">
        <f>IF(OR($D42&lt;$D$29,$E42&gt;'A - Inputs'!$C$11),0,$E$8)</f>
        <v>8.8000000000000007</v>
      </c>
      <c r="M42" s="411">
        <f>IF(OR($D42&lt;$D$29,$E42&gt;'A - Inputs'!$C$11),0,$E$9)</f>
        <v>52</v>
      </c>
      <c r="N42" s="401">
        <f>IF(OR($D42&lt;$D$29,$E42&gt;'A - Inputs'!$C$11),0,$F$4)</f>
        <v>18.600000000000001</v>
      </c>
      <c r="O42" s="410">
        <f>IF(OR($D42&lt;$D$29,$E42&gt;'A - Inputs'!$C$11),0,$F$4)</f>
        <v>18.600000000000001</v>
      </c>
      <c r="P42" s="410">
        <f>IF(OR($D42&lt;$D$29,$E42&gt;'A - Inputs'!$C$11),0,$F$5)</f>
        <v>69.900000000000006</v>
      </c>
      <c r="Q42" s="410">
        <f>IF(OR($D42&lt;$D$29,$E42&gt;'A - Inputs'!$C$11),0,$F$6)</f>
        <v>35</v>
      </c>
      <c r="R42" s="410">
        <f>IF(OR($D42&lt;$D$29,$E42&gt;'A - Inputs'!$C$11),0,$F$7)</f>
        <v>18.100000000000001</v>
      </c>
      <c r="S42" s="410">
        <f>IF(OR($D42&lt;$D$29,$E42&gt;'A - Inputs'!$C$11),0,$F$8)</f>
        <v>13.3</v>
      </c>
      <c r="T42" s="411">
        <f>IF(OR($D42&lt;$D$29,$E42&gt;'A - Inputs'!$C$11),0,$F$9)</f>
        <v>32.9</v>
      </c>
      <c r="U42" s="404">
        <f t="shared" si="5"/>
        <v>6844394.7000000002</v>
      </c>
      <c r="V42" s="404">
        <f t="shared" si="6"/>
        <v>3065352.84</v>
      </c>
      <c r="W42" s="404">
        <f t="shared" si="7"/>
        <v>12202912.26</v>
      </c>
      <c r="X42" s="404">
        <f t="shared" si="8"/>
        <v>6107306.04</v>
      </c>
      <c r="Y42" s="404">
        <f t="shared" si="9"/>
        <v>4302054.9000000004</v>
      </c>
      <c r="Z42" s="404">
        <f t="shared" si="10"/>
        <v>1323709.2000000002</v>
      </c>
      <c r="AA42" s="405">
        <f t="shared" si="11"/>
        <v>7821918</v>
      </c>
      <c r="AB42" s="405">
        <f t="shared" si="12"/>
        <v>41667647.939999998</v>
      </c>
      <c r="AC42" s="404">
        <f t="shared" si="13"/>
        <v>2176166.52</v>
      </c>
      <c r="AD42" s="404">
        <f t="shared" si="14"/>
        <v>2176166.52</v>
      </c>
      <c r="AE42" s="404">
        <f t="shared" si="15"/>
        <v>8178174.1800000006</v>
      </c>
      <c r="AF42" s="404">
        <f t="shared" si="16"/>
        <v>4094937</v>
      </c>
      <c r="AG42" s="404">
        <f t="shared" si="17"/>
        <v>2722629.1500000004</v>
      </c>
      <c r="AH42" s="404">
        <f t="shared" si="18"/>
        <v>2000605.9500000002</v>
      </c>
      <c r="AI42" s="405">
        <f t="shared" si="19"/>
        <v>4948867.3499999996</v>
      </c>
      <c r="AJ42" s="406">
        <f t="shared" si="21"/>
        <v>26297546.670000002</v>
      </c>
      <c r="AK42" s="96">
        <f t="shared" si="22"/>
        <v>15370101.269999996</v>
      </c>
      <c r="AL42" s="96">
        <f>AK42/(1+0.03)^($D42-'A - Inputs'!$C$6)</f>
        <v>8021540.5906189019</v>
      </c>
      <c r="AM42" s="407">
        <f>AK42/(1+0.07)^($D42-'A - Inputs'!$C$6)</f>
        <v>3469234.2067792607</v>
      </c>
    </row>
    <row r="43" spans="4:39" x14ac:dyDescent="0.25">
      <c r="D43" s="161">
        <f t="shared" si="23"/>
        <v>2042</v>
      </c>
      <c r="E43" s="183">
        <f t="shared" si="23"/>
        <v>20</v>
      </c>
      <c r="F43" s="32">
        <f t="shared" si="4"/>
        <v>15</v>
      </c>
      <c r="G43" s="401">
        <f>IF(OR($D43&lt;$D$29,$E43&gt;'A - Inputs'!$C$11),0,$E$3)</f>
        <v>58.5</v>
      </c>
      <c r="H43" s="410">
        <f>IF(OR($D43&lt;$D$29,$E43&gt;'A - Inputs'!$C$11),0,$E$4)</f>
        <v>26.2</v>
      </c>
      <c r="I43" s="410">
        <f>IF(OR($D43&lt;$D$29,$E43&gt;'A - Inputs'!$C$11),0,$E$5)</f>
        <v>104.3</v>
      </c>
      <c r="J43" s="410">
        <f>IF(OR($D43&lt;$D$29,$E43&gt;'A - Inputs'!$C$11),0,$E$6)</f>
        <v>52.2</v>
      </c>
      <c r="K43" s="410">
        <f>IF(OR($D43&lt;$D$29,$E43&gt;'A - Inputs'!$C$11),0,$E$7)</f>
        <v>28.6</v>
      </c>
      <c r="L43" s="410">
        <f>IF(OR($D43&lt;$D$29,$E43&gt;'A - Inputs'!$C$11),0,$E$8)</f>
        <v>8.8000000000000007</v>
      </c>
      <c r="M43" s="411">
        <f>IF(OR($D43&lt;$D$29,$E43&gt;'A - Inputs'!$C$11),0,$E$9)</f>
        <v>52</v>
      </c>
      <c r="N43" s="401">
        <f>IF(OR($D43&lt;$D$29,$E43&gt;'A - Inputs'!$C$11),0,$F$4)</f>
        <v>18.600000000000001</v>
      </c>
      <c r="O43" s="410">
        <f>IF(OR($D43&lt;$D$29,$E43&gt;'A - Inputs'!$C$11),0,$F$4)</f>
        <v>18.600000000000001</v>
      </c>
      <c r="P43" s="410">
        <f>IF(OR($D43&lt;$D$29,$E43&gt;'A - Inputs'!$C$11),0,$F$5)</f>
        <v>69.900000000000006</v>
      </c>
      <c r="Q43" s="410">
        <f>IF(OR($D43&lt;$D$29,$E43&gt;'A - Inputs'!$C$11),0,$F$6)</f>
        <v>35</v>
      </c>
      <c r="R43" s="410">
        <f>IF(OR($D43&lt;$D$29,$E43&gt;'A - Inputs'!$C$11),0,$F$7)</f>
        <v>18.100000000000001</v>
      </c>
      <c r="S43" s="410">
        <f>IF(OR($D43&lt;$D$29,$E43&gt;'A - Inputs'!$C$11),0,$F$8)</f>
        <v>13.3</v>
      </c>
      <c r="T43" s="411">
        <f>IF(OR($D43&lt;$D$29,$E43&gt;'A - Inputs'!$C$11),0,$F$9)</f>
        <v>32.9</v>
      </c>
      <c r="U43" s="404">
        <f t="shared" si="5"/>
        <v>6844394.7000000002</v>
      </c>
      <c r="V43" s="404">
        <f t="shared" si="6"/>
        <v>3065352.84</v>
      </c>
      <c r="W43" s="404">
        <f t="shared" si="7"/>
        <v>12202912.26</v>
      </c>
      <c r="X43" s="404">
        <f t="shared" si="8"/>
        <v>6107306.04</v>
      </c>
      <c r="Y43" s="404">
        <f t="shared" si="9"/>
        <v>4302054.9000000004</v>
      </c>
      <c r="Z43" s="404">
        <f t="shared" si="10"/>
        <v>1323709.2000000002</v>
      </c>
      <c r="AA43" s="405">
        <f t="shared" si="11"/>
        <v>7821918</v>
      </c>
      <c r="AB43" s="405">
        <f t="shared" si="12"/>
        <v>41667647.939999998</v>
      </c>
      <c r="AC43" s="404">
        <f t="shared" si="13"/>
        <v>2176166.52</v>
      </c>
      <c r="AD43" s="404">
        <f t="shared" si="14"/>
        <v>2176166.52</v>
      </c>
      <c r="AE43" s="404">
        <f t="shared" si="15"/>
        <v>8178174.1800000006</v>
      </c>
      <c r="AF43" s="404">
        <f t="shared" si="16"/>
        <v>4094937</v>
      </c>
      <c r="AG43" s="404">
        <f t="shared" si="17"/>
        <v>2722629.1500000004</v>
      </c>
      <c r="AH43" s="404">
        <f t="shared" si="18"/>
        <v>2000605.9500000002</v>
      </c>
      <c r="AI43" s="405">
        <f t="shared" si="19"/>
        <v>4948867.3499999996</v>
      </c>
      <c r="AJ43" s="406">
        <f t="shared" si="21"/>
        <v>26297546.670000002</v>
      </c>
      <c r="AK43" s="96">
        <f t="shared" si="22"/>
        <v>15370101.269999996</v>
      </c>
      <c r="AL43" s="96">
        <f>AK43/(1+0.03)^($D43-'A - Inputs'!$C$6)</f>
        <v>7787903.4860377684</v>
      </c>
      <c r="AM43" s="407">
        <f>AK43/(1+0.07)^($D43-'A - Inputs'!$C$6)</f>
        <v>3242274.9596067858</v>
      </c>
    </row>
    <row r="44" spans="4:39" x14ac:dyDescent="0.25">
      <c r="D44" s="161">
        <f t="shared" si="23"/>
        <v>2043</v>
      </c>
      <c r="E44" s="183">
        <f t="shared" si="23"/>
        <v>21</v>
      </c>
      <c r="F44" s="32">
        <f t="shared" si="4"/>
        <v>16</v>
      </c>
      <c r="G44" s="401">
        <f>IF(OR($D44&lt;$D$29,$E44&gt;'A - Inputs'!$C$11),0,$E$3)</f>
        <v>58.5</v>
      </c>
      <c r="H44" s="410">
        <f>IF(OR($D44&lt;$D$29,$E44&gt;'A - Inputs'!$C$11),0,$E$4)</f>
        <v>26.2</v>
      </c>
      <c r="I44" s="410">
        <f>IF(OR($D44&lt;$D$29,$E44&gt;'A - Inputs'!$C$11),0,$E$5)</f>
        <v>104.3</v>
      </c>
      <c r="J44" s="410">
        <f>IF(OR($D44&lt;$D$29,$E44&gt;'A - Inputs'!$C$11),0,$E$6)</f>
        <v>52.2</v>
      </c>
      <c r="K44" s="410">
        <f>IF(OR($D44&lt;$D$29,$E44&gt;'A - Inputs'!$C$11),0,$E$7)</f>
        <v>28.6</v>
      </c>
      <c r="L44" s="410">
        <f>IF(OR($D44&lt;$D$29,$E44&gt;'A - Inputs'!$C$11),0,$E$8)</f>
        <v>8.8000000000000007</v>
      </c>
      <c r="M44" s="411">
        <f>IF(OR($D44&lt;$D$29,$E44&gt;'A - Inputs'!$C$11),0,$E$9)</f>
        <v>52</v>
      </c>
      <c r="N44" s="401">
        <f>IF(OR($D44&lt;$D$29,$E44&gt;'A - Inputs'!$C$11),0,$F$4)</f>
        <v>18.600000000000001</v>
      </c>
      <c r="O44" s="410">
        <f>IF(OR($D44&lt;$D$29,$E44&gt;'A - Inputs'!$C$11),0,$F$4)</f>
        <v>18.600000000000001</v>
      </c>
      <c r="P44" s="410">
        <f>IF(OR($D44&lt;$D$29,$E44&gt;'A - Inputs'!$C$11),0,$F$5)</f>
        <v>69.900000000000006</v>
      </c>
      <c r="Q44" s="410">
        <f>IF(OR($D44&lt;$D$29,$E44&gt;'A - Inputs'!$C$11),0,$F$6)</f>
        <v>35</v>
      </c>
      <c r="R44" s="410">
        <f>IF(OR($D44&lt;$D$29,$E44&gt;'A - Inputs'!$C$11),0,$F$7)</f>
        <v>18.100000000000001</v>
      </c>
      <c r="S44" s="410">
        <f>IF(OR($D44&lt;$D$29,$E44&gt;'A - Inputs'!$C$11),0,$F$8)</f>
        <v>13.3</v>
      </c>
      <c r="T44" s="411">
        <f>IF(OR($D44&lt;$D$29,$E44&gt;'A - Inputs'!$C$11),0,$F$9)</f>
        <v>32.9</v>
      </c>
      <c r="U44" s="404">
        <f t="shared" si="5"/>
        <v>6844394.7000000002</v>
      </c>
      <c r="V44" s="404">
        <f t="shared" si="6"/>
        <v>3065352.84</v>
      </c>
      <c r="W44" s="404">
        <f t="shared" si="7"/>
        <v>12202912.26</v>
      </c>
      <c r="X44" s="404">
        <f t="shared" si="8"/>
        <v>6107306.04</v>
      </c>
      <c r="Y44" s="404">
        <f t="shared" si="9"/>
        <v>4302054.9000000004</v>
      </c>
      <c r="Z44" s="404">
        <f t="shared" si="10"/>
        <v>1323709.2000000002</v>
      </c>
      <c r="AA44" s="405">
        <f t="shared" si="11"/>
        <v>7821918</v>
      </c>
      <c r="AB44" s="405">
        <f t="shared" si="12"/>
        <v>41667647.939999998</v>
      </c>
      <c r="AC44" s="404">
        <f t="shared" si="13"/>
        <v>2176166.52</v>
      </c>
      <c r="AD44" s="404">
        <f t="shared" si="14"/>
        <v>2176166.52</v>
      </c>
      <c r="AE44" s="404">
        <f t="shared" si="15"/>
        <v>8178174.1800000006</v>
      </c>
      <c r="AF44" s="404">
        <f t="shared" si="16"/>
        <v>4094937</v>
      </c>
      <c r="AG44" s="404">
        <f t="shared" si="17"/>
        <v>2722629.1500000004</v>
      </c>
      <c r="AH44" s="404">
        <f t="shared" si="18"/>
        <v>2000605.9500000002</v>
      </c>
      <c r="AI44" s="405">
        <f t="shared" si="19"/>
        <v>4948867.3499999996</v>
      </c>
      <c r="AJ44" s="406">
        <f t="shared" si="21"/>
        <v>26297546.670000002</v>
      </c>
      <c r="AK44" s="96">
        <f t="shared" si="22"/>
        <v>15370101.269999996</v>
      </c>
      <c r="AL44" s="96">
        <f>AK44/(1+0.03)^($D44-'A - Inputs'!$C$6)</f>
        <v>7561071.3456677375</v>
      </c>
      <c r="AM44" s="407">
        <f>AK44/(1+0.07)^($D44-'A - Inputs'!$C$6)</f>
        <v>3030163.5136512015</v>
      </c>
    </row>
    <row r="45" spans="4:39" x14ac:dyDescent="0.25">
      <c r="D45" s="161">
        <f t="shared" si="23"/>
        <v>2044</v>
      </c>
      <c r="E45" s="183">
        <f t="shared" si="23"/>
        <v>22</v>
      </c>
      <c r="F45" s="32">
        <f t="shared" si="4"/>
        <v>17</v>
      </c>
      <c r="G45" s="401">
        <f>IF(OR($D45&lt;$D$29,$E45&gt;'A - Inputs'!$C$11),0,$E$3)</f>
        <v>58.5</v>
      </c>
      <c r="H45" s="410">
        <f>IF(OR($D45&lt;$D$29,$E45&gt;'A - Inputs'!$C$11),0,$E$4)</f>
        <v>26.2</v>
      </c>
      <c r="I45" s="410">
        <f>IF(OR($D45&lt;$D$29,$E45&gt;'A - Inputs'!$C$11),0,$E$5)</f>
        <v>104.3</v>
      </c>
      <c r="J45" s="410">
        <f>IF(OR($D45&lt;$D$29,$E45&gt;'A - Inputs'!$C$11),0,$E$6)</f>
        <v>52.2</v>
      </c>
      <c r="K45" s="410">
        <f>IF(OR($D45&lt;$D$29,$E45&gt;'A - Inputs'!$C$11),0,$E$7)</f>
        <v>28.6</v>
      </c>
      <c r="L45" s="410">
        <f>IF(OR($D45&lt;$D$29,$E45&gt;'A - Inputs'!$C$11),0,$E$8)</f>
        <v>8.8000000000000007</v>
      </c>
      <c r="M45" s="411">
        <f>IF(OR($D45&lt;$D$29,$E45&gt;'A - Inputs'!$C$11),0,$E$9)</f>
        <v>52</v>
      </c>
      <c r="N45" s="401">
        <f>IF(OR($D45&lt;$D$29,$E45&gt;'A - Inputs'!$C$11),0,$F$4)</f>
        <v>18.600000000000001</v>
      </c>
      <c r="O45" s="410">
        <f>IF(OR($D45&lt;$D$29,$E45&gt;'A - Inputs'!$C$11),0,$F$4)</f>
        <v>18.600000000000001</v>
      </c>
      <c r="P45" s="410">
        <f>IF(OR($D45&lt;$D$29,$E45&gt;'A - Inputs'!$C$11),0,$F$5)</f>
        <v>69.900000000000006</v>
      </c>
      <c r="Q45" s="410">
        <f>IF(OR($D45&lt;$D$29,$E45&gt;'A - Inputs'!$C$11),0,$F$6)</f>
        <v>35</v>
      </c>
      <c r="R45" s="410">
        <f>IF(OR($D45&lt;$D$29,$E45&gt;'A - Inputs'!$C$11),0,$F$7)</f>
        <v>18.100000000000001</v>
      </c>
      <c r="S45" s="410">
        <f>IF(OR($D45&lt;$D$29,$E45&gt;'A - Inputs'!$C$11),0,$F$8)</f>
        <v>13.3</v>
      </c>
      <c r="T45" s="411">
        <f>IF(OR($D45&lt;$D$29,$E45&gt;'A - Inputs'!$C$11),0,$F$9)</f>
        <v>32.9</v>
      </c>
      <c r="U45" s="404">
        <f t="shared" si="5"/>
        <v>6844394.7000000002</v>
      </c>
      <c r="V45" s="404">
        <f t="shared" si="6"/>
        <v>3065352.84</v>
      </c>
      <c r="W45" s="404">
        <f t="shared" si="7"/>
        <v>12202912.26</v>
      </c>
      <c r="X45" s="404">
        <f t="shared" si="8"/>
        <v>6107306.04</v>
      </c>
      <c r="Y45" s="404">
        <f t="shared" si="9"/>
        <v>4302054.9000000004</v>
      </c>
      <c r="Z45" s="404">
        <f t="shared" si="10"/>
        <v>1323709.2000000002</v>
      </c>
      <c r="AA45" s="405">
        <f t="shared" si="11"/>
        <v>7821918</v>
      </c>
      <c r="AB45" s="405">
        <f t="shared" si="12"/>
        <v>41667647.939999998</v>
      </c>
      <c r="AC45" s="404">
        <f t="shared" si="13"/>
        <v>2176166.52</v>
      </c>
      <c r="AD45" s="404">
        <f t="shared" si="14"/>
        <v>2176166.52</v>
      </c>
      <c r="AE45" s="404">
        <f t="shared" si="15"/>
        <v>8178174.1800000006</v>
      </c>
      <c r="AF45" s="404">
        <f t="shared" si="16"/>
        <v>4094937</v>
      </c>
      <c r="AG45" s="404">
        <f t="shared" si="17"/>
        <v>2722629.1500000004</v>
      </c>
      <c r="AH45" s="404">
        <f t="shared" si="18"/>
        <v>2000605.9500000002</v>
      </c>
      <c r="AI45" s="405">
        <f t="shared" si="19"/>
        <v>4948867.3499999996</v>
      </c>
      <c r="AJ45" s="406">
        <f t="shared" si="21"/>
        <v>26297546.670000002</v>
      </c>
      <c r="AK45" s="96">
        <f t="shared" si="22"/>
        <v>15370101.269999996</v>
      </c>
      <c r="AL45" s="96">
        <f>AK45/(1+0.03)^($D45-'A - Inputs'!$C$6)</f>
        <v>7340845.9666677061</v>
      </c>
      <c r="AM45" s="407">
        <f>AK45/(1+0.07)^($D45-'A - Inputs'!$C$6)</f>
        <v>2831928.5174310291</v>
      </c>
    </row>
    <row r="46" spans="4:39" x14ac:dyDescent="0.25">
      <c r="D46" s="161">
        <f t="shared" si="23"/>
        <v>2045</v>
      </c>
      <c r="E46" s="183">
        <f t="shared" si="23"/>
        <v>23</v>
      </c>
      <c r="F46" s="32">
        <f t="shared" si="4"/>
        <v>18</v>
      </c>
      <c r="G46" s="401">
        <f>IF(OR($D46&lt;$D$29,$E46&gt;'A - Inputs'!$C$11),0,$E$3)</f>
        <v>58.5</v>
      </c>
      <c r="H46" s="410">
        <f>IF(OR($D46&lt;$D$29,$E46&gt;'A - Inputs'!$C$11),0,$E$4)</f>
        <v>26.2</v>
      </c>
      <c r="I46" s="410">
        <f>IF(OR($D46&lt;$D$29,$E46&gt;'A - Inputs'!$C$11),0,$E$5)</f>
        <v>104.3</v>
      </c>
      <c r="J46" s="410">
        <f>IF(OR($D46&lt;$D$29,$E46&gt;'A - Inputs'!$C$11),0,$E$6)</f>
        <v>52.2</v>
      </c>
      <c r="K46" s="410">
        <f>IF(OR($D46&lt;$D$29,$E46&gt;'A - Inputs'!$C$11),0,$E$7)</f>
        <v>28.6</v>
      </c>
      <c r="L46" s="410">
        <f>IF(OR($D46&lt;$D$29,$E46&gt;'A - Inputs'!$C$11),0,$E$8)</f>
        <v>8.8000000000000007</v>
      </c>
      <c r="M46" s="411">
        <f>IF(OR($D46&lt;$D$29,$E46&gt;'A - Inputs'!$C$11),0,$E$9)</f>
        <v>52</v>
      </c>
      <c r="N46" s="401">
        <f>IF(OR($D46&lt;$D$29,$E46&gt;'A - Inputs'!$C$11),0,$F$4)</f>
        <v>18.600000000000001</v>
      </c>
      <c r="O46" s="410">
        <f>IF(OR($D46&lt;$D$29,$E46&gt;'A - Inputs'!$C$11),0,$F$4)</f>
        <v>18.600000000000001</v>
      </c>
      <c r="P46" s="410">
        <f>IF(OR($D46&lt;$D$29,$E46&gt;'A - Inputs'!$C$11),0,$F$5)</f>
        <v>69.900000000000006</v>
      </c>
      <c r="Q46" s="410">
        <f>IF(OR($D46&lt;$D$29,$E46&gt;'A - Inputs'!$C$11),0,$F$6)</f>
        <v>35</v>
      </c>
      <c r="R46" s="410">
        <f>IF(OR($D46&lt;$D$29,$E46&gt;'A - Inputs'!$C$11),0,$F$7)</f>
        <v>18.100000000000001</v>
      </c>
      <c r="S46" s="410">
        <f>IF(OR($D46&lt;$D$29,$E46&gt;'A - Inputs'!$C$11),0,$F$8)</f>
        <v>13.3</v>
      </c>
      <c r="T46" s="411">
        <f>IF(OR($D46&lt;$D$29,$E46&gt;'A - Inputs'!$C$11),0,$F$9)</f>
        <v>32.9</v>
      </c>
      <c r="U46" s="404">
        <f t="shared" si="5"/>
        <v>6844394.7000000002</v>
      </c>
      <c r="V46" s="404">
        <f t="shared" si="6"/>
        <v>3065352.84</v>
      </c>
      <c r="W46" s="404">
        <f t="shared" si="7"/>
        <v>12202912.26</v>
      </c>
      <c r="X46" s="404">
        <f t="shared" si="8"/>
        <v>6107306.04</v>
      </c>
      <c r="Y46" s="404">
        <f t="shared" si="9"/>
        <v>4302054.9000000004</v>
      </c>
      <c r="Z46" s="404">
        <f t="shared" si="10"/>
        <v>1323709.2000000002</v>
      </c>
      <c r="AA46" s="405">
        <f t="shared" si="11"/>
        <v>7821918</v>
      </c>
      <c r="AB46" s="405">
        <f t="shared" si="12"/>
        <v>41667647.939999998</v>
      </c>
      <c r="AC46" s="404">
        <f t="shared" si="13"/>
        <v>2176166.52</v>
      </c>
      <c r="AD46" s="404">
        <f t="shared" si="14"/>
        <v>2176166.52</v>
      </c>
      <c r="AE46" s="404">
        <f t="shared" si="15"/>
        <v>8178174.1800000006</v>
      </c>
      <c r="AF46" s="404">
        <f t="shared" si="16"/>
        <v>4094937</v>
      </c>
      <c r="AG46" s="404">
        <f t="shared" si="17"/>
        <v>2722629.1500000004</v>
      </c>
      <c r="AH46" s="404">
        <f t="shared" si="18"/>
        <v>2000605.9500000002</v>
      </c>
      <c r="AI46" s="405">
        <f t="shared" si="19"/>
        <v>4948867.3499999996</v>
      </c>
      <c r="AJ46" s="406">
        <f t="shared" si="21"/>
        <v>26297546.670000002</v>
      </c>
      <c r="AK46" s="96">
        <f t="shared" si="22"/>
        <v>15370101.269999996</v>
      </c>
      <c r="AL46" s="96">
        <f>AK46/(1+0.03)^($D46-'A - Inputs'!$C$6)</f>
        <v>7127034.9190948596</v>
      </c>
      <c r="AM46" s="407">
        <f>AK46/(1+0.07)^($D46-'A - Inputs'!$C$6)</f>
        <v>2646662.1658233921</v>
      </c>
    </row>
    <row r="47" spans="4:39" x14ac:dyDescent="0.25">
      <c r="D47" s="161">
        <f t="shared" si="23"/>
        <v>2046</v>
      </c>
      <c r="E47" s="183">
        <f t="shared" si="23"/>
        <v>24</v>
      </c>
      <c r="F47" s="32">
        <f t="shared" si="4"/>
        <v>19</v>
      </c>
      <c r="G47" s="401">
        <f>IF(OR($D47&lt;$D$29,$E47&gt;'A - Inputs'!$C$11),0,$E$3)</f>
        <v>58.5</v>
      </c>
      <c r="H47" s="410">
        <f>IF(OR($D47&lt;$D$29,$E47&gt;'A - Inputs'!$C$11),0,$E$4)</f>
        <v>26.2</v>
      </c>
      <c r="I47" s="410">
        <f>IF(OR($D47&lt;$D$29,$E47&gt;'A - Inputs'!$C$11),0,$E$5)</f>
        <v>104.3</v>
      </c>
      <c r="J47" s="410">
        <f>IF(OR($D47&lt;$D$29,$E47&gt;'A - Inputs'!$C$11),0,$E$6)</f>
        <v>52.2</v>
      </c>
      <c r="K47" s="410">
        <f>IF(OR($D47&lt;$D$29,$E47&gt;'A - Inputs'!$C$11),0,$E$7)</f>
        <v>28.6</v>
      </c>
      <c r="L47" s="410">
        <f>IF(OR($D47&lt;$D$29,$E47&gt;'A - Inputs'!$C$11),0,$E$8)</f>
        <v>8.8000000000000007</v>
      </c>
      <c r="M47" s="411">
        <f>IF(OR($D47&lt;$D$29,$E47&gt;'A - Inputs'!$C$11),0,$E$9)</f>
        <v>52</v>
      </c>
      <c r="N47" s="401">
        <f>IF(OR($D47&lt;$D$29,$E47&gt;'A - Inputs'!$C$11),0,$F$4)</f>
        <v>18.600000000000001</v>
      </c>
      <c r="O47" s="410">
        <f>IF(OR($D47&lt;$D$29,$E47&gt;'A - Inputs'!$C$11),0,$F$4)</f>
        <v>18.600000000000001</v>
      </c>
      <c r="P47" s="410">
        <f>IF(OR($D47&lt;$D$29,$E47&gt;'A - Inputs'!$C$11),0,$F$5)</f>
        <v>69.900000000000006</v>
      </c>
      <c r="Q47" s="410">
        <f>IF(OR($D47&lt;$D$29,$E47&gt;'A - Inputs'!$C$11),0,$F$6)</f>
        <v>35</v>
      </c>
      <c r="R47" s="410">
        <f>IF(OR($D47&lt;$D$29,$E47&gt;'A - Inputs'!$C$11),0,$F$7)</f>
        <v>18.100000000000001</v>
      </c>
      <c r="S47" s="410">
        <f>IF(OR($D47&lt;$D$29,$E47&gt;'A - Inputs'!$C$11),0,$F$8)</f>
        <v>13.3</v>
      </c>
      <c r="T47" s="411">
        <f>IF(OR($D47&lt;$D$29,$E47&gt;'A - Inputs'!$C$11),0,$F$9)</f>
        <v>32.9</v>
      </c>
      <c r="U47" s="404">
        <f t="shared" si="5"/>
        <v>6844394.7000000002</v>
      </c>
      <c r="V47" s="404">
        <f t="shared" si="6"/>
        <v>3065352.84</v>
      </c>
      <c r="W47" s="404">
        <f t="shared" si="7"/>
        <v>12202912.26</v>
      </c>
      <c r="X47" s="404">
        <f t="shared" si="8"/>
        <v>6107306.04</v>
      </c>
      <c r="Y47" s="404">
        <f t="shared" si="9"/>
        <v>4302054.9000000004</v>
      </c>
      <c r="Z47" s="404">
        <f t="shared" si="10"/>
        <v>1323709.2000000002</v>
      </c>
      <c r="AA47" s="405">
        <f t="shared" si="11"/>
        <v>7821918</v>
      </c>
      <c r="AB47" s="405">
        <f t="shared" si="12"/>
        <v>41667647.939999998</v>
      </c>
      <c r="AC47" s="404">
        <f t="shared" si="13"/>
        <v>2176166.52</v>
      </c>
      <c r="AD47" s="404">
        <f t="shared" si="14"/>
        <v>2176166.52</v>
      </c>
      <c r="AE47" s="404">
        <f t="shared" si="15"/>
        <v>8178174.1800000006</v>
      </c>
      <c r="AF47" s="404">
        <f t="shared" si="16"/>
        <v>4094937</v>
      </c>
      <c r="AG47" s="404">
        <f t="shared" si="17"/>
        <v>2722629.1500000004</v>
      </c>
      <c r="AH47" s="404">
        <f t="shared" si="18"/>
        <v>2000605.9500000002</v>
      </c>
      <c r="AI47" s="405">
        <f t="shared" si="19"/>
        <v>4948867.3499999996</v>
      </c>
      <c r="AJ47" s="406">
        <f t="shared" si="21"/>
        <v>26297546.670000002</v>
      </c>
      <c r="AK47" s="96">
        <f t="shared" si="22"/>
        <v>15370101.269999996</v>
      </c>
      <c r="AL47" s="96">
        <f>AK47/(1+0.03)^($D47-'A - Inputs'!$C$6)</f>
        <v>6919451.3777620001</v>
      </c>
      <c r="AM47" s="407">
        <f>AK47/(1+0.07)^($D47-'A - Inputs'!$C$6)</f>
        <v>2473516.0428255997</v>
      </c>
    </row>
    <row r="48" spans="4:39" x14ac:dyDescent="0.25">
      <c r="D48" s="161">
        <f t="shared" si="23"/>
        <v>2047</v>
      </c>
      <c r="E48" s="183">
        <f t="shared" si="23"/>
        <v>25</v>
      </c>
      <c r="F48" s="32">
        <f t="shared" si="4"/>
        <v>20</v>
      </c>
      <c r="G48" s="401">
        <f>IF(OR($D48&lt;$D$29,$E48&gt;'A - Inputs'!$C$11),0,$E$3)</f>
        <v>58.5</v>
      </c>
      <c r="H48" s="410">
        <f>IF(OR($D48&lt;$D$29,$E48&gt;'A - Inputs'!$C$11),0,$E$4)</f>
        <v>26.2</v>
      </c>
      <c r="I48" s="410">
        <f>IF(OR($D48&lt;$D$29,$E48&gt;'A - Inputs'!$C$11),0,$E$5)</f>
        <v>104.3</v>
      </c>
      <c r="J48" s="410">
        <f>IF(OR($D48&lt;$D$29,$E48&gt;'A - Inputs'!$C$11),0,$E$6)</f>
        <v>52.2</v>
      </c>
      <c r="K48" s="410">
        <f>IF(OR($D48&lt;$D$29,$E48&gt;'A - Inputs'!$C$11),0,$E$7)</f>
        <v>28.6</v>
      </c>
      <c r="L48" s="410">
        <f>IF(OR($D48&lt;$D$29,$E48&gt;'A - Inputs'!$C$11),0,$E$8)</f>
        <v>8.8000000000000007</v>
      </c>
      <c r="M48" s="411">
        <f>IF(OR($D48&lt;$D$29,$E48&gt;'A - Inputs'!$C$11),0,$E$9)</f>
        <v>52</v>
      </c>
      <c r="N48" s="401">
        <f>IF(OR($D48&lt;$D$29,$E48&gt;'A - Inputs'!$C$11),0,$F$4)</f>
        <v>18.600000000000001</v>
      </c>
      <c r="O48" s="410">
        <f>IF(OR($D48&lt;$D$29,$E48&gt;'A - Inputs'!$C$11),0,$F$4)</f>
        <v>18.600000000000001</v>
      </c>
      <c r="P48" s="410">
        <f>IF(OR($D48&lt;$D$29,$E48&gt;'A - Inputs'!$C$11),0,$F$5)</f>
        <v>69.900000000000006</v>
      </c>
      <c r="Q48" s="410">
        <f>IF(OR($D48&lt;$D$29,$E48&gt;'A - Inputs'!$C$11),0,$F$6)</f>
        <v>35</v>
      </c>
      <c r="R48" s="410">
        <f>IF(OR($D48&lt;$D$29,$E48&gt;'A - Inputs'!$C$11),0,$F$7)</f>
        <v>18.100000000000001</v>
      </c>
      <c r="S48" s="410">
        <f>IF(OR($D48&lt;$D$29,$E48&gt;'A - Inputs'!$C$11),0,$F$8)</f>
        <v>13.3</v>
      </c>
      <c r="T48" s="411">
        <f>IF(OR($D48&lt;$D$29,$E48&gt;'A - Inputs'!$C$11),0,$F$9)</f>
        <v>32.9</v>
      </c>
      <c r="U48" s="404">
        <f t="shared" si="5"/>
        <v>6844394.7000000002</v>
      </c>
      <c r="V48" s="404">
        <f t="shared" si="6"/>
        <v>3065352.84</v>
      </c>
      <c r="W48" s="404">
        <f t="shared" si="7"/>
        <v>12202912.26</v>
      </c>
      <c r="X48" s="404">
        <f t="shared" si="8"/>
        <v>6107306.04</v>
      </c>
      <c r="Y48" s="404">
        <f t="shared" si="9"/>
        <v>4302054.9000000004</v>
      </c>
      <c r="Z48" s="404">
        <f t="shared" si="10"/>
        <v>1323709.2000000002</v>
      </c>
      <c r="AA48" s="405">
        <f t="shared" si="11"/>
        <v>7821918</v>
      </c>
      <c r="AB48" s="405">
        <f t="shared" si="12"/>
        <v>41667647.939999998</v>
      </c>
      <c r="AC48" s="404">
        <f t="shared" si="13"/>
        <v>2176166.52</v>
      </c>
      <c r="AD48" s="404">
        <f t="shared" si="14"/>
        <v>2176166.52</v>
      </c>
      <c r="AE48" s="404">
        <f t="shared" si="15"/>
        <v>8178174.1800000006</v>
      </c>
      <c r="AF48" s="404">
        <f t="shared" si="16"/>
        <v>4094937</v>
      </c>
      <c r="AG48" s="404">
        <f t="shared" si="17"/>
        <v>2722629.1500000004</v>
      </c>
      <c r="AH48" s="404">
        <f t="shared" si="18"/>
        <v>2000605.9500000002</v>
      </c>
      <c r="AI48" s="405">
        <f t="shared" si="19"/>
        <v>4948867.3499999996</v>
      </c>
      <c r="AJ48" s="406">
        <f t="shared" si="21"/>
        <v>26297546.670000002</v>
      </c>
      <c r="AK48" s="96">
        <f t="shared" si="22"/>
        <v>15370101.269999996</v>
      </c>
      <c r="AL48" s="96">
        <f>AK48/(1+0.03)^($D48-'A - Inputs'!$C$6)</f>
        <v>6717913.9589922335</v>
      </c>
      <c r="AM48" s="407">
        <f>AK48/(1+0.07)^($D48-'A - Inputs'!$C$6)</f>
        <v>2311697.2362856073</v>
      </c>
    </row>
    <row r="49" spans="4:39" x14ac:dyDescent="0.25">
      <c r="D49" s="161">
        <f t="shared" si="23"/>
        <v>2048</v>
      </c>
      <c r="E49" s="183">
        <f t="shared" si="23"/>
        <v>26</v>
      </c>
      <c r="F49" s="32">
        <f t="shared" si="4"/>
        <v>21</v>
      </c>
      <c r="G49" s="401">
        <f>IF(OR($D49&lt;$D$29,$E49&gt;'A - Inputs'!$C$11),0,$E$3)</f>
        <v>0</v>
      </c>
      <c r="H49" s="410">
        <f>IF(OR($D49&lt;$D$29,$E49&gt;'A - Inputs'!$C$11),0,$E$4)</f>
        <v>0</v>
      </c>
      <c r="I49" s="410">
        <f>IF(OR($D49&lt;$D$29,$E49&gt;'A - Inputs'!$C$11),0,$E$5)</f>
        <v>0</v>
      </c>
      <c r="J49" s="410">
        <f>IF(OR($D49&lt;$D$29,$E49&gt;'A - Inputs'!$C$11),0,$E$6)</f>
        <v>0</v>
      </c>
      <c r="K49" s="410">
        <f>IF(OR($D49&lt;$D$29,$E49&gt;'A - Inputs'!$C$11),0,$E$7)</f>
        <v>0</v>
      </c>
      <c r="L49" s="410">
        <f>IF(OR($D49&lt;$D$29,$E49&gt;'A - Inputs'!$C$11),0,$E$8)</f>
        <v>0</v>
      </c>
      <c r="M49" s="411">
        <f>IF(OR($D49&lt;$D$29,$E49&gt;'A - Inputs'!$C$11),0,$E$9)</f>
        <v>0</v>
      </c>
      <c r="N49" s="401">
        <f>IF(OR($D49&lt;$D$29,$E49&gt;'A - Inputs'!$C$11),0,$F$4)</f>
        <v>0</v>
      </c>
      <c r="O49" s="410">
        <f>IF(OR($D49&lt;$D$29,$E49&gt;'A - Inputs'!$C$11),0,$F$4)</f>
        <v>0</v>
      </c>
      <c r="P49" s="410">
        <f>IF(OR($D49&lt;$D$29,$E49&gt;'A - Inputs'!$C$11),0,$F$5)</f>
        <v>0</v>
      </c>
      <c r="Q49" s="410">
        <f>IF(OR($D49&lt;$D$29,$E49&gt;'A - Inputs'!$C$11),0,$F$6)</f>
        <v>0</v>
      </c>
      <c r="R49" s="410">
        <f>IF(OR($D49&lt;$D$29,$E49&gt;'A - Inputs'!$C$11),0,$F$7)</f>
        <v>0</v>
      </c>
      <c r="S49" s="410">
        <f>IF(OR($D49&lt;$D$29,$E49&gt;'A - Inputs'!$C$11),0,$F$8)</f>
        <v>0</v>
      </c>
      <c r="T49" s="411">
        <f>IF(OR($D49&lt;$D$29,$E49&gt;'A - Inputs'!$C$11),0,$F$9)</f>
        <v>0</v>
      </c>
      <c r="U49" s="404">
        <f t="shared" si="5"/>
        <v>0</v>
      </c>
      <c r="V49" s="404">
        <f t="shared" si="6"/>
        <v>0</v>
      </c>
      <c r="W49" s="404">
        <f t="shared" si="7"/>
        <v>0</v>
      </c>
      <c r="X49" s="404">
        <f t="shared" si="8"/>
        <v>0</v>
      </c>
      <c r="Y49" s="404">
        <f t="shared" si="9"/>
        <v>0</v>
      </c>
      <c r="Z49" s="404">
        <f t="shared" si="10"/>
        <v>0</v>
      </c>
      <c r="AA49" s="405">
        <f t="shared" si="11"/>
        <v>0</v>
      </c>
      <c r="AB49" s="405">
        <f t="shared" si="12"/>
        <v>0</v>
      </c>
      <c r="AC49" s="404">
        <f t="shared" si="13"/>
        <v>0</v>
      </c>
      <c r="AD49" s="404">
        <f t="shared" si="14"/>
        <v>0</v>
      </c>
      <c r="AE49" s="404">
        <f t="shared" si="15"/>
        <v>0</v>
      </c>
      <c r="AF49" s="404">
        <f t="shared" si="16"/>
        <v>0</v>
      </c>
      <c r="AG49" s="404">
        <f t="shared" si="17"/>
        <v>0</v>
      </c>
      <c r="AH49" s="404">
        <f t="shared" si="18"/>
        <v>0</v>
      </c>
      <c r="AI49" s="405">
        <f t="shared" si="19"/>
        <v>0</v>
      </c>
      <c r="AJ49" s="406">
        <f t="shared" si="21"/>
        <v>0</v>
      </c>
      <c r="AK49" s="96">
        <f t="shared" si="22"/>
        <v>0</v>
      </c>
      <c r="AL49" s="96">
        <f>AK49/(1+0.03)^($D49-'A - Inputs'!$C$6)</f>
        <v>0</v>
      </c>
      <c r="AM49" s="407">
        <f>AK49/(1+0.07)^($D49-'A - Inputs'!$C$6)</f>
        <v>0</v>
      </c>
    </row>
    <row r="50" spans="4:39" x14ac:dyDescent="0.25">
      <c r="D50" s="161">
        <f t="shared" si="23"/>
        <v>2049</v>
      </c>
      <c r="E50" s="183">
        <f t="shared" si="23"/>
        <v>27</v>
      </c>
      <c r="F50" s="32">
        <f t="shared" si="4"/>
        <v>22</v>
      </c>
      <c r="G50" s="401">
        <f>IF(OR($D50&lt;$D$29,$E50&gt;'A - Inputs'!$C$11),0,$E$3)</f>
        <v>0</v>
      </c>
      <c r="H50" s="410">
        <f>IF(OR($D50&lt;$D$29,$E50&gt;'A - Inputs'!$C$11),0,$E$4)</f>
        <v>0</v>
      </c>
      <c r="I50" s="410">
        <f>IF(OR($D50&lt;$D$29,$E50&gt;'A - Inputs'!$C$11),0,$E$5)</f>
        <v>0</v>
      </c>
      <c r="J50" s="410">
        <f>IF(OR($D50&lt;$D$29,$E50&gt;'A - Inputs'!$C$11),0,$E$6)</f>
        <v>0</v>
      </c>
      <c r="K50" s="410">
        <f>IF(OR($D50&lt;$D$29,$E50&gt;'A - Inputs'!$C$11),0,$E$7)</f>
        <v>0</v>
      </c>
      <c r="L50" s="410">
        <f>IF(OR($D50&lt;$D$29,$E50&gt;'A - Inputs'!$C$11),0,$E$8)</f>
        <v>0</v>
      </c>
      <c r="M50" s="411">
        <f>IF(OR($D50&lt;$D$29,$E50&gt;'A - Inputs'!$C$11),0,$E$9)</f>
        <v>0</v>
      </c>
      <c r="N50" s="401">
        <f>IF(OR($D50&lt;$D$29,$E50&gt;'A - Inputs'!$C$11),0,$F$4)</f>
        <v>0</v>
      </c>
      <c r="O50" s="410">
        <f>IF(OR($D50&lt;$D$29,$E50&gt;'A - Inputs'!$C$11),0,$F$4)</f>
        <v>0</v>
      </c>
      <c r="P50" s="410">
        <f>IF(OR($D50&lt;$D$29,$E50&gt;'A - Inputs'!$C$11),0,$F$5)</f>
        <v>0</v>
      </c>
      <c r="Q50" s="410">
        <f>IF(OR($D50&lt;$D$29,$E50&gt;'A - Inputs'!$C$11),0,$F$6)</f>
        <v>0</v>
      </c>
      <c r="R50" s="410">
        <f>IF(OR($D50&lt;$D$29,$E50&gt;'A - Inputs'!$C$11),0,$F$7)</f>
        <v>0</v>
      </c>
      <c r="S50" s="410">
        <f>IF(OR($D50&lt;$D$29,$E50&gt;'A - Inputs'!$C$11),0,$F$8)</f>
        <v>0</v>
      </c>
      <c r="T50" s="411">
        <f>IF(OR($D50&lt;$D$29,$E50&gt;'A - Inputs'!$C$11),0,$F$9)</f>
        <v>0</v>
      </c>
      <c r="U50" s="404">
        <f t="shared" si="5"/>
        <v>0</v>
      </c>
      <c r="V50" s="404">
        <f t="shared" si="6"/>
        <v>0</v>
      </c>
      <c r="W50" s="404">
        <f t="shared" si="7"/>
        <v>0</v>
      </c>
      <c r="X50" s="404">
        <f t="shared" si="8"/>
        <v>0</v>
      </c>
      <c r="Y50" s="404">
        <f t="shared" si="9"/>
        <v>0</v>
      </c>
      <c r="Z50" s="404">
        <f t="shared" si="10"/>
        <v>0</v>
      </c>
      <c r="AA50" s="405">
        <f t="shared" si="11"/>
        <v>0</v>
      </c>
      <c r="AB50" s="405">
        <f t="shared" si="12"/>
        <v>0</v>
      </c>
      <c r="AC50" s="404">
        <f t="shared" si="13"/>
        <v>0</v>
      </c>
      <c r="AD50" s="404">
        <f t="shared" si="14"/>
        <v>0</v>
      </c>
      <c r="AE50" s="404">
        <f t="shared" si="15"/>
        <v>0</v>
      </c>
      <c r="AF50" s="404">
        <f t="shared" si="16"/>
        <v>0</v>
      </c>
      <c r="AG50" s="404">
        <f t="shared" si="17"/>
        <v>0</v>
      </c>
      <c r="AH50" s="404">
        <f t="shared" si="18"/>
        <v>0</v>
      </c>
      <c r="AI50" s="405">
        <f t="shared" si="19"/>
        <v>0</v>
      </c>
      <c r="AJ50" s="406">
        <f t="shared" si="21"/>
        <v>0</v>
      </c>
      <c r="AK50" s="96">
        <f t="shared" si="22"/>
        <v>0</v>
      </c>
      <c r="AL50" s="96">
        <f>AK50/(1+0.03)^($D50-'A - Inputs'!$C$6)</f>
        <v>0</v>
      </c>
      <c r="AM50" s="407">
        <f>AK50/(1+0.07)^($D50-'A - Inputs'!$C$6)</f>
        <v>0</v>
      </c>
    </row>
    <row r="51" spans="4:39" x14ac:dyDescent="0.25">
      <c r="D51" s="161">
        <f t="shared" si="23"/>
        <v>2050</v>
      </c>
      <c r="E51" s="183">
        <f t="shared" si="23"/>
        <v>28</v>
      </c>
      <c r="F51" s="32">
        <f t="shared" si="4"/>
        <v>23</v>
      </c>
      <c r="G51" s="401">
        <f>IF(OR($D51&lt;$D$29,$E51&gt;'A - Inputs'!$C$11),0,$E$3)</f>
        <v>0</v>
      </c>
      <c r="H51" s="410">
        <f>IF(OR($D51&lt;$D$29,$E51&gt;'A - Inputs'!$C$11),0,$E$4)</f>
        <v>0</v>
      </c>
      <c r="I51" s="410">
        <f>IF(OR($D51&lt;$D$29,$E51&gt;'A - Inputs'!$C$11),0,$E$5)</f>
        <v>0</v>
      </c>
      <c r="J51" s="410">
        <f>IF(OR($D51&lt;$D$29,$E51&gt;'A - Inputs'!$C$11),0,$E$6)</f>
        <v>0</v>
      </c>
      <c r="K51" s="410">
        <f>IF(OR($D51&lt;$D$29,$E51&gt;'A - Inputs'!$C$11),0,$E$7)</f>
        <v>0</v>
      </c>
      <c r="L51" s="410">
        <f>IF(OR($D51&lt;$D$29,$E51&gt;'A - Inputs'!$C$11),0,$E$8)</f>
        <v>0</v>
      </c>
      <c r="M51" s="411">
        <f>IF(OR($D51&lt;$D$29,$E51&gt;'A - Inputs'!$C$11),0,$E$9)</f>
        <v>0</v>
      </c>
      <c r="N51" s="401">
        <f>IF(OR($D51&lt;$D$29,$E51&gt;'A - Inputs'!$C$11),0,$F$4)</f>
        <v>0</v>
      </c>
      <c r="O51" s="410">
        <f>IF(OR($D51&lt;$D$29,$E51&gt;'A - Inputs'!$C$11),0,$F$4)</f>
        <v>0</v>
      </c>
      <c r="P51" s="410">
        <f>IF(OR($D51&lt;$D$29,$E51&gt;'A - Inputs'!$C$11),0,$F$5)</f>
        <v>0</v>
      </c>
      <c r="Q51" s="410">
        <f>IF(OR($D51&lt;$D$29,$E51&gt;'A - Inputs'!$C$11),0,$F$6)</f>
        <v>0</v>
      </c>
      <c r="R51" s="410">
        <f>IF(OR($D51&lt;$D$29,$E51&gt;'A - Inputs'!$C$11),0,$F$7)</f>
        <v>0</v>
      </c>
      <c r="S51" s="410">
        <f>IF(OR($D51&lt;$D$29,$E51&gt;'A - Inputs'!$C$11),0,$F$8)</f>
        <v>0</v>
      </c>
      <c r="T51" s="411">
        <f>IF(OR($D51&lt;$D$29,$E51&gt;'A - Inputs'!$C$11),0,$F$9)</f>
        <v>0</v>
      </c>
      <c r="U51" s="404">
        <f t="shared" si="5"/>
        <v>0</v>
      </c>
      <c r="V51" s="404">
        <f t="shared" si="6"/>
        <v>0</v>
      </c>
      <c r="W51" s="404">
        <f t="shared" si="7"/>
        <v>0</v>
      </c>
      <c r="X51" s="404">
        <f t="shared" si="8"/>
        <v>0</v>
      </c>
      <c r="Y51" s="404">
        <f t="shared" si="9"/>
        <v>0</v>
      </c>
      <c r="Z51" s="404">
        <f t="shared" si="10"/>
        <v>0</v>
      </c>
      <c r="AA51" s="405">
        <f t="shared" si="11"/>
        <v>0</v>
      </c>
      <c r="AB51" s="405">
        <f t="shared" si="12"/>
        <v>0</v>
      </c>
      <c r="AC51" s="404">
        <f t="shared" si="13"/>
        <v>0</v>
      </c>
      <c r="AD51" s="404">
        <f t="shared" si="14"/>
        <v>0</v>
      </c>
      <c r="AE51" s="404">
        <f t="shared" si="15"/>
        <v>0</v>
      </c>
      <c r="AF51" s="404">
        <f t="shared" si="16"/>
        <v>0</v>
      </c>
      <c r="AG51" s="404">
        <f t="shared" si="17"/>
        <v>0</v>
      </c>
      <c r="AH51" s="404">
        <f t="shared" si="18"/>
        <v>0</v>
      </c>
      <c r="AI51" s="405">
        <f t="shared" si="19"/>
        <v>0</v>
      </c>
      <c r="AJ51" s="406">
        <f t="shared" si="21"/>
        <v>0</v>
      </c>
      <c r="AK51" s="96">
        <f t="shared" si="22"/>
        <v>0</v>
      </c>
      <c r="AL51" s="96">
        <f>AK51/(1+0.03)^($D51-'A - Inputs'!$C$6)</f>
        <v>0</v>
      </c>
      <c r="AM51" s="407">
        <f>AK51/(1+0.07)^($D51-'A - Inputs'!$C$6)</f>
        <v>0</v>
      </c>
    </row>
    <row r="52" spans="4:39" x14ac:dyDescent="0.25">
      <c r="D52" s="161">
        <f t="shared" si="23"/>
        <v>2051</v>
      </c>
      <c r="E52" s="183">
        <f t="shared" si="23"/>
        <v>29</v>
      </c>
      <c r="F52" s="32">
        <f t="shared" si="4"/>
        <v>24</v>
      </c>
      <c r="G52" s="401">
        <f>IF(OR($D52&lt;$D$29,$E52&gt;'A - Inputs'!$C$11),0,$E$3)</f>
        <v>0</v>
      </c>
      <c r="H52" s="410">
        <f>IF(OR($D52&lt;$D$29,$E52&gt;'A - Inputs'!$C$11),0,$E$4)</f>
        <v>0</v>
      </c>
      <c r="I52" s="410">
        <f>IF(OR($D52&lt;$D$29,$E52&gt;'A - Inputs'!$C$11),0,$E$5)</f>
        <v>0</v>
      </c>
      <c r="J52" s="410">
        <f>IF(OR($D52&lt;$D$29,$E52&gt;'A - Inputs'!$C$11),0,$E$6)</f>
        <v>0</v>
      </c>
      <c r="K52" s="410">
        <f>IF(OR($D52&lt;$D$29,$E52&gt;'A - Inputs'!$C$11),0,$E$7)</f>
        <v>0</v>
      </c>
      <c r="L52" s="410">
        <f>IF(OR($D52&lt;$D$29,$E52&gt;'A - Inputs'!$C$11),0,$E$8)</f>
        <v>0</v>
      </c>
      <c r="M52" s="411">
        <f>IF(OR($D52&lt;$D$29,$E52&gt;'A - Inputs'!$C$11),0,$E$9)</f>
        <v>0</v>
      </c>
      <c r="N52" s="401">
        <f>IF(OR($D52&lt;$D$29,$E52&gt;'A - Inputs'!$C$11),0,$F$4)</f>
        <v>0</v>
      </c>
      <c r="O52" s="410">
        <f>IF(OR($D52&lt;$D$29,$E52&gt;'A - Inputs'!$C$11),0,$F$4)</f>
        <v>0</v>
      </c>
      <c r="P52" s="410">
        <f>IF(OR($D52&lt;$D$29,$E52&gt;'A - Inputs'!$C$11),0,$F$5)</f>
        <v>0</v>
      </c>
      <c r="Q52" s="410">
        <f>IF(OR($D52&lt;$D$29,$E52&gt;'A - Inputs'!$C$11),0,$F$6)</f>
        <v>0</v>
      </c>
      <c r="R52" s="410">
        <f>IF(OR($D52&lt;$D$29,$E52&gt;'A - Inputs'!$C$11),0,$F$7)</f>
        <v>0</v>
      </c>
      <c r="S52" s="410">
        <f>IF(OR($D52&lt;$D$29,$E52&gt;'A - Inputs'!$C$11),0,$F$8)</f>
        <v>0</v>
      </c>
      <c r="T52" s="411">
        <f>IF(OR($D52&lt;$D$29,$E52&gt;'A - Inputs'!$C$11),0,$F$9)</f>
        <v>0</v>
      </c>
      <c r="U52" s="404">
        <f t="shared" si="5"/>
        <v>0</v>
      </c>
      <c r="V52" s="404">
        <f t="shared" si="6"/>
        <v>0</v>
      </c>
      <c r="W52" s="404">
        <f t="shared" si="7"/>
        <v>0</v>
      </c>
      <c r="X52" s="404">
        <f t="shared" si="8"/>
        <v>0</v>
      </c>
      <c r="Y52" s="404">
        <f t="shared" si="9"/>
        <v>0</v>
      </c>
      <c r="Z52" s="404">
        <f t="shared" si="10"/>
        <v>0</v>
      </c>
      <c r="AA52" s="405">
        <f t="shared" si="11"/>
        <v>0</v>
      </c>
      <c r="AB52" s="405">
        <f t="shared" si="12"/>
        <v>0</v>
      </c>
      <c r="AC52" s="404">
        <f t="shared" si="13"/>
        <v>0</v>
      </c>
      <c r="AD52" s="404">
        <f t="shared" si="14"/>
        <v>0</v>
      </c>
      <c r="AE52" s="404">
        <f t="shared" si="15"/>
        <v>0</v>
      </c>
      <c r="AF52" s="404">
        <f t="shared" si="16"/>
        <v>0</v>
      </c>
      <c r="AG52" s="404">
        <f t="shared" si="17"/>
        <v>0</v>
      </c>
      <c r="AH52" s="404">
        <f t="shared" si="18"/>
        <v>0</v>
      </c>
      <c r="AI52" s="405">
        <f t="shared" si="19"/>
        <v>0</v>
      </c>
      <c r="AJ52" s="406">
        <f t="shared" si="21"/>
        <v>0</v>
      </c>
      <c r="AK52" s="96">
        <f t="shared" si="22"/>
        <v>0</v>
      </c>
      <c r="AL52" s="96">
        <f>AK52/(1+0.03)^($D52-'A - Inputs'!$C$6)</f>
        <v>0</v>
      </c>
      <c r="AM52" s="407">
        <f>AK52/(1+0.07)^($D52-'A - Inputs'!$C$6)</f>
        <v>0</v>
      </c>
    </row>
    <row r="53" spans="4:39" x14ac:dyDescent="0.25">
      <c r="D53" s="161">
        <f t="shared" ref="D53" si="24">D52+1</f>
        <v>2052</v>
      </c>
      <c r="E53" s="183">
        <f t="shared" ref="E53" si="25">E52+1</f>
        <v>30</v>
      </c>
      <c r="F53" s="32">
        <f t="shared" si="4"/>
        <v>25</v>
      </c>
      <c r="G53" s="401">
        <f>IF(OR($D53&lt;$D$29,$E53&gt;'A - Inputs'!$C$11),0,$E$3)</f>
        <v>0</v>
      </c>
      <c r="H53" s="410">
        <f>IF(OR($D53&lt;$D$29,$E53&gt;'A - Inputs'!$C$11),0,$E$4)</f>
        <v>0</v>
      </c>
      <c r="I53" s="410">
        <f>IF(OR($D53&lt;$D$29,$E53&gt;'A - Inputs'!$C$11),0,$E$5)</f>
        <v>0</v>
      </c>
      <c r="J53" s="410">
        <f>IF(OR($D53&lt;$D$29,$E53&gt;'A - Inputs'!$C$11),0,$E$6)</f>
        <v>0</v>
      </c>
      <c r="K53" s="410">
        <f>IF(OR($D53&lt;$D$29,$E53&gt;'A - Inputs'!$C$11),0,$E$7)</f>
        <v>0</v>
      </c>
      <c r="L53" s="410">
        <f>IF(OR($D53&lt;$D$29,$E53&gt;'A - Inputs'!$C$11),0,$E$8)</f>
        <v>0</v>
      </c>
      <c r="M53" s="411">
        <f>IF(OR($D53&lt;$D$29,$E53&gt;'A - Inputs'!$C$11),0,$E$9)</f>
        <v>0</v>
      </c>
      <c r="N53" s="401">
        <f>IF(OR($D53&lt;$D$29,$E53&gt;'A - Inputs'!$C$11),0,$F$4)</f>
        <v>0</v>
      </c>
      <c r="O53" s="410">
        <f>IF(OR($D53&lt;$D$29,$E53&gt;'A - Inputs'!$C$11),0,$F$4)</f>
        <v>0</v>
      </c>
      <c r="P53" s="410">
        <f>IF(OR($D53&lt;$D$29,$E53&gt;'A - Inputs'!$C$11),0,$F$5)</f>
        <v>0</v>
      </c>
      <c r="Q53" s="410">
        <f>IF(OR($D53&lt;$D$29,$E53&gt;'A - Inputs'!$C$11),0,$F$6)</f>
        <v>0</v>
      </c>
      <c r="R53" s="410">
        <f>IF(OR($D53&lt;$D$29,$E53&gt;'A - Inputs'!$C$11),0,$F$7)</f>
        <v>0</v>
      </c>
      <c r="S53" s="410">
        <f>IF(OR($D53&lt;$D$29,$E53&gt;'A - Inputs'!$C$11),0,$F$8)</f>
        <v>0</v>
      </c>
      <c r="T53" s="411">
        <f>IF(OR($D53&lt;$D$29,$E53&gt;'A - Inputs'!$C$11),0,$F$9)</f>
        <v>0</v>
      </c>
      <c r="U53" s="404">
        <f t="shared" si="5"/>
        <v>0</v>
      </c>
      <c r="V53" s="404">
        <f t="shared" si="6"/>
        <v>0</v>
      </c>
      <c r="W53" s="404">
        <f t="shared" si="7"/>
        <v>0</v>
      </c>
      <c r="X53" s="404">
        <f t="shared" si="8"/>
        <v>0</v>
      </c>
      <c r="Y53" s="404">
        <f t="shared" si="9"/>
        <v>0</v>
      </c>
      <c r="Z53" s="404">
        <f t="shared" si="10"/>
        <v>0</v>
      </c>
      <c r="AA53" s="405">
        <f t="shared" si="11"/>
        <v>0</v>
      </c>
      <c r="AB53" s="405">
        <f t="shared" ref="AB53:AB56" si="26">SUM(U53:AA53)</f>
        <v>0</v>
      </c>
      <c r="AC53" s="404">
        <f t="shared" si="13"/>
        <v>0</v>
      </c>
      <c r="AD53" s="404">
        <f t="shared" si="14"/>
        <v>0</v>
      </c>
      <c r="AE53" s="404">
        <f t="shared" si="15"/>
        <v>0</v>
      </c>
      <c r="AF53" s="404">
        <f t="shared" si="16"/>
        <v>0</v>
      </c>
      <c r="AG53" s="404">
        <f t="shared" si="17"/>
        <v>0</v>
      </c>
      <c r="AH53" s="404">
        <f t="shared" si="18"/>
        <v>0</v>
      </c>
      <c r="AI53" s="405">
        <f t="shared" si="19"/>
        <v>0</v>
      </c>
      <c r="AJ53" s="406">
        <f t="shared" ref="AJ53:AJ56" si="27">SUM(AC53:AI53)</f>
        <v>0</v>
      </c>
      <c r="AK53" s="96">
        <f t="shared" ref="AK53:AK56" si="28">AB53-AJ53</f>
        <v>0</v>
      </c>
      <c r="AL53" s="96">
        <f>AK53/(1+0.03)^($D53-'A - Inputs'!$C$6)</f>
        <v>0</v>
      </c>
      <c r="AM53" s="407">
        <f>AK53/(1+0.07)^($D53-'A - Inputs'!$C$6)</f>
        <v>0</v>
      </c>
    </row>
    <row r="54" spans="4:39" x14ac:dyDescent="0.25">
      <c r="D54" s="161">
        <f t="shared" ref="D54" si="29">D53+1</f>
        <v>2053</v>
      </c>
      <c r="E54" s="183">
        <f t="shared" ref="E54" si="30">E53+1</f>
        <v>31</v>
      </c>
      <c r="F54" s="32">
        <f t="shared" si="4"/>
        <v>26</v>
      </c>
      <c r="G54" s="401">
        <f>IF(OR($D54&lt;$D$29,$E54&gt;'A - Inputs'!$C$11),0,$E$3)</f>
        <v>0</v>
      </c>
      <c r="H54" s="410">
        <f>IF(OR($D54&lt;$D$29,$E54&gt;'A - Inputs'!$C$11),0,$E$4)</f>
        <v>0</v>
      </c>
      <c r="I54" s="410">
        <f>IF(OR($D54&lt;$D$29,$E54&gt;'A - Inputs'!$C$11),0,$E$5)</f>
        <v>0</v>
      </c>
      <c r="J54" s="410">
        <f>IF(OR($D54&lt;$D$29,$E54&gt;'A - Inputs'!$C$11),0,$E$6)</f>
        <v>0</v>
      </c>
      <c r="K54" s="410">
        <f>IF(OR($D54&lt;$D$29,$E54&gt;'A - Inputs'!$C$11),0,$E$7)</f>
        <v>0</v>
      </c>
      <c r="L54" s="410">
        <f>IF(OR($D54&lt;$D$29,$E54&gt;'A - Inputs'!$C$11),0,$E$8)</f>
        <v>0</v>
      </c>
      <c r="M54" s="411">
        <f>IF(OR($D54&lt;$D$29,$E54&gt;'A - Inputs'!$C$11),0,$E$9)</f>
        <v>0</v>
      </c>
      <c r="N54" s="401">
        <f>IF(OR($D54&lt;$D$29,$E54&gt;'A - Inputs'!$C$11),0,$F$4)</f>
        <v>0</v>
      </c>
      <c r="O54" s="410">
        <f>IF(OR($D54&lt;$D$29,$E54&gt;'A - Inputs'!$C$11),0,$F$4)</f>
        <v>0</v>
      </c>
      <c r="P54" s="410">
        <f>IF(OR($D54&lt;$D$29,$E54&gt;'A - Inputs'!$C$11),0,$F$5)</f>
        <v>0</v>
      </c>
      <c r="Q54" s="410">
        <f>IF(OR($D54&lt;$D$29,$E54&gt;'A - Inputs'!$C$11),0,$F$6)</f>
        <v>0</v>
      </c>
      <c r="R54" s="410">
        <f>IF(OR($D54&lt;$D$29,$E54&gt;'A - Inputs'!$C$11),0,$F$7)</f>
        <v>0</v>
      </c>
      <c r="S54" s="410">
        <f>IF(OR($D54&lt;$D$29,$E54&gt;'A - Inputs'!$C$11),0,$F$8)</f>
        <v>0</v>
      </c>
      <c r="T54" s="411">
        <f>IF(OR($D54&lt;$D$29,$E54&gt;'A - Inputs'!$C$11),0,$F$9)</f>
        <v>0</v>
      </c>
      <c r="U54" s="404">
        <f t="shared" si="5"/>
        <v>0</v>
      </c>
      <c r="V54" s="404">
        <f t="shared" si="6"/>
        <v>0</v>
      </c>
      <c r="W54" s="404">
        <f t="shared" si="7"/>
        <v>0</v>
      </c>
      <c r="X54" s="404">
        <f t="shared" si="8"/>
        <v>0</v>
      </c>
      <c r="Y54" s="404">
        <f t="shared" si="9"/>
        <v>0</v>
      </c>
      <c r="Z54" s="404">
        <f t="shared" si="10"/>
        <v>0</v>
      </c>
      <c r="AA54" s="405">
        <f t="shared" si="11"/>
        <v>0</v>
      </c>
      <c r="AB54" s="405">
        <f t="shared" si="26"/>
        <v>0</v>
      </c>
      <c r="AC54" s="404">
        <f t="shared" si="13"/>
        <v>0</v>
      </c>
      <c r="AD54" s="404">
        <f t="shared" si="14"/>
        <v>0</v>
      </c>
      <c r="AE54" s="404">
        <f t="shared" si="15"/>
        <v>0</v>
      </c>
      <c r="AF54" s="404">
        <f t="shared" si="16"/>
        <v>0</v>
      </c>
      <c r="AG54" s="404">
        <f t="shared" si="17"/>
        <v>0</v>
      </c>
      <c r="AH54" s="404">
        <f t="shared" si="18"/>
        <v>0</v>
      </c>
      <c r="AI54" s="405">
        <f t="shared" si="19"/>
        <v>0</v>
      </c>
      <c r="AJ54" s="406">
        <f t="shared" si="27"/>
        <v>0</v>
      </c>
      <c r="AK54" s="96">
        <f t="shared" si="28"/>
        <v>0</v>
      </c>
      <c r="AL54" s="96">
        <f>AK54/(1+0.03)^($D54-'A - Inputs'!$C$6)</f>
        <v>0</v>
      </c>
      <c r="AM54" s="407">
        <f>AK54/(1+0.07)^($D54-'A - Inputs'!$C$6)</f>
        <v>0</v>
      </c>
    </row>
    <row r="55" spans="4:39" x14ac:dyDescent="0.25">
      <c r="D55" s="161">
        <f t="shared" ref="D55" si="31">D54+1</f>
        <v>2054</v>
      </c>
      <c r="E55" s="183">
        <f t="shared" ref="E55" si="32">E54+1</f>
        <v>32</v>
      </c>
      <c r="F55" s="32">
        <f t="shared" si="4"/>
        <v>27</v>
      </c>
      <c r="G55" s="401">
        <f>IF(OR($D55&lt;$D$29,$E55&gt;'A - Inputs'!$C$11),0,$E$3)</f>
        <v>0</v>
      </c>
      <c r="H55" s="410">
        <f>IF(OR($D55&lt;$D$29,$E55&gt;'A - Inputs'!$C$11),0,$E$4)</f>
        <v>0</v>
      </c>
      <c r="I55" s="410">
        <f>IF(OR($D55&lt;$D$29,$E55&gt;'A - Inputs'!$C$11),0,$E$5)</f>
        <v>0</v>
      </c>
      <c r="J55" s="410">
        <f>IF(OR($D55&lt;$D$29,$E55&gt;'A - Inputs'!$C$11),0,$E$6)</f>
        <v>0</v>
      </c>
      <c r="K55" s="410">
        <f>IF(OR($D55&lt;$D$29,$E55&gt;'A - Inputs'!$C$11),0,$E$7)</f>
        <v>0</v>
      </c>
      <c r="L55" s="410">
        <f>IF(OR($D55&lt;$D$29,$E55&gt;'A - Inputs'!$C$11),0,$E$8)</f>
        <v>0</v>
      </c>
      <c r="M55" s="411">
        <f>IF(OR($D55&lt;$D$29,$E55&gt;'A - Inputs'!$C$11),0,$E$9)</f>
        <v>0</v>
      </c>
      <c r="N55" s="401">
        <f>IF(OR($D55&lt;$D$29,$E55&gt;'A - Inputs'!$C$11),0,$F$4)</f>
        <v>0</v>
      </c>
      <c r="O55" s="410">
        <f>IF(OR($D55&lt;$D$29,$E55&gt;'A - Inputs'!$C$11),0,$F$4)</f>
        <v>0</v>
      </c>
      <c r="P55" s="410">
        <f>IF(OR($D55&lt;$D$29,$E55&gt;'A - Inputs'!$C$11),0,$F$5)</f>
        <v>0</v>
      </c>
      <c r="Q55" s="410">
        <f>IF(OR($D55&lt;$D$29,$E55&gt;'A - Inputs'!$C$11),0,$F$6)</f>
        <v>0</v>
      </c>
      <c r="R55" s="410">
        <f>IF(OR($D55&lt;$D$29,$E55&gt;'A - Inputs'!$C$11),0,$F$7)</f>
        <v>0</v>
      </c>
      <c r="S55" s="410">
        <f>IF(OR($D55&lt;$D$29,$E55&gt;'A - Inputs'!$C$11),0,$F$8)</f>
        <v>0</v>
      </c>
      <c r="T55" s="411">
        <f>IF(OR($D55&lt;$D$29,$E55&gt;'A - Inputs'!$C$11),0,$F$9)</f>
        <v>0</v>
      </c>
      <c r="U55" s="404">
        <f t="shared" si="5"/>
        <v>0</v>
      </c>
      <c r="V55" s="404">
        <f t="shared" si="6"/>
        <v>0</v>
      </c>
      <c r="W55" s="404">
        <f t="shared" si="7"/>
        <v>0</v>
      </c>
      <c r="X55" s="404">
        <f t="shared" si="8"/>
        <v>0</v>
      </c>
      <c r="Y55" s="404">
        <f t="shared" si="9"/>
        <v>0</v>
      </c>
      <c r="Z55" s="404">
        <f t="shared" si="10"/>
        <v>0</v>
      </c>
      <c r="AA55" s="405">
        <f t="shared" si="11"/>
        <v>0</v>
      </c>
      <c r="AB55" s="405">
        <f t="shared" si="26"/>
        <v>0</v>
      </c>
      <c r="AC55" s="404">
        <f t="shared" si="13"/>
        <v>0</v>
      </c>
      <c r="AD55" s="404">
        <f t="shared" si="14"/>
        <v>0</v>
      </c>
      <c r="AE55" s="404">
        <f t="shared" si="15"/>
        <v>0</v>
      </c>
      <c r="AF55" s="404">
        <f t="shared" si="16"/>
        <v>0</v>
      </c>
      <c r="AG55" s="404">
        <f t="shared" si="17"/>
        <v>0</v>
      </c>
      <c r="AH55" s="404">
        <f t="shared" si="18"/>
        <v>0</v>
      </c>
      <c r="AI55" s="405">
        <f t="shared" si="19"/>
        <v>0</v>
      </c>
      <c r="AJ55" s="406">
        <f t="shared" si="27"/>
        <v>0</v>
      </c>
      <c r="AK55" s="96">
        <f t="shared" si="28"/>
        <v>0</v>
      </c>
      <c r="AL55" s="96">
        <f>AK55/(1+0.03)^($D55-'A - Inputs'!$C$6)</f>
        <v>0</v>
      </c>
      <c r="AM55" s="407">
        <f>AK55/(1+0.07)^($D55-'A - Inputs'!$C$6)</f>
        <v>0</v>
      </c>
    </row>
    <row r="56" spans="4:39" x14ac:dyDescent="0.25">
      <c r="D56" s="161">
        <f t="shared" ref="D56:D58" si="33">D55+1</f>
        <v>2055</v>
      </c>
      <c r="E56" s="183">
        <f t="shared" ref="E56:E58" si="34">E55+1</f>
        <v>33</v>
      </c>
      <c r="F56" s="32">
        <f t="shared" si="4"/>
        <v>28</v>
      </c>
      <c r="G56" s="401">
        <f>IF(OR($D56&lt;$D$29,$E56&gt;'A - Inputs'!$C$11),0,$E$3)</f>
        <v>0</v>
      </c>
      <c r="H56" s="410">
        <f>IF(OR($D56&lt;$D$29,$E56&gt;'A - Inputs'!$C$11),0,$E$4)</f>
        <v>0</v>
      </c>
      <c r="I56" s="410">
        <f>IF(OR($D56&lt;$D$29,$E56&gt;'A - Inputs'!$C$11),0,$E$5)</f>
        <v>0</v>
      </c>
      <c r="J56" s="410">
        <f>IF(OR($D56&lt;$D$29,$E56&gt;'A - Inputs'!$C$11),0,$E$6)</f>
        <v>0</v>
      </c>
      <c r="K56" s="410">
        <f>IF(OR($D56&lt;$D$29,$E56&gt;'A - Inputs'!$C$11),0,$E$7)</f>
        <v>0</v>
      </c>
      <c r="L56" s="410">
        <f>IF(OR($D56&lt;$D$29,$E56&gt;'A - Inputs'!$C$11),0,$E$8)</f>
        <v>0</v>
      </c>
      <c r="M56" s="411">
        <f>IF(OR($D56&lt;$D$29,$E56&gt;'A - Inputs'!$C$11),0,$E$9)</f>
        <v>0</v>
      </c>
      <c r="N56" s="401">
        <f>IF(OR($D56&lt;$D$29,$E56&gt;'A - Inputs'!$C$11),0,$F$4)</f>
        <v>0</v>
      </c>
      <c r="O56" s="410">
        <f>IF(OR($D56&lt;$D$29,$E56&gt;'A - Inputs'!$C$11),0,$F$4)</f>
        <v>0</v>
      </c>
      <c r="P56" s="410">
        <f>IF(OR($D56&lt;$D$29,$E56&gt;'A - Inputs'!$C$11),0,$F$5)</f>
        <v>0</v>
      </c>
      <c r="Q56" s="410">
        <f>IF(OR($D56&lt;$D$29,$E56&gt;'A - Inputs'!$C$11),0,$F$6)</f>
        <v>0</v>
      </c>
      <c r="R56" s="410">
        <f>IF(OR($D56&lt;$D$29,$E56&gt;'A - Inputs'!$C$11),0,$F$7)</f>
        <v>0</v>
      </c>
      <c r="S56" s="410">
        <f>IF(OR($D56&lt;$D$29,$E56&gt;'A - Inputs'!$C$11),0,$F$8)</f>
        <v>0</v>
      </c>
      <c r="T56" s="411">
        <f>IF(OR($D56&lt;$D$29,$E56&gt;'A - Inputs'!$C$11),0,$F$9)</f>
        <v>0</v>
      </c>
      <c r="U56" s="404">
        <f t="shared" si="5"/>
        <v>0</v>
      </c>
      <c r="V56" s="404">
        <f t="shared" si="6"/>
        <v>0</v>
      </c>
      <c r="W56" s="404">
        <f t="shared" si="7"/>
        <v>0</v>
      </c>
      <c r="X56" s="404">
        <f t="shared" si="8"/>
        <v>0</v>
      </c>
      <c r="Y56" s="404">
        <f t="shared" si="9"/>
        <v>0</v>
      </c>
      <c r="Z56" s="404">
        <f t="shared" si="10"/>
        <v>0</v>
      </c>
      <c r="AA56" s="405">
        <f t="shared" si="11"/>
        <v>0</v>
      </c>
      <c r="AB56" s="405">
        <f t="shared" si="26"/>
        <v>0</v>
      </c>
      <c r="AC56" s="404">
        <f t="shared" si="13"/>
        <v>0</v>
      </c>
      <c r="AD56" s="404">
        <f t="shared" si="14"/>
        <v>0</v>
      </c>
      <c r="AE56" s="404">
        <f t="shared" si="15"/>
        <v>0</v>
      </c>
      <c r="AF56" s="404">
        <f t="shared" si="16"/>
        <v>0</v>
      </c>
      <c r="AG56" s="404">
        <f t="shared" si="17"/>
        <v>0</v>
      </c>
      <c r="AH56" s="404">
        <f t="shared" si="18"/>
        <v>0</v>
      </c>
      <c r="AI56" s="405">
        <f t="shared" si="19"/>
        <v>0</v>
      </c>
      <c r="AJ56" s="406">
        <f t="shared" si="27"/>
        <v>0</v>
      </c>
      <c r="AK56" s="96">
        <f t="shared" si="28"/>
        <v>0</v>
      </c>
      <c r="AL56" s="96">
        <f>AK56/(1+0.03)^($D56-'A - Inputs'!$C$6)</f>
        <v>0</v>
      </c>
      <c r="AM56" s="407">
        <f>AK56/(1+0.07)^($D56-'A - Inputs'!$C$6)</f>
        <v>0</v>
      </c>
    </row>
    <row r="57" spans="4:39" x14ac:dyDescent="0.25">
      <c r="D57" s="161">
        <f t="shared" si="33"/>
        <v>2056</v>
      </c>
      <c r="E57" s="183">
        <f t="shared" si="34"/>
        <v>34</v>
      </c>
      <c r="F57" s="32">
        <f t="shared" ref="F57:F58" si="35">MAX(D57-_xlfn.SINGLE(BenefitStart)+1,0)</f>
        <v>29</v>
      </c>
      <c r="G57" s="401">
        <f>IF(OR($D57&lt;$D$29,$E57&gt;'A - Inputs'!$C$11),0,$E$3)</f>
        <v>0</v>
      </c>
      <c r="H57" s="410">
        <f>IF(OR($D57&lt;$D$29,$E57&gt;'A - Inputs'!$C$11),0,$E$4)</f>
        <v>0</v>
      </c>
      <c r="I57" s="410">
        <f>IF(OR($D57&lt;$D$29,$E57&gt;'A - Inputs'!$C$11),0,$E$5)</f>
        <v>0</v>
      </c>
      <c r="J57" s="410">
        <f>IF(OR($D57&lt;$D$29,$E57&gt;'A - Inputs'!$C$11),0,$E$6)</f>
        <v>0</v>
      </c>
      <c r="K57" s="410">
        <f>IF(OR($D57&lt;$D$29,$E57&gt;'A - Inputs'!$C$11),0,$E$7)</f>
        <v>0</v>
      </c>
      <c r="L57" s="410">
        <f>IF(OR($D57&lt;$D$29,$E57&gt;'A - Inputs'!$C$11),0,$E$8)</f>
        <v>0</v>
      </c>
      <c r="M57" s="411">
        <f>IF(OR($D57&lt;$D$29,$E57&gt;'A - Inputs'!$C$11),0,$E$9)</f>
        <v>0</v>
      </c>
      <c r="N57" s="401">
        <f>IF(OR($D57&lt;$D$29,$E57&gt;'A - Inputs'!$C$11),0,$F$4)</f>
        <v>0</v>
      </c>
      <c r="O57" s="410">
        <f>IF(OR($D57&lt;$D$29,$E57&gt;'A - Inputs'!$C$11),0,$F$4)</f>
        <v>0</v>
      </c>
      <c r="P57" s="410">
        <f>IF(OR($D57&lt;$D$29,$E57&gt;'A - Inputs'!$C$11),0,$F$5)</f>
        <v>0</v>
      </c>
      <c r="Q57" s="410">
        <f>IF(OR($D57&lt;$D$29,$E57&gt;'A - Inputs'!$C$11),0,$F$6)</f>
        <v>0</v>
      </c>
      <c r="R57" s="410">
        <f>IF(OR($D57&lt;$D$29,$E57&gt;'A - Inputs'!$C$11),0,$F$7)</f>
        <v>0</v>
      </c>
      <c r="S57" s="410">
        <f>IF(OR($D57&lt;$D$29,$E57&gt;'A - Inputs'!$C$11),0,$F$8)</f>
        <v>0</v>
      </c>
      <c r="T57" s="411">
        <f>IF(OR($D57&lt;$D$29,$E57&gt;'A - Inputs'!$C$11),0,$F$9)</f>
        <v>0</v>
      </c>
      <c r="U57" s="404">
        <f t="shared" si="5"/>
        <v>0</v>
      </c>
      <c r="V57" s="404">
        <f t="shared" si="6"/>
        <v>0</v>
      </c>
      <c r="W57" s="404">
        <f t="shared" si="7"/>
        <v>0</v>
      </c>
      <c r="X57" s="404">
        <f t="shared" si="8"/>
        <v>0</v>
      </c>
      <c r="Y57" s="404">
        <f t="shared" si="9"/>
        <v>0</v>
      </c>
      <c r="Z57" s="404">
        <f t="shared" si="10"/>
        <v>0</v>
      </c>
      <c r="AA57" s="405">
        <f t="shared" si="11"/>
        <v>0</v>
      </c>
      <c r="AB57" s="405">
        <f t="shared" ref="AB57:AB58" si="36">SUM(U57:AA57)</f>
        <v>0</v>
      </c>
      <c r="AC57" s="404">
        <f t="shared" si="13"/>
        <v>0</v>
      </c>
      <c r="AD57" s="404">
        <f t="shared" si="14"/>
        <v>0</v>
      </c>
      <c r="AE57" s="404">
        <f t="shared" si="15"/>
        <v>0</v>
      </c>
      <c r="AF57" s="404">
        <f t="shared" si="16"/>
        <v>0</v>
      </c>
      <c r="AG57" s="404">
        <f t="shared" si="17"/>
        <v>0</v>
      </c>
      <c r="AH57" s="404">
        <f t="shared" si="18"/>
        <v>0</v>
      </c>
      <c r="AI57" s="405">
        <f t="shared" si="19"/>
        <v>0</v>
      </c>
      <c r="AJ57" s="406">
        <f t="shared" ref="AJ57:AJ58" si="37">SUM(AC57:AI57)</f>
        <v>0</v>
      </c>
      <c r="AK57" s="96">
        <f t="shared" ref="AK57:AK58" si="38">AB57-AJ57</f>
        <v>0</v>
      </c>
      <c r="AL57" s="96">
        <f>AK57/(1+0.03)^($D57-'A - Inputs'!$C$6)</f>
        <v>0</v>
      </c>
      <c r="AM57" s="407">
        <f>AK57/(1+0.07)^($D57-'A - Inputs'!$C$6)</f>
        <v>0</v>
      </c>
    </row>
    <row r="58" spans="4:39" x14ac:dyDescent="0.25">
      <c r="D58" s="161">
        <f t="shared" si="33"/>
        <v>2057</v>
      </c>
      <c r="E58" s="183">
        <f t="shared" si="34"/>
        <v>35</v>
      </c>
      <c r="F58" s="32">
        <f t="shared" si="35"/>
        <v>30</v>
      </c>
      <c r="G58" s="401">
        <f>IF(OR($D58&lt;$D$29,$E58&gt;'A - Inputs'!$C$11),0,$E$3)</f>
        <v>0</v>
      </c>
      <c r="H58" s="410">
        <f>IF(OR($D58&lt;$D$29,$E58&gt;'A - Inputs'!$C$11),0,$E$4)</f>
        <v>0</v>
      </c>
      <c r="I58" s="410">
        <f>IF(OR($D58&lt;$D$29,$E58&gt;'A - Inputs'!$C$11),0,$E$5)</f>
        <v>0</v>
      </c>
      <c r="J58" s="410">
        <f>IF(OR($D58&lt;$D$29,$E58&gt;'A - Inputs'!$C$11),0,$E$6)</f>
        <v>0</v>
      </c>
      <c r="K58" s="410">
        <f>IF(OR($D58&lt;$D$29,$E58&gt;'A - Inputs'!$C$11),0,$E$7)</f>
        <v>0</v>
      </c>
      <c r="L58" s="410">
        <f>IF(OR($D58&lt;$D$29,$E58&gt;'A - Inputs'!$C$11),0,$E$8)</f>
        <v>0</v>
      </c>
      <c r="M58" s="411">
        <f>IF(OR($D58&lt;$D$29,$E58&gt;'A - Inputs'!$C$11),0,$E$9)</f>
        <v>0</v>
      </c>
      <c r="N58" s="401">
        <f>IF(OR($D58&lt;$D$29,$E58&gt;'A - Inputs'!$C$11),0,$F$4)</f>
        <v>0</v>
      </c>
      <c r="O58" s="410">
        <f>IF(OR($D58&lt;$D$29,$E58&gt;'A - Inputs'!$C$11),0,$F$4)</f>
        <v>0</v>
      </c>
      <c r="P58" s="410">
        <f>IF(OR($D58&lt;$D$29,$E58&gt;'A - Inputs'!$C$11),0,$F$5)</f>
        <v>0</v>
      </c>
      <c r="Q58" s="410">
        <f>IF(OR($D58&lt;$D$29,$E58&gt;'A - Inputs'!$C$11),0,$F$6)</f>
        <v>0</v>
      </c>
      <c r="R58" s="410">
        <f>IF(OR($D58&lt;$D$29,$E58&gt;'A - Inputs'!$C$11),0,$F$7)</f>
        <v>0</v>
      </c>
      <c r="S58" s="410">
        <f>IF(OR($D58&lt;$D$29,$E58&gt;'A - Inputs'!$C$11),0,$F$8)</f>
        <v>0</v>
      </c>
      <c r="T58" s="411">
        <f>IF(OR($D58&lt;$D$29,$E58&gt;'A - Inputs'!$C$11),0,$F$9)</f>
        <v>0</v>
      </c>
      <c r="U58" s="404">
        <f t="shared" si="5"/>
        <v>0</v>
      </c>
      <c r="V58" s="404">
        <f t="shared" si="6"/>
        <v>0</v>
      </c>
      <c r="W58" s="404">
        <f t="shared" si="7"/>
        <v>0</v>
      </c>
      <c r="X58" s="404">
        <f t="shared" si="8"/>
        <v>0</v>
      </c>
      <c r="Y58" s="404">
        <f t="shared" si="9"/>
        <v>0</v>
      </c>
      <c r="Z58" s="404">
        <f t="shared" si="10"/>
        <v>0</v>
      </c>
      <c r="AA58" s="405">
        <f t="shared" si="11"/>
        <v>0</v>
      </c>
      <c r="AB58" s="405">
        <f t="shared" si="36"/>
        <v>0</v>
      </c>
      <c r="AC58" s="404">
        <f t="shared" si="13"/>
        <v>0</v>
      </c>
      <c r="AD58" s="404">
        <f t="shared" si="14"/>
        <v>0</v>
      </c>
      <c r="AE58" s="404">
        <f t="shared" si="15"/>
        <v>0</v>
      </c>
      <c r="AF58" s="404">
        <f t="shared" si="16"/>
        <v>0</v>
      </c>
      <c r="AG58" s="404">
        <f t="shared" si="17"/>
        <v>0</v>
      </c>
      <c r="AH58" s="404">
        <f t="shared" si="18"/>
        <v>0</v>
      </c>
      <c r="AI58" s="405">
        <f t="shared" si="19"/>
        <v>0</v>
      </c>
      <c r="AJ58" s="406">
        <f t="shared" si="37"/>
        <v>0</v>
      </c>
      <c r="AK58" s="96">
        <f t="shared" si="38"/>
        <v>0</v>
      </c>
      <c r="AL58" s="96">
        <f>AK58/(1+0.03)^($D58-'A - Inputs'!$C$6)</f>
        <v>0</v>
      </c>
      <c r="AM58" s="407">
        <f>AK58/(1+0.07)^($D58-'A - Inputs'!$C$6)</f>
        <v>0</v>
      </c>
    </row>
    <row r="59" spans="4:39" x14ac:dyDescent="0.25">
      <c r="D59" s="41" t="s">
        <v>80</v>
      </c>
      <c r="E59" s="42"/>
      <c r="F59" s="314">
        <v>31</v>
      </c>
      <c r="G59" s="41"/>
      <c r="H59" s="41"/>
      <c r="I59" s="41"/>
      <c r="J59" s="41"/>
      <c r="K59" s="41"/>
      <c r="L59" s="41"/>
      <c r="M59" s="42"/>
      <c r="N59" s="41"/>
      <c r="O59" s="41"/>
      <c r="P59" s="41"/>
      <c r="Q59" s="41"/>
      <c r="R59" s="41"/>
      <c r="S59" s="41"/>
      <c r="T59" s="42"/>
      <c r="U59" s="43"/>
      <c r="V59" s="41"/>
      <c r="W59" s="41"/>
      <c r="X59" s="41"/>
      <c r="Y59" s="41"/>
      <c r="Z59" s="41"/>
      <c r="AA59" s="41"/>
      <c r="AB59" s="44">
        <f>SUM(AB23:AB58)</f>
        <v>833352958.80000043</v>
      </c>
      <c r="AC59" s="43"/>
      <c r="AD59" s="41"/>
      <c r="AE59" s="41"/>
      <c r="AF59" s="41"/>
      <c r="AG59" s="41"/>
      <c r="AH59" s="41"/>
      <c r="AI59" s="44"/>
      <c r="AJ59" s="44">
        <f>SUM(AJ23:AJ58)</f>
        <v>525950933.40000021</v>
      </c>
      <c r="AK59" s="545">
        <f>SUM(AK23:AK58)</f>
        <v>307402025.39999974</v>
      </c>
      <c r="AL59" s="546">
        <f>SUM(AL23:AL58)</f>
        <v>180512863.8628706</v>
      </c>
      <c r="AM59" s="44">
        <f>SUM(AM23:AM58)</f>
        <v>94769166.299157843</v>
      </c>
    </row>
    <row r="60" spans="4:39" x14ac:dyDescent="0.25">
      <c r="F60" s="313"/>
      <c r="J60" s="161"/>
      <c r="K60" s="160"/>
      <c r="M60" s="553">
        <f>SUM(G23:M48)</f>
        <v>6612.0000000000018</v>
      </c>
      <c r="T60" s="553">
        <f>SUM(N23:T48)</f>
        <v>4128</v>
      </c>
      <c r="Z60" s="161"/>
      <c r="AA60" s="161"/>
      <c r="AB60"/>
      <c r="AI60"/>
      <c r="AJ60"/>
    </row>
    <row r="61" spans="4:39" x14ac:dyDescent="0.25">
      <c r="F61" s="313"/>
      <c r="AB61"/>
      <c r="AI61"/>
      <c r="AJ61"/>
    </row>
    <row r="62" spans="4:39" x14ac:dyDescent="0.25">
      <c r="O62" s="160">
        <f>(T60-M60)/M60</f>
        <v>-0.37568058076225064</v>
      </c>
    </row>
  </sheetData>
  <pageMargins left="0.7" right="0.7" top="0.75" bottom="0.75" header="0.3" footer="0.3"/>
  <pageSetup scale="57" orientation="landscape" horizontalDpi="90" verticalDpi="90" r:id="rId1"/>
  <headerFooter>
    <oddHeader>&amp;L&amp;"Arial,Bold"FDOT - INFRA Grant for I-95&amp;R&amp;"Arial,Bold"&amp;A</oddHeader>
    <oddFooter>&amp;CPage G-&amp;P</oddFooter>
  </headerFooter>
  <colBreaks count="1" manualBreakCount="1">
    <brk id="20" min="11" max="5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B80E0-9218-496F-9A84-4FBFBA37AF6F}">
  <sheetPr codeName="Sheet8"/>
  <dimension ref="A1:V55"/>
  <sheetViews>
    <sheetView view="pageLayout" zoomScaleNormal="100" workbookViewId="0">
      <selection activeCell="N49" sqref="N49"/>
    </sheetView>
  </sheetViews>
  <sheetFormatPr defaultColWidth="8.7109375" defaultRowHeight="15" x14ac:dyDescent="0.25"/>
  <cols>
    <col min="1" max="1" width="8.85546875" style="196" bestFit="1" customWidth="1"/>
    <col min="2" max="2" width="7.42578125" style="196" customWidth="1"/>
    <col min="3" max="4" width="9.140625" style="196" bestFit="1" customWidth="1"/>
    <col min="5" max="6" width="9.140625" style="196" customWidth="1"/>
    <col min="7" max="7" width="10.42578125" style="196" customWidth="1"/>
    <col min="8" max="10" width="10.28515625" style="196" customWidth="1"/>
    <col min="11" max="12" width="14.42578125" style="196" customWidth="1"/>
    <col min="13" max="15" width="11.140625" style="196" bestFit="1" customWidth="1"/>
    <col min="16" max="16" width="12.140625" style="196" customWidth="1"/>
    <col min="17" max="17" width="17.85546875" style="196" bestFit="1" customWidth="1"/>
    <col min="18" max="19" width="13.85546875" style="196" customWidth="1"/>
    <col min="20" max="22" width="12" style="196" bestFit="1" customWidth="1"/>
    <col min="23" max="23" width="13.7109375" style="196" customWidth="1"/>
    <col min="24" max="16384" width="8.7109375" style="196"/>
  </cols>
  <sheetData>
    <row r="1" spans="1:22" ht="15.6" customHeight="1" x14ac:dyDescent="0.25">
      <c r="A1" s="31"/>
      <c r="B1" s="31"/>
      <c r="C1" s="31"/>
      <c r="D1" s="31"/>
      <c r="E1" s="31"/>
      <c r="F1" s="31"/>
      <c r="G1" s="194" t="str">
        <f>'A - Inputs'!B21</f>
        <v>In-Vehicle Travel Time: All</v>
      </c>
      <c r="H1" s="195">
        <f>'A - Inputs'!C21</f>
        <v>17.899999999999999</v>
      </c>
      <c r="I1" s="195" t="str">
        <f>'A - Inputs'!D21</f>
        <v>per hour</v>
      </c>
    </row>
    <row r="2" spans="1:22" ht="15.6" customHeight="1" x14ac:dyDescent="0.25">
      <c r="A2" s="31"/>
      <c r="B2" s="31"/>
      <c r="C2" s="31"/>
      <c r="D2" s="31"/>
      <c r="E2" s="31"/>
      <c r="F2" s="31"/>
      <c r="G2" s="194" t="str">
        <f>'A - Inputs'!B22</f>
        <v>Commercial Vehicle Operators Travel Time: Truck Drivers</v>
      </c>
      <c r="H2" s="195">
        <f>'A - Inputs'!C22</f>
        <v>30.8</v>
      </c>
      <c r="I2" s="195" t="str">
        <f>'A - Inputs'!D22</f>
        <v>per hour</v>
      </c>
    </row>
    <row r="3" spans="1:22" ht="15.6" customHeight="1" x14ac:dyDescent="0.25">
      <c r="A3" s="31"/>
      <c r="B3" s="31"/>
      <c r="C3" s="31"/>
      <c r="D3" s="31"/>
      <c r="E3" s="31"/>
      <c r="F3" s="31"/>
      <c r="G3" s="194" t="str">
        <f>'A - Inputs'!B23</f>
        <v>Non-commercial vehicle occupants</v>
      </c>
      <c r="H3" s="198">
        <f>'A - Inputs'!C23</f>
        <v>1.67</v>
      </c>
      <c r="I3" s="195"/>
    </row>
    <row r="4" spans="1:22" ht="15.6" customHeight="1" x14ac:dyDescent="0.25">
      <c r="A4" s="31"/>
      <c r="B4" s="31"/>
      <c r="C4" s="31"/>
      <c r="D4" s="31"/>
      <c r="E4" s="31"/>
      <c r="F4" s="31"/>
      <c r="G4" s="194" t="str">
        <f>'A - Inputs'!B24</f>
        <v>Commercial vehicle occupants</v>
      </c>
      <c r="H4" s="198">
        <f>'A - Inputs'!C24</f>
        <v>1</v>
      </c>
      <c r="I4" s="195"/>
    </row>
    <row r="5" spans="1:22" ht="15.6" customHeight="1" x14ac:dyDescent="0.25">
      <c r="A5" s="31"/>
      <c r="B5" s="31"/>
      <c r="C5" s="31"/>
      <c r="D5" s="31"/>
      <c r="E5" s="31"/>
      <c r="F5" s="31"/>
      <c r="G5" s="194" t="s">
        <v>199</v>
      </c>
      <c r="H5" s="197">
        <f>'A - Inputs'!C28</f>
        <v>8.6900000000000005E-2</v>
      </c>
      <c r="J5" s="198"/>
    </row>
    <row r="6" spans="1:22" ht="16.5" customHeight="1" x14ac:dyDescent="0.25">
      <c r="A6" s="31"/>
      <c r="B6" s="31"/>
      <c r="C6" s="31"/>
      <c r="D6" s="31"/>
      <c r="E6" s="31"/>
      <c r="F6" s="31"/>
      <c r="G6" s="194" t="s">
        <v>200</v>
      </c>
      <c r="H6" s="197">
        <f>'A - Inputs'!C29</f>
        <v>0.6</v>
      </c>
    </row>
    <row r="7" spans="1:22" x14ac:dyDescent="0.25">
      <c r="E7" s="160"/>
      <c r="F7" s="160"/>
      <c r="G7" s="147"/>
      <c r="H7" s="319"/>
    </row>
    <row r="8" spans="1:22" x14ac:dyDescent="0.25">
      <c r="B8" s="200"/>
      <c r="C8" s="8" t="s">
        <v>624</v>
      </c>
      <c r="D8" s="8"/>
      <c r="E8" s="8"/>
      <c r="F8" s="11"/>
      <c r="G8" s="8" t="s">
        <v>627</v>
      </c>
      <c r="H8" s="8"/>
      <c r="I8" s="8"/>
      <c r="J8" s="11"/>
      <c r="K8" s="8" t="s">
        <v>628</v>
      </c>
      <c r="L8" s="8"/>
      <c r="M8" s="8"/>
      <c r="N8" s="11"/>
      <c r="O8" s="47"/>
      <c r="P8" s="549"/>
      <c r="Q8" s="550"/>
      <c r="R8" s="47"/>
      <c r="S8" s="549"/>
    </row>
    <row r="9" spans="1:22" x14ac:dyDescent="0.25">
      <c r="B9" s="200"/>
      <c r="C9" s="8" t="s">
        <v>201</v>
      </c>
      <c r="D9" s="201"/>
      <c r="E9" s="8" t="s">
        <v>202</v>
      </c>
      <c r="F9" s="201"/>
      <c r="G9" s="8" t="s">
        <v>203</v>
      </c>
      <c r="H9" s="201"/>
      <c r="I9" s="16" t="s">
        <v>204</v>
      </c>
      <c r="J9" s="201"/>
      <c r="K9" s="8" t="s">
        <v>203</v>
      </c>
      <c r="L9" s="202"/>
      <c r="M9" s="16" t="s">
        <v>204</v>
      </c>
      <c r="N9" s="201"/>
      <c r="O9" s="8" t="s">
        <v>623</v>
      </c>
      <c r="P9" s="11"/>
      <c r="Q9" s="20" t="s">
        <v>626</v>
      </c>
      <c r="R9" s="8" t="s">
        <v>625</v>
      </c>
      <c r="S9" s="11"/>
      <c r="T9" s="8" t="s">
        <v>166</v>
      </c>
      <c r="U9" s="8"/>
      <c r="V9" s="11"/>
    </row>
    <row r="10" spans="1:22" s="193" customFormat="1" ht="45" customHeight="1" x14ac:dyDescent="0.25">
      <c r="A10" s="172" t="s">
        <v>45</v>
      </c>
      <c r="B10" s="179" t="s">
        <v>46</v>
      </c>
      <c r="C10" s="172" t="s">
        <v>44</v>
      </c>
      <c r="D10" s="179" t="s">
        <v>47</v>
      </c>
      <c r="E10" s="172" t="s">
        <v>44</v>
      </c>
      <c r="F10" s="179" t="s">
        <v>47</v>
      </c>
      <c r="G10" s="172" t="s">
        <v>44</v>
      </c>
      <c r="H10" s="179" t="s">
        <v>47</v>
      </c>
      <c r="I10" s="172" t="s">
        <v>44</v>
      </c>
      <c r="J10" s="179" t="s">
        <v>47</v>
      </c>
      <c r="K10" s="172" t="s">
        <v>44</v>
      </c>
      <c r="L10" s="179" t="s">
        <v>47</v>
      </c>
      <c r="M10" s="172" t="s">
        <v>44</v>
      </c>
      <c r="N10" s="180" t="s">
        <v>47</v>
      </c>
      <c r="O10" s="172" t="s">
        <v>203</v>
      </c>
      <c r="P10" s="180" t="s">
        <v>204</v>
      </c>
      <c r="Q10" s="182" t="s">
        <v>622</v>
      </c>
      <c r="R10" s="172" t="s">
        <v>203</v>
      </c>
      <c r="S10" s="180" t="s">
        <v>204</v>
      </c>
      <c r="T10" s="37" t="s">
        <v>80</v>
      </c>
      <c r="U10" s="37" t="s">
        <v>52</v>
      </c>
      <c r="V10" s="38" t="s">
        <v>53</v>
      </c>
    </row>
    <row r="11" spans="1:22" x14ac:dyDescent="0.25">
      <c r="A11" s="40">
        <f>'A - Inputs'!C47</f>
        <v>2022</v>
      </c>
      <c r="B11" s="434">
        <v>0</v>
      </c>
      <c r="C11" s="359">
        <f>IF(B11&gt;'A - Inputs'!$C$11,0,'A - Inputs'!F47)</f>
        <v>90928</v>
      </c>
      <c r="D11" s="22">
        <f>IF(B11&gt;'A - Inputs'!$C$11,0,'A - Inputs'!G47)</f>
        <v>90928</v>
      </c>
      <c r="E11" s="204">
        <f>C11/$H$6</f>
        <v>151546.66666666669</v>
      </c>
      <c r="F11" s="205">
        <f t="shared" ref="F11:F39" si="0">D11/$H$6</f>
        <v>151546.66666666669</v>
      </c>
      <c r="G11" s="204">
        <f>(E11*(1-$H$5))</f>
        <v>138377.26133333336</v>
      </c>
      <c r="H11" s="205">
        <f t="shared" ref="H11:H39" si="1">F11*(1-$H$5)</f>
        <v>138377.26133333336</v>
      </c>
      <c r="I11" s="204">
        <f>E11*$H$5</f>
        <v>13169.405333333336</v>
      </c>
      <c r="J11" s="205">
        <f t="shared" ref="J11:J39" si="2">F11*$H$5</f>
        <v>13169.405333333336</v>
      </c>
      <c r="K11" s="206">
        <f>G11*$H$1*$H$3</f>
        <v>4136511.4730373337</v>
      </c>
      <c r="L11" s="207">
        <f>H11*$H$1*$H$3</f>
        <v>4136511.4730373337</v>
      </c>
      <c r="M11" s="206">
        <f>I11*$H$2*$H$4</f>
        <v>405617.68426666677</v>
      </c>
      <c r="N11" s="207">
        <f>J11*$H$2*$H$4</f>
        <v>405617.68426666677</v>
      </c>
      <c r="O11" s="206">
        <f>K11-L11</f>
        <v>0</v>
      </c>
      <c r="P11" s="207">
        <f>M11-N11</f>
        <v>0</v>
      </c>
      <c r="Q11" s="375">
        <f>'A - Inputs'!J47</f>
        <v>1</v>
      </c>
      <c r="R11" s="206">
        <f>O11*$Q11</f>
        <v>0</v>
      </c>
      <c r="S11" s="207">
        <f>P11*$Q11</f>
        <v>0</v>
      </c>
      <c r="T11" s="33">
        <f>SUM(R11:S11)</f>
        <v>0</v>
      </c>
      <c r="U11" s="33">
        <f>T11/(1+0.03)^($A11-'A - Inputs'!$C$6)</f>
        <v>0</v>
      </c>
      <c r="V11" s="39">
        <f>T11/(1+0.07)^($A11-'A - Inputs'!$C$6)</f>
        <v>0</v>
      </c>
    </row>
    <row r="12" spans="1:22" x14ac:dyDescent="0.25">
      <c r="A12" s="208">
        <f t="shared" ref="A12:B27" si="3">A11+1</f>
        <v>2023</v>
      </c>
      <c r="B12" s="203">
        <f t="shared" si="3"/>
        <v>1</v>
      </c>
      <c r="C12" s="359">
        <f>IF(B12&gt;'A - Inputs'!$C$11,0,'A - Inputs'!F48)</f>
        <v>90928</v>
      </c>
      <c r="D12" s="22">
        <f>IF(B12&gt;'A - Inputs'!$C$11,0,'A - Inputs'!G48)</f>
        <v>90928</v>
      </c>
      <c r="E12" s="204">
        <f t="shared" ref="E12:E39" si="4">C12/$H$6</f>
        <v>151546.66666666669</v>
      </c>
      <c r="F12" s="205">
        <f t="shared" si="0"/>
        <v>151546.66666666669</v>
      </c>
      <c r="G12" s="204">
        <f t="shared" ref="G12:G39" si="5">(E12*(1-$H$5))</f>
        <v>138377.26133333336</v>
      </c>
      <c r="H12" s="205">
        <f t="shared" si="1"/>
        <v>138377.26133333336</v>
      </c>
      <c r="I12" s="204">
        <f t="shared" ref="I12:I39" si="6">E12*$H$5</f>
        <v>13169.405333333336</v>
      </c>
      <c r="J12" s="205">
        <f t="shared" si="2"/>
        <v>13169.405333333336</v>
      </c>
      <c r="K12" s="206">
        <f t="shared" ref="K12:K39" si="7">G12*$H$1*$H$3</f>
        <v>4136511.4730373337</v>
      </c>
      <c r="L12" s="207">
        <f t="shared" ref="L12:L39" si="8">H12*$H$1*$H$3</f>
        <v>4136511.4730373337</v>
      </c>
      <c r="M12" s="206">
        <f t="shared" ref="M12:M39" si="9">I12*$H$2*$H$4</f>
        <v>405617.68426666677</v>
      </c>
      <c r="N12" s="207">
        <f t="shared" ref="N12:N39" si="10">J12*$H$2*$H$4</f>
        <v>405617.68426666677</v>
      </c>
      <c r="O12" s="206">
        <f t="shared" ref="O12:O39" si="11">K12-L12</f>
        <v>0</v>
      </c>
      <c r="P12" s="207">
        <f t="shared" ref="P12:P39" si="12">M12-N12</f>
        <v>0</v>
      </c>
      <c r="Q12" s="375">
        <f>'A - Inputs'!J48</f>
        <v>1</v>
      </c>
      <c r="R12" s="206">
        <f t="shared" ref="R12:R39" si="13">O12*$Q12</f>
        <v>0</v>
      </c>
      <c r="S12" s="207">
        <f t="shared" ref="S12:S39" si="14">P12*$Q12</f>
        <v>0</v>
      </c>
      <c r="T12" s="33">
        <f t="shared" ref="T12:T39" si="15">SUM(R12:S12)</f>
        <v>0</v>
      </c>
      <c r="U12" s="33">
        <f>T12/(1+0.03)^($A12-'A - Inputs'!$C$6)</f>
        <v>0</v>
      </c>
      <c r="V12" s="39">
        <f>T12/(1+0.07)^($A12-'A - Inputs'!$C$6)</f>
        <v>0</v>
      </c>
    </row>
    <row r="13" spans="1:22" x14ac:dyDescent="0.25">
      <c r="A13" s="208">
        <f t="shared" si="3"/>
        <v>2024</v>
      </c>
      <c r="B13" s="203">
        <f t="shared" si="3"/>
        <v>2</v>
      </c>
      <c r="C13" s="359">
        <f>IF(B13&gt;'A - Inputs'!$C$11,0,'A - Inputs'!F49)</f>
        <v>90928</v>
      </c>
      <c r="D13" s="22">
        <f>IF(B13&gt;'A - Inputs'!$C$11,0,'A - Inputs'!G49)</f>
        <v>90928</v>
      </c>
      <c r="E13" s="204">
        <f t="shared" si="4"/>
        <v>151546.66666666669</v>
      </c>
      <c r="F13" s="205">
        <f t="shared" si="0"/>
        <v>151546.66666666669</v>
      </c>
      <c r="G13" s="204">
        <f t="shared" si="5"/>
        <v>138377.26133333336</v>
      </c>
      <c r="H13" s="205">
        <f t="shared" si="1"/>
        <v>138377.26133333336</v>
      </c>
      <c r="I13" s="204">
        <f t="shared" si="6"/>
        <v>13169.405333333336</v>
      </c>
      <c r="J13" s="205">
        <f t="shared" si="2"/>
        <v>13169.405333333336</v>
      </c>
      <c r="K13" s="206">
        <f t="shared" si="7"/>
        <v>4136511.4730373337</v>
      </c>
      <c r="L13" s="207">
        <f t="shared" si="8"/>
        <v>4136511.4730373337</v>
      </c>
      <c r="M13" s="206">
        <f t="shared" si="9"/>
        <v>405617.68426666677</v>
      </c>
      <c r="N13" s="207">
        <f t="shared" si="10"/>
        <v>405617.68426666677</v>
      </c>
      <c r="O13" s="206">
        <f t="shared" si="11"/>
        <v>0</v>
      </c>
      <c r="P13" s="207">
        <f t="shared" si="12"/>
        <v>0</v>
      </c>
      <c r="Q13" s="375">
        <f>'A - Inputs'!J49</f>
        <v>1</v>
      </c>
      <c r="R13" s="206">
        <f t="shared" si="13"/>
        <v>0</v>
      </c>
      <c r="S13" s="207">
        <f t="shared" si="14"/>
        <v>0</v>
      </c>
      <c r="T13" s="33">
        <f t="shared" si="15"/>
        <v>0</v>
      </c>
      <c r="U13" s="33">
        <f>T13/(1+0.03)^($A13-'A - Inputs'!$C$6)</f>
        <v>0</v>
      </c>
      <c r="V13" s="39">
        <f>T13/(1+0.07)^($A13-'A - Inputs'!$C$6)</f>
        <v>0</v>
      </c>
    </row>
    <row r="14" spans="1:22" x14ac:dyDescent="0.25">
      <c r="A14" s="208">
        <f t="shared" si="3"/>
        <v>2025</v>
      </c>
      <c r="B14" s="203">
        <f t="shared" si="3"/>
        <v>3</v>
      </c>
      <c r="C14" s="359">
        <f>IF(B14&gt;'A - Inputs'!$C$11,0,'A - Inputs'!F50)</f>
        <v>90928</v>
      </c>
      <c r="D14" s="22">
        <f>IF(B14&gt;'A - Inputs'!$C$11,0,'A - Inputs'!G50)</f>
        <v>90928</v>
      </c>
      <c r="E14" s="204">
        <f t="shared" si="4"/>
        <v>151546.66666666669</v>
      </c>
      <c r="F14" s="205">
        <f t="shared" si="0"/>
        <v>151546.66666666669</v>
      </c>
      <c r="G14" s="204">
        <f t="shared" si="5"/>
        <v>138377.26133333336</v>
      </c>
      <c r="H14" s="205">
        <f t="shared" si="1"/>
        <v>138377.26133333336</v>
      </c>
      <c r="I14" s="204">
        <f t="shared" si="6"/>
        <v>13169.405333333336</v>
      </c>
      <c r="J14" s="205">
        <f t="shared" si="2"/>
        <v>13169.405333333336</v>
      </c>
      <c r="K14" s="206">
        <f t="shared" si="7"/>
        <v>4136511.4730373337</v>
      </c>
      <c r="L14" s="207">
        <f t="shared" si="8"/>
        <v>4136511.4730373337</v>
      </c>
      <c r="M14" s="206">
        <f t="shared" si="9"/>
        <v>405617.68426666677</v>
      </c>
      <c r="N14" s="207">
        <f t="shared" si="10"/>
        <v>405617.68426666677</v>
      </c>
      <c r="O14" s="206">
        <f t="shared" si="11"/>
        <v>0</v>
      </c>
      <c r="P14" s="207">
        <f t="shared" si="12"/>
        <v>0</v>
      </c>
      <c r="Q14" s="375">
        <f>'A - Inputs'!J50</f>
        <v>1</v>
      </c>
      <c r="R14" s="206">
        <f t="shared" si="13"/>
        <v>0</v>
      </c>
      <c r="S14" s="207">
        <f t="shared" si="14"/>
        <v>0</v>
      </c>
      <c r="T14" s="33">
        <f t="shared" si="15"/>
        <v>0</v>
      </c>
      <c r="U14" s="33">
        <f>T14/(1+0.03)^($A14-'A - Inputs'!$C$6)</f>
        <v>0</v>
      </c>
      <c r="V14" s="39">
        <f>T14/(1+0.07)^($A14-'A - Inputs'!$C$6)</f>
        <v>0</v>
      </c>
    </row>
    <row r="15" spans="1:22" x14ac:dyDescent="0.25">
      <c r="A15" s="208">
        <f t="shared" si="3"/>
        <v>2026</v>
      </c>
      <c r="B15" s="203">
        <f t="shared" si="3"/>
        <v>4</v>
      </c>
      <c r="C15" s="359">
        <f>IF(B15&gt;'A - Inputs'!$C$11,0,'A - Inputs'!F51)</f>
        <v>90928</v>
      </c>
      <c r="D15" s="22">
        <f>IF(B15&gt;'A - Inputs'!$C$11,0,'A - Inputs'!G51)</f>
        <v>90928</v>
      </c>
      <c r="E15" s="204">
        <f t="shared" si="4"/>
        <v>151546.66666666669</v>
      </c>
      <c r="F15" s="205">
        <f t="shared" si="0"/>
        <v>151546.66666666669</v>
      </c>
      <c r="G15" s="204">
        <f t="shared" si="5"/>
        <v>138377.26133333336</v>
      </c>
      <c r="H15" s="205">
        <f t="shared" si="1"/>
        <v>138377.26133333336</v>
      </c>
      <c r="I15" s="204">
        <f t="shared" si="6"/>
        <v>13169.405333333336</v>
      </c>
      <c r="J15" s="205">
        <f t="shared" si="2"/>
        <v>13169.405333333336</v>
      </c>
      <c r="K15" s="206">
        <f t="shared" si="7"/>
        <v>4136511.4730373337</v>
      </c>
      <c r="L15" s="207">
        <f t="shared" si="8"/>
        <v>4136511.4730373337</v>
      </c>
      <c r="M15" s="206">
        <f t="shared" si="9"/>
        <v>405617.68426666677</v>
      </c>
      <c r="N15" s="207">
        <f t="shared" si="10"/>
        <v>405617.68426666677</v>
      </c>
      <c r="O15" s="206">
        <f t="shared" si="11"/>
        <v>0</v>
      </c>
      <c r="P15" s="207">
        <f t="shared" si="12"/>
        <v>0</v>
      </c>
      <c r="Q15" s="375">
        <f>'A - Inputs'!J51</f>
        <v>1</v>
      </c>
      <c r="R15" s="206">
        <f t="shared" si="13"/>
        <v>0</v>
      </c>
      <c r="S15" s="207">
        <f t="shared" si="14"/>
        <v>0</v>
      </c>
      <c r="T15" s="33">
        <f t="shared" si="15"/>
        <v>0</v>
      </c>
      <c r="U15" s="33">
        <f>T15/(1+0.03)^($A15-'A - Inputs'!$C$6)</f>
        <v>0</v>
      </c>
      <c r="V15" s="39">
        <f>T15/(1+0.07)^($A15-'A - Inputs'!$C$6)</f>
        <v>0</v>
      </c>
    </row>
    <row r="16" spans="1:22" x14ac:dyDescent="0.25">
      <c r="A16" s="208">
        <f t="shared" si="3"/>
        <v>2027</v>
      </c>
      <c r="B16" s="203">
        <f t="shared" si="3"/>
        <v>5</v>
      </c>
      <c r="C16" s="359">
        <f>IF(B16&gt;'A - Inputs'!$C$11,0,'A - Inputs'!F52)</f>
        <v>90928</v>
      </c>
      <c r="D16" s="22">
        <f>IF(B16&gt;'A - Inputs'!$C$11,0,'A - Inputs'!G52)</f>
        <v>90928</v>
      </c>
      <c r="E16" s="204">
        <f t="shared" si="4"/>
        <v>151546.66666666669</v>
      </c>
      <c r="F16" s="205">
        <f t="shared" si="0"/>
        <v>151546.66666666669</v>
      </c>
      <c r="G16" s="204">
        <f t="shared" si="5"/>
        <v>138377.26133333336</v>
      </c>
      <c r="H16" s="205">
        <f t="shared" si="1"/>
        <v>138377.26133333336</v>
      </c>
      <c r="I16" s="204">
        <f t="shared" si="6"/>
        <v>13169.405333333336</v>
      </c>
      <c r="J16" s="205">
        <f t="shared" si="2"/>
        <v>13169.405333333336</v>
      </c>
      <c r="K16" s="206">
        <f t="shared" si="7"/>
        <v>4136511.4730373337</v>
      </c>
      <c r="L16" s="207">
        <f t="shared" si="8"/>
        <v>4136511.4730373337</v>
      </c>
      <c r="M16" s="206">
        <f t="shared" si="9"/>
        <v>405617.68426666677</v>
      </c>
      <c r="N16" s="207">
        <f t="shared" si="10"/>
        <v>405617.68426666677</v>
      </c>
      <c r="O16" s="206">
        <f t="shared" si="11"/>
        <v>0</v>
      </c>
      <c r="P16" s="207">
        <f t="shared" si="12"/>
        <v>0</v>
      </c>
      <c r="Q16" s="375">
        <f>'A - Inputs'!J52</f>
        <v>1</v>
      </c>
      <c r="R16" s="206">
        <f t="shared" si="13"/>
        <v>0</v>
      </c>
      <c r="S16" s="207">
        <f t="shared" si="14"/>
        <v>0</v>
      </c>
      <c r="T16" s="33">
        <f t="shared" si="15"/>
        <v>0</v>
      </c>
      <c r="U16" s="33">
        <f>T16/(1+0.03)^($A16-'A - Inputs'!$C$6)</f>
        <v>0</v>
      </c>
      <c r="V16" s="39">
        <f>T16/(1+0.07)^($A16-'A - Inputs'!$C$6)</f>
        <v>0</v>
      </c>
    </row>
    <row r="17" spans="1:22" x14ac:dyDescent="0.25">
      <c r="A17" s="208">
        <f t="shared" si="3"/>
        <v>2028</v>
      </c>
      <c r="B17" s="203">
        <f t="shared" si="3"/>
        <v>6</v>
      </c>
      <c r="C17" s="359">
        <f>IF(B17&gt;'A - Inputs'!$C$11,0,'A - Inputs'!F53)</f>
        <v>90928</v>
      </c>
      <c r="D17" s="22">
        <f>IF(B17&gt;'A - Inputs'!$C$11,0,'A - Inputs'!G53)</f>
        <v>73351</v>
      </c>
      <c r="E17" s="204">
        <f t="shared" si="4"/>
        <v>151546.66666666669</v>
      </c>
      <c r="F17" s="205">
        <f t="shared" si="0"/>
        <v>122251.66666666667</v>
      </c>
      <c r="G17" s="204">
        <f t="shared" si="5"/>
        <v>138377.26133333336</v>
      </c>
      <c r="H17" s="205">
        <f t="shared" si="1"/>
        <v>111627.99683333334</v>
      </c>
      <c r="I17" s="204">
        <f t="shared" si="6"/>
        <v>13169.405333333336</v>
      </c>
      <c r="J17" s="205">
        <f t="shared" si="2"/>
        <v>10623.669833333335</v>
      </c>
      <c r="K17" s="206">
        <f t="shared" si="7"/>
        <v>4136511.4730373337</v>
      </c>
      <c r="L17" s="207">
        <f t="shared" si="8"/>
        <v>3336895.7093388331</v>
      </c>
      <c r="M17" s="206">
        <f t="shared" si="9"/>
        <v>405617.68426666677</v>
      </c>
      <c r="N17" s="207">
        <f t="shared" si="10"/>
        <v>327209.03086666676</v>
      </c>
      <c r="O17" s="206">
        <f>K17-L17</f>
        <v>799615.76369850058</v>
      </c>
      <c r="P17" s="207">
        <f t="shared" si="12"/>
        <v>78408.65340000001</v>
      </c>
      <c r="Q17" s="375">
        <f>'A - Inputs'!J53</f>
        <v>0.75</v>
      </c>
      <c r="R17" s="206">
        <f t="shared" si="13"/>
        <v>599711.82277387544</v>
      </c>
      <c r="S17" s="207">
        <f t="shared" si="14"/>
        <v>58806.490050000008</v>
      </c>
      <c r="T17" s="33">
        <f t="shared" si="15"/>
        <v>658518.31282387546</v>
      </c>
      <c r="U17" s="33">
        <f>T17/(1+0.03)^($A17-'A - Inputs'!$C$6)</f>
        <v>504699.45350291295</v>
      </c>
      <c r="V17" s="39">
        <f>T17/(1+0.07)^($A17-'A - Inputs'!$C$6)</f>
        <v>358190.33045448933</v>
      </c>
    </row>
    <row r="18" spans="1:22" x14ac:dyDescent="0.25">
      <c r="A18" s="208">
        <f t="shared" si="3"/>
        <v>2029</v>
      </c>
      <c r="B18" s="203">
        <f t="shared" si="3"/>
        <v>7</v>
      </c>
      <c r="C18" s="359">
        <f>IF(B18&gt;'A - Inputs'!$C$11,0,'A - Inputs'!F54)</f>
        <v>94713.3</v>
      </c>
      <c r="D18" s="22">
        <f>IF(B18&gt;'A - Inputs'!$C$11,0,'A - Inputs'!G54)</f>
        <v>75462.5</v>
      </c>
      <c r="E18" s="204">
        <f t="shared" si="4"/>
        <v>157855.5</v>
      </c>
      <c r="F18" s="205">
        <f t="shared" si="0"/>
        <v>125770.83333333334</v>
      </c>
      <c r="G18" s="204">
        <f t="shared" si="5"/>
        <v>144137.85704999999</v>
      </c>
      <c r="H18" s="205">
        <f t="shared" si="1"/>
        <v>114841.34791666668</v>
      </c>
      <c r="I18" s="204">
        <f t="shared" si="6"/>
        <v>13717.642950000001</v>
      </c>
      <c r="J18" s="205">
        <f t="shared" si="2"/>
        <v>10929.485416666668</v>
      </c>
      <c r="K18" s="206">
        <f t="shared" si="7"/>
        <v>4308712.9607956493</v>
      </c>
      <c r="L18" s="207">
        <f t="shared" si="8"/>
        <v>3432952.4132729163</v>
      </c>
      <c r="M18" s="206">
        <f t="shared" si="9"/>
        <v>422503.40286000003</v>
      </c>
      <c r="N18" s="207">
        <f t="shared" si="10"/>
        <v>336628.15083333338</v>
      </c>
      <c r="O18" s="206">
        <f>K18-L18</f>
        <v>875760.54752273299</v>
      </c>
      <c r="P18" s="207">
        <f t="shared" si="12"/>
        <v>85875.252026666654</v>
      </c>
      <c r="Q18" s="375">
        <f>'A - Inputs'!J54</f>
        <v>0.875</v>
      </c>
      <c r="R18" s="206">
        <f t="shared" si="13"/>
        <v>766290.47908239136</v>
      </c>
      <c r="S18" s="207">
        <f t="shared" si="14"/>
        <v>75140.845523333322</v>
      </c>
      <c r="T18" s="33">
        <f t="shared" si="15"/>
        <v>841431.32460572466</v>
      </c>
      <c r="U18" s="33">
        <f>T18/(1+0.03)^($A18-'A - Inputs'!$C$6)</f>
        <v>626103.92844261078</v>
      </c>
      <c r="V18" s="39">
        <f>T18/(1+0.07)^($A18-'A - Inputs'!$C$6)</f>
        <v>427741.01824329811</v>
      </c>
    </row>
    <row r="19" spans="1:22" x14ac:dyDescent="0.25">
      <c r="A19" s="208">
        <f t="shared" si="3"/>
        <v>2030</v>
      </c>
      <c r="B19" s="203">
        <f t="shared" si="3"/>
        <v>8</v>
      </c>
      <c r="C19" s="359">
        <f>IF(B19&gt;'A - Inputs'!$C$11,0,'A - Inputs'!F55)</f>
        <v>98498.6</v>
      </c>
      <c r="D19" s="22">
        <f>IF(B19&gt;'A - Inputs'!$C$11,0,'A - Inputs'!G55)</f>
        <v>77574</v>
      </c>
      <c r="E19" s="204">
        <f t="shared" si="4"/>
        <v>164164.33333333334</v>
      </c>
      <c r="F19" s="205">
        <f t="shared" si="0"/>
        <v>129290</v>
      </c>
      <c r="G19" s="204">
        <f t="shared" si="5"/>
        <v>149898.45276666668</v>
      </c>
      <c r="H19" s="205">
        <f t="shared" si="1"/>
        <v>118054.69900000001</v>
      </c>
      <c r="I19" s="204">
        <f t="shared" si="6"/>
        <v>14265.880566666669</v>
      </c>
      <c r="J19" s="205">
        <f t="shared" si="2"/>
        <v>11235.301000000001</v>
      </c>
      <c r="K19" s="206">
        <f t="shared" si="7"/>
        <v>4480914.4485539664</v>
      </c>
      <c r="L19" s="207">
        <f t="shared" si="8"/>
        <v>3529009.117207</v>
      </c>
      <c r="M19" s="206">
        <f t="shared" si="9"/>
        <v>439389.12145333341</v>
      </c>
      <c r="N19" s="207">
        <f t="shared" si="10"/>
        <v>346047.27080000006</v>
      </c>
      <c r="O19" s="206">
        <f t="shared" si="11"/>
        <v>951905.33134696633</v>
      </c>
      <c r="P19" s="207">
        <f t="shared" si="12"/>
        <v>93341.850653333357</v>
      </c>
      <c r="Q19" s="375">
        <f>'A - Inputs'!J55</f>
        <v>1</v>
      </c>
      <c r="R19" s="206">
        <f t="shared" si="13"/>
        <v>951905.33134696633</v>
      </c>
      <c r="S19" s="207">
        <f t="shared" si="14"/>
        <v>93341.850653333357</v>
      </c>
      <c r="T19" s="33">
        <f t="shared" si="15"/>
        <v>1045247.1820002997</v>
      </c>
      <c r="U19" s="33">
        <f>T19/(1+0.03)^($A19-'A - Inputs'!$C$6)</f>
        <v>755108.80358191533</v>
      </c>
      <c r="V19" s="39">
        <f>T19/(1+0.07)^($A19-'A - Inputs'!$C$6)</f>
        <v>496589.40661276714</v>
      </c>
    </row>
    <row r="20" spans="1:22" x14ac:dyDescent="0.25">
      <c r="A20" s="208">
        <f t="shared" si="3"/>
        <v>2031</v>
      </c>
      <c r="B20" s="203">
        <f t="shared" si="3"/>
        <v>9</v>
      </c>
      <c r="C20" s="359">
        <f>IF(B20&gt;'A - Inputs'!$C$11,0,'A - Inputs'!F56)</f>
        <v>102283.9</v>
      </c>
      <c r="D20" s="22">
        <f>IF(B20&gt;'A - Inputs'!$C$11,0,'A - Inputs'!G56)</f>
        <v>79685.5</v>
      </c>
      <c r="E20" s="204">
        <f t="shared" si="4"/>
        <v>170473.16666666666</v>
      </c>
      <c r="F20" s="205">
        <f t="shared" si="0"/>
        <v>132809.16666666669</v>
      </c>
      <c r="G20" s="204">
        <f t="shared" si="5"/>
        <v>155659.04848333332</v>
      </c>
      <c r="H20" s="205">
        <f t="shared" si="1"/>
        <v>121268.05008333335</v>
      </c>
      <c r="I20" s="204">
        <f t="shared" si="6"/>
        <v>14814.118183333334</v>
      </c>
      <c r="J20" s="205">
        <f t="shared" si="2"/>
        <v>11541.116583333336</v>
      </c>
      <c r="K20" s="206">
        <f t="shared" si="7"/>
        <v>4653115.9363122825</v>
      </c>
      <c r="L20" s="207">
        <f t="shared" si="8"/>
        <v>3625065.8211410837</v>
      </c>
      <c r="M20" s="206">
        <f t="shared" si="9"/>
        <v>456274.84004666668</v>
      </c>
      <c r="N20" s="207">
        <f t="shared" si="10"/>
        <v>355466.39076666674</v>
      </c>
      <c r="O20" s="206">
        <f t="shared" si="11"/>
        <v>1028050.1151711987</v>
      </c>
      <c r="P20" s="207">
        <f t="shared" si="12"/>
        <v>100808.44927999994</v>
      </c>
      <c r="Q20" s="375">
        <f>'A - Inputs'!J56</f>
        <v>1</v>
      </c>
      <c r="R20" s="206">
        <f t="shared" si="13"/>
        <v>1028050.1151711987</v>
      </c>
      <c r="S20" s="207">
        <f t="shared" si="14"/>
        <v>100808.44927999994</v>
      </c>
      <c r="T20" s="33">
        <f t="shared" si="15"/>
        <v>1128858.5644511986</v>
      </c>
      <c r="U20" s="33">
        <f>T20/(1+0.03)^($A20-'A - Inputs'!$C$6)</f>
        <v>791758.68468959338</v>
      </c>
      <c r="V20" s="39">
        <f>T20/(1+0.07)^($A20-'A - Inputs'!$C$6)</f>
        <v>501226.70290766051</v>
      </c>
    </row>
    <row r="21" spans="1:22" x14ac:dyDescent="0.25">
      <c r="A21" s="208">
        <f t="shared" si="3"/>
        <v>2032</v>
      </c>
      <c r="B21" s="203">
        <f t="shared" si="3"/>
        <v>10</v>
      </c>
      <c r="C21" s="359">
        <f>IF(B21&gt;'A - Inputs'!$C$11,0,'A - Inputs'!F57)</f>
        <v>106069.2</v>
      </c>
      <c r="D21" s="22">
        <f>IF(B21&gt;'A - Inputs'!$C$11,0,'A - Inputs'!G57)</f>
        <v>81797</v>
      </c>
      <c r="E21" s="204">
        <f t="shared" si="4"/>
        <v>176782</v>
      </c>
      <c r="F21" s="205">
        <f t="shared" si="0"/>
        <v>136328.33333333334</v>
      </c>
      <c r="G21" s="204">
        <f t="shared" si="5"/>
        <v>161419.64420000001</v>
      </c>
      <c r="H21" s="205">
        <f t="shared" si="1"/>
        <v>124481.40116666668</v>
      </c>
      <c r="I21" s="204">
        <f t="shared" si="6"/>
        <v>15362.355800000001</v>
      </c>
      <c r="J21" s="205">
        <f t="shared" si="2"/>
        <v>11846.932166666667</v>
      </c>
      <c r="K21" s="206">
        <f t="shared" si="7"/>
        <v>4825317.4240705995</v>
      </c>
      <c r="L21" s="207">
        <f t="shared" si="8"/>
        <v>3721122.5250751665</v>
      </c>
      <c r="M21" s="206">
        <f t="shared" si="9"/>
        <v>473160.55864000006</v>
      </c>
      <c r="N21" s="207">
        <f t="shared" si="10"/>
        <v>364885.51073333336</v>
      </c>
      <c r="O21" s="206">
        <f t="shared" si="11"/>
        <v>1104194.898995433</v>
      </c>
      <c r="P21" s="207">
        <f t="shared" si="12"/>
        <v>108275.0479066667</v>
      </c>
      <c r="Q21" s="375">
        <f>'A - Inputs'!J57</f>
        <v>1</v>
      </c>
      <c r="R21" s="206">
        <f t="shared" si="13"/>
        <v>1104194.898995433</v>
      </c>
      <c r="S21" s="207">
        <f t="shared" si="14"/>
        <v>108275.0479066667</v>
      </c>
      <c r="T21" s="33">
        <f t="shared" si="15"/>
        <v>1212469.9469020998</v>
      </c>
      <c r="U21" s="33">
        <f>T21/(1+0.03)^($A21-'A - Inputs'!$C$6)</f>
        <v>825633.03504444205</v>
      </c>
      <c r="V21" s="39">
        <f>T21/(1+0.07)^($A21-'A - Inputs'!$C$6)</f>
        <v>503131.92209767434</v>
      </c>
    </row>
    <row r="22" spans="1:22" x14ac:dyDescent="0.25">
      <c r="A22" s="208">
        <f t="shared" si="3"/>
        <v>2033</v>
      </c>
      <c r="B22" s="203">
        <f t="shared" si="3"/>
        <v>11</v>
      </c>
      <c r="C22" s="359">
        <f>IF(B22&gt;'A - Inputs'!$C$11,0,'A - Inputs'!F58)</f>
        <v>109854.5</v>
      </c>
      <c r="D22" s="22">
        <f>IF(B22&gt;'A - Inputs'!$C$11,0,'A - Inputs'!G58)</f>
        <v>83908.5</v>
      </c>
      <c r="E22" s="204">
        <f t="shared" si="4"/>
        <v>183090.83333333334</v>
      </c>
      <c r="F22" s="205">
        <f t="shared" si="0"/>
        <v>139847.5</v>
      </c>
      <c r="G22" s="204">
        <f t="shared" si="5"/>
        <v>167180.23991666667</v>
      </c>
      <c r="H22" s="205">
        <f t="shared" si="1"/>
        <v>127694.75225000001</v>
      </c>
      <c r="I22" s="204">
        <f t="shared" si="6"/>
        <v>15910.593416666668</v>
      </c>
      <c r="J22" s="205">
        <f t="shared" si="2"/>
        <v>12152.74775</v>
      </c>
      <c r="K22" s="206">
        <f t="shared" si="7"/>
        <v>4997518.9118289165</v>
      </c>
      <c r="L22" s="207">
        <f t="shared" si="8"/>
        <v>3817179.2290092497</v>
      </c>
      <c r="M22" s="206">
        <f t="shared" si="9"/>
        <v>490046.27723333339</v>
      </c>
      <c r="N22" s="207">
        <f t="shared" si="10"/>
        <v>374304.63070000004</v>
      </c>
      <c r="O22" s="206">
        <f t="shared" si="11"/>
        <v>1180339.6828196668</v>
      </c>
      <c r="P22" s="207">
        <f t="shared" si="12"/>
        <v>115741.64653333335</v>
      </c>
      <c r="Q22" s="375">
        <f>'A - Inputs'!J58</f>
        <v>1</v>
      </c>
      <c r="R22" s="206">
        <f t="shared" si="13"/>
        <v>1180339.6828196668</v>
      </c>
      <c r="S22" s="207">
        <f t="shared" si="14"/>
        <v>115741.64653333335</v>
      </c>
      <c r="T22" s="33">
        <f t="shared" si="15"/>
        <v>1296081.329353</v>
      </c>
      <c r="U22" s="33">
        <f>T22/(1+0.03)^($A22-'A - Inputs'!$C$6)</f>
        <v>856862.44462433457</v>
      </c>
      <c r="V22" s="39">
        <f>T22/(1+0.07)^($A22-'A - Inputs'!$C$6)</f>
        <v>502642.68528374727</v>
      </c>
    </row>
    <row r="23" spans="1:22" x14ac:dyDescent="0.25">
      <c r="A23" s="208">
        <f t="shared" si="3"/>
        <v>2034</v>
      </c>
      <c r="B23" s="203">
        <f t="shared" si="3"/>
        <v>12</v>
      </c>
      <c r="C23" s="359">
        <f>IF(B23&gt;'A - Inputs'!$C$11,0,'A - Inputs'!F59)</f>
        <v>113639.8</v>
      </c>
      <c r="D23" s="22">
        <f>IF(B23&gt;'A - Inputs'!$C$11,0,'A - Inputs'!G59)</f>
        <v>86020</v>
      </c>
      <c r="E23" s="204">
        <f t="shared" si="4"/>
        <v>189399.66666666669</v>
      </c>
      <c r="F23" s="205">
        <f t="shared" si="0"/>
        <v>143366.66666666669</v>
      </c>
      <c r="G23" s="204">
        <f t="shared" si="5"/>
        <v>172940.83563333336</v>
      </c>
      <c r="H23" s="205">
        <f t="shared" si="1"/>
        <v>130908.10333333335</v>
      </c>
      <c r="I23" s="204">
        <f t="shared" si="6"/>
        <v>16458.831033333336</v>
      </c>
      <c r="J23" s="205">
        <f t="shared" si="2"/>
        <v>12458.563333333335</v>
      </c>
      <c r="K23" s="206">
        <f t="shared" si="7"/>
        <v>5169720.3995872336</v>
      </c>
      <c r="L23" s="207">
        <f t="shared" si="8"/>
        <v>3913235.9329433334</v>
      </c>
      <c r="M23" s="206">
        <f t="shared" si="9"/>
        <v>506931.99582666677</v>
      </c>
      <c r="N23" s="207">
        <f t="shared" si="10"/>
        <v>383723.75066666672</v>
      </c>
      <c r="O23" s="206">
        <f t="shared" si="11"/>
        <v>1256484.4666439001</v>
      </c>
      <c r="P23" s="207">
        <f t="shared" si="12"/>
        <v>123208.24516000005</v>
      </c>
      <c r="Q23" s="375">
        <f>'A - Inputs'!J59</f>
        <v>1</v>
      </c>
      <c r="R23" s="206">
        <f t="shared" si="13"/>
        <v>1256484.4666439001</v>
      </c>
      <c r="S23" s="207">
        <f t="shared" si="14"/>
        <v>123208.24516000005</v>
      </c>
      <c r="T23" s="33">
        <f t="shared" si="15"/>
        <v>1379692.7118039001</v>
      </c>
      <c r="U23" s="33">
        <f>T23/(1+0.03)^($A23-'A - Inputs'!$C$6)</f>
        <v>885572.25080750964</v>
      </c>
      <c r="V23" s="39">
        <f>T23/(1+0.07)^($A23-'A - Inputs'!$C$6)</f>
        <v>500064.13172289683</v>
      </c>
    </row>
    <row r="24" spans="1:22" x14ac:dyDescent="0.25">
      <c r="A24" s="208">
        <f t="shared" si="3"/>
        <v>2035</v>
      </c>
      <c r="B24" s="203">
        <f t="shared" si="3"/>
        <v>13</v>
      </c>
      <c r="C24" s="359">
        <f>IF(B24&gt;'A - Inputs'!$C$11,0,'A - Inputs'!F60)</f>
        <v>117425.1</v>
      </c>
      <c r="D24" s="22">
        <f>IF(B24&gt;'A - Inputs'!$C$11,0,'A - Inputs'!G60)</f>
        <v>88131.5</v>
      </c>
      <c r="E24" s="204">
        <f t="shared" si="4"/>
        <v>195708.50000000003</v>
      </c>
      <c r="F24" s="205">
        <f t="shared" si="0"/>
        <v>146885.83333333334</v>
      </c>
      <c r="G24" s="204">
        <f t="shared" si="5"/>
        <v>178701.43135000003</v>
      </c>
      <c r="H24" s="205">
        <f t="shared" si="1"/>
        <v>134121.45441666667</v>
      </c>
      <c r="I24" s="204">
        <f t="shared" si="6"/>
        <v>17007.068650000005</v>
      </c>
      <c r="J24" s="205">
        <f t="shared" si="2"/>
        <v>12764.378916666668</v>
      </c>
      <c r="K24" s="206">
        <f t="shared" si="7"/>
        <v>5341921.8873455506</v>
      </c>
      <c r="L24" s="207">
        <f t="shared" si="8"/>
        <v>4009292.6368774166</v>
      </c>
      <c r="M24" s="206">
        <f t="shared" si="9"/>
        <v>523817.71442000015</v>
      </c>
      <c r="N24" s="207">
        <f t="shared" si="10"/>
        <v>393142.8706333334</v>
      </c>
      <c r="O24" s="206">
        <f t="shared" si="11"/>
        <v>1332629.2504681339</v>
      </c>
      <c r="P24" s="207">
        <f t="shared" si="12"/>
        <v>130674.84378666675</v>
      </c>
      <c r="Q24" s="375">
        <f>'A - Inputs'!J60</f>
        <v>1</v>
      </c>
      <c r="R24" s="206">
        <f t="shared" si="13"/>
        <v>1332629.2504681339</v>
      </c>
      <c r="S24" s="207">
        <f t="shared" si="14"/>
        <v>130674.84378666675</v>
      </c>
      <c r="T24" s="33">
        <f t="shared" si="15"/>
        <v>1463304.0942548006</v>
      </c>
      <c r="U24" s="33">
        <f>T24/(1+0.03)^($A24-'A - Inputs'!$C$6)</f>
        <v>911882.73356502585</v>
      </c>
      <c r="V24" s="39">
        <f>T24/(1+0.07)^($A24-'A - Inputs'!$C$6)</f>
        <v>495671.72382151481</v>
      </c>
    </row>
    <row r="25" spans="1:22" x14ac:dyDescent="0.25">
      <c r="A25" s="208">
        <f t="shared" si="3"/>
        <v>2036</v>
      </c>
      <c r="B25" s="203">
        <f t="shared" si="3"/>
        <v>14</v>
      </c>
      <c r="C25" s="359">
        <f>IF(B25&gt;'A - Inputs'!$C$11,0,'A - Inputs'!F61)</f>
        <v>121210.4</v>
      </c>
      <c r="D25" s="22">
        <f>IF(B25&gt;'A - Inputs'!$C$11,0,'A - Inputs'!G61)</f>
        <v>90243</v>
      </c>
      <c r="E25" s="204">
        <f t="shared" si="4"/>
        <v>202017.33333333334</v>
      </c>
      <c r="F25" s="205">
        <f t="shared" si="0"/>
        <v>150405</v>
      </c>
      <c r="G25" s="204">
        <f t="shared" si="5"/>
        <v>184462.02706666669</v>
      </c>
      <c r="H25" s="205">
        <f t="shared" si="1"/>
        <v>137334.80550000002</v>
      </c>
      <c r="I25" s="204">
        <f t="shared" si="6"/>
        <v>17555.30626666667</v>
      </c>
      <c r="J25" s="205">
        <f t="shared" si="2"/>
        <v>13070.194500000001</v>
      </c>
      <c r="K25" s="206">
        <f t="shared" si="7"/>
        <v>5514123.3751038667</v>
      </c>
      <c r="L25" s="207">
        <f t="shared" si="8"/>
        <v>4105349.3408115003</v>
      </c>
      <c r="M25" s="206">
        <f t="shared" si="9"/>
        <v>540703.43301333347</v>
      </c>
      <c r="N25" s="207">
        <f t="shared" si="10"/>
        <v>402561.99060000008</v>
      </c>
      <c r="O25" s="206">
        <f t="shared" si="11"/>
        <v>1408774.0342923664</v>
      </c>
      <c r="P25" s="207">
        <f t="shared" si="12"/>
        <v>138141.4424133334</v>
      </c>
      <c r="Q25" s="375">
        <f>'A - Inputs'!J61</f>
        <v>1</v>
      </c>
      <c r="R25" s="206">
        <f t="shared" si="13"/>
        <v>1408774.0342923664</v>
      </c>
      <c r="S25" s="207">
        <f t="shared" si="14"/>
        <v>138141.4424133334</v>
      </c>
      <c r="T25" s="33">
        <f t="shared" si="15"/>
        <v>1546915.4767056997</v>
      </c>
      <c r="U25" s="33">
        <f>T25/(1+0.03)^($A25-'A - Inputs'!$C$6)</f>
        <v>935909.30373875238</v>
      </c>
      <c r="V25" s="39">
        <f>T25/(1+0.07)^($A25-'A - Inputs'!$C$6)</f>
        <v>489713.82413760526</v>
      </c>
    </row>
    <row r="26" spans="1:22" x14ac:dyDescent="0.25">
      <c r="A26" s="208">
        <f t="shared" si="3"/>
        <v>2037</v>
      </c>
      <c r="B26" s="203">
        <f t="shared" si="3"/>
        <v>15</v>
      </c>
      <c r="C26" s="359">
        <f>IF(B26&gt;'A - Inputs'!$C$11,0,'A - Inputs'!F62)</f>
        <v>124995.7</v>
      </c>
      <c r="D26" s="22">
        <f>IF(B26&gt;'A - Inputs'!$C$11,0,'A - Inputs'!G62)</f>
        <v>92354.5</v>
      </c>
      <c r="E26" s="204">
        <f t="shared" si="4"/>
        <v>208326.16666666666</v>
      </c>
      <c r="F26" s="205">
        <f t="shared" si="0"/>
        <v>153924.16666666669</v>
      </c>
      <c r="G26" s="204">
        <f t="shared" si="5"/>
        <v>190222.62278333333</v>
      </c>
      <c r="H26" s="205">
        <f t="shared" si="1"/>
        <v>140548.15658333336</v>
      </c>
      <c r="I26" s="204">
        <f t="shared" si="6"/>
        <v>18103.543883333332</v>
      </c>
      <c r="J26" s="205">
        <f t="shared" si="2"/>
        <v>13376.010083333336</v>
      </c>
      <c r="K26" s="206">
        <f t="shared" si="7"/>
        <v>5686324.8628621818</v>
      </c>
      <c r="L26" s="207">
        <f t="shared" si="8"/>
        <v>4201406.0447455831</v>
      </c>
      <c r="M26" s="206">
        <f t="shared" si="9"/>
        <v>557589.15160666662</v>
      </c>
      <c r="N26" s="207">
        <f t="shared" si="10"/>
        <v>411981.11056666676</v>
      </c>
      <c r="O26" s="206">
        <f t="shared" si="11"/>
        <v>1484918.8181165988</v>
      </c>
      <c r="P26" s="207">
        <f t="shared" si="12"/>
        <v>145608.04103999987</v>
      </c>
      <c r="Q26" s="375">
        <f>'A - Inputs'!J62</f>
        <v>1</v>
      </c>
      <c r="R26" s="206">
        <f t="shared" si="13"/>
        <v>1484918.8181165988</v>
      </c>
      <c r="S26" s="207">
        <f t="shared" si="14"/>
        <v>145608.04103999987</v>
      </c>
      <c r="T26" s="33">
        <f t="shared" si="15"/>
        <v>1630526.8591565986</v>
      </c>
      <c r="U26" s="33">
        <f>T26/(1+0.03)^($A26-'A - Inputs'!$C$6)</f>
        <v>957762.68464210012</v>
      </c>
      <c r="V26" s="39">
        <f>T26/(1+0.07)^($A26-'A - Inputs'!$C$6)</f>
        <v>482414.06221762631</v>
      </c>
    </row>
    <row r="27" spans="1:22" x14ac:dyDescent="0.25">
      <c r="A27" s="208">
        <f t="shared" si="3"/>
        <v>2038</v>
      </c>
      <c r="B27" s="203">
        <f t="shared" si="3"/>
        <v>16</v>
      </c>
      <c r="C27" s="359">
        <f>IF(B27&gt;'A - Inputs'!$C$11,0,'A - Inputs'!F63)</f>
        <v>128781</v>
      </c>
      <c r="D27" s="22">
        <f>IF(B27&gt;'A - Inputs'!$C$11,0,'A - Inputs'!G63)</f>
        <v>94466</v>
      </c>
      <c r="E27" s="204">
        <f t="shared" si="4"/>
        <v>214635</v>
      </c>
      <c r="F27" s="205">
        <f t="shared" si="0"/>
        <v>157443.33333333334</v>
      </c>
      <c r="G27" s="204">
        <f t="shared" si="5"/>
        <v>195983.21850000002</v>
      </c>
      <c r="H27" s="205">
        <f t="shared" si="1"/>
        <v>143761.50766666667</v>
      </c>
      <c r="I27" s="204">
        <f t="shared" si="6"/>
        <v>18651.781500000001</v>
      </c>
      <c r="J27" s="205">
        <f t="shared" si="2"/>
        <v>13681.825666666668</v>
      </c>
      <c r="K27" s="206">
        <f t="shared" si="7"/>
        <v>5858526.3506204998</v>
      </c>
      <c r="L27" s="207">
        <f t="shared" si="8"/>
        <v>4297462.7486796668</v>
      </c>
      <c r="M27" s="206">
        <f t="shared" si="9"/>
        <v>574474.8702</v>
      </c>
      <c r="N27" s="207">
        <f t="shared" si="10"/>
        <v>421400.23053333338</v>
      </c>
      <c r="O27" s="206">
        <f t="shared" si="11"/>
        <v>1561063.601940833</v>
      </c>
      <c r="P27" s="207">
        <f t="shared" si="12"/>
        <v>153074.63966666663</v>
      </c>
      <c r="Q27" s="375">
        <f>'A - Inputs'!J63</f>
        <v>1</v>
      </c>
      <c r="R27" s="206">
        <f t="shared" si="13"/>
        <v>1561063.601940833</v>
      </c>
      <c r="S27" s="207">
        <f t="shared" si="14"/>
        <v>153074.63966666663</v>
      </c>
      <c r="T27" s="33">
        <f t="shared" si="15"/>
        <v>1714138.2416074998</v>
      </c>
      <c r="U27" s="33">
        <f>T27/(1+0.03)^($A27-'A - Inputs'!$C$6)</f>
        <v>977549.08721272065</v>
      </c>
      <c r="V27" s="39">
        <f>T27/(1+0.07)^($A27-'A - Inputs'!$C$6)</f>
        <v>473973.50773702137</v>
      </c>
    </row>
    <row r="28" spans="1:22" x14ac:dyDescent="0.25">
      <c r="A28" s="208">
        <f t="shared" ref="A28:B39" si="16">A27+1</f>
        <v>2039</v>
      </c>
      <c r="B28" s="203">
        <f t="shared" si="16"/>
        <v>17</v>
      </c>
      <c r="C28" s="359">
        <f>IF(B28&gt;'A - Inputs'!$C$11,0,'A - Inputs'!F64)</f>
        <v>132566.29999999999</v>
      </c>
      <c r="D28" s="22">
        <f>IF(B28&gt;'A - Inputs'!$C$11,0,'A - Inputs'!G64)</f>
        <v>96577.5</v>
      </c>
      <c r="E28" s="204">
        <f t="shared" si="4"/>
        <v>220943.83333333331</v>
      </c>
      <c r="F28" s="205">
        <f t="shared" si="0"/>
        <v>160962.5</v>
      </c>
      <c r="G28" s="204">
        <f t="shared" si="5"/>
        <v>201743.81421666665</v>
      </c>
      <c r="H28" s="205">
        <f t="shared" si="1"/>
        <v>146974.85875000001</v>
      </c>
      <c r="I28" s="204">
        <f t="shared" si="6"/>
        <v>19200.019116666666</v>
      </c>
      <c r="J28" s="205">
        <f t="shared" si="2"/>
        <v>13987.641250000001</v>
      </c>
      <c r="K28" s="206">
        <f t="shared" si="7"/>
        <v>6030727.838378815</v>
      </c>
      <c r="L28" s="207">
        <f t="shared" si="8"/>
        <v>4393519.4526137505</v>
      </c>
      <c r="M28" s="206">
        <f t="shared" si="9"/>
        <v>591360.58879333339</v>
      </c>
      <c r="N28" s="207">
        <f t="shared" si="10"/>
        <v>430819.3505</v>
      </c>
      <c r="O28" s="206">
        <f t="shared" si="11"/>
        <v>1637208.3857650645</v>
      </c>
      <c r="P28" s="207">
        <f t="shared" si="12"/>
        <v>160541.23829333339</v>
      </c>
      <c r="Q28" s="375">
        <f>'A - Inputs'!J64</f>
        <v>1</v>
      </c>
      <c r="R28" s="206">
        <f t="shared" si="13"/>
        <v>1637208.3857650645</v>
      </c>
      <c r="S28" s="207">
        <f t="shared" si="14"/>
        <v>160541.23829333339</v>
      </c>
      <c r="T28" s="33">
        <f t="shared" si="15"/>
        <v>1797749.624058398</v>
      </c>
      <c r="U28" s="33">
        <f>T28/(1+0.03)^($A28-'A - Inputs'!$C$6)</f>
        <v>995370.3789387336</v>
      </c>
      <c r="V28" s="39">
        <f>T28/(1+0.07)^($A28-'A - Inputs'!$C$6)</f>
        <v>464572.66515817854</v>
      </c>
    </row>
    <row r="29" spans="1:22" x14ac:dyDescent="0.25">
      <c r="A29" s="208">
        <f t="shared" si="16"/>
        <v>2040</v>
      </c>
      <c r="B29" s="203">
        <f t="shared" si="16"/>
        <v>18</v>
      </c>
      <c r="C29" s="359">
        <f>IF(B29&gt;'A - Inputs'!$C$11,0,'A - Inputs'!F65)</f>
        <v>136351.6</v>
      </c>
      <c r="D29" s="22">
        <f>IF(B29&gt;'A - Inputs'!$C$11,0,'A - Inputs'!G65)</f>
        <v>98689</v>
      </c>
      <c r="E29" s="204">
        <f t="shared" si="4"/>
        <v>227252.66666666669</v>
      </c>
      <c r="F29" s="205">
        <f t="shared" si="0"/>
        <v>164481.66666666669</v>
      </c>
      <c r="G29" s="204">
        <f t="shared" si="5"/>
        <v>207504.40993333334</v>
      </c>
      <c r="H29" s="205">
        <f t="shared" si="1"/>
        <v>150188.20983333336</v>
      </c>
      <c r="I29" s="204">
        <f t="shared" si="6"/>
        <v>19748.256733333335</v>
      </c>
      <c r="J29" s="205">
        <f t="shared" si="2"/>
        <v>14293.456833333335</v>
      </c>
      <c r="K29" s="206">
        <f t="shared" si="7"/>
        <v>6202929.3261371329</v>
      </c>
      <c r="L29" s="207">
        <f t="shared" si="8"/>
        <v>4489576.1565478332</v>
      </c>
      <c r="M29" s="206">
        <f t="shared" si="9"/>
        <v>608246.30738666677</v>
      </c>
      <c r="N29" s="207">
        <f t="shared" si="10"/>
        <v>440238.47046666674</v>
      </c>
      <c r="O29" s="206">
        <f t="shared" si="11"/>
        <v>1713353.1695892997</v>
      </c>
      <c r="P29" s="207">
        <f t="shared" si="12"/>
        <v>168007.83692000003</v>
      </c>
      <c r="Q29" s="375">
        <f>'A - Inputs'!J65</f>
        <v>1</v>
      </c>
      <c r="R29" s="206">
        <f t="shared" si="13"/>
        <v>1713353.1695892997</v>
      </c>
      <c r="S29" s="207">
        <f t="shared" si="14"/>
        <v>168007.83692000003</v>
      </c>
      <c r="T29" s="33">
        <f t="shared" si="15"/>
        <v>1881361.0065092999</v>
      </c>
      <c r="U29" s="33">
        <f>T29/(1+0.03)^($A29-'A - Inputs'!$C$6)</f>
        <v>1011324.2467726204</v>
      </c>
      <c r="V29" s="39">
        <f>T29/(1+0.07)^($A29-'A - Inputs'!$C$6)</f>
        <v>454373.30395797157</v>
      </c>
    </row>
    <row r="30" spans="1:22" x14ac:dyDescent="0.25">
      <c r="A30" s="208">
        <f t="shared" si="16"/>
        <v>2041</v>
      </c>
      <c r="B30" s="203">
        <f t="shared" si="16"/>
        <v>19</v>
      </c>
      <c r="C30" s="359">
        <f>IF(B30&gt;'A - Inputs'!$C$11,0,'A - Inputs'!F66)</f>
        <v>140136.9</v>
      </c>
      <c r="D30" s="22">
        <f>IF(B30&gt;'A - Inputs'!$C$11,0,'A - Inputs'!G66)</f>
        <v>100800.5</v>
      </c>
      <c r="E30" s="204">
        <f t="shared" si="4"/>
        <v>233561.5</v>
      </c>
      <c r="F30" s="205">
        <f t="shared" si="0"/>
        <v>168000.83333333334</v>
      </c>
      <c r="G30" s="204">
        <f t="shared" si="5"/>
        <v>213265.00565000001</v>
      </c>
      <c r="H30" s="205">
        <f t="shared" si="1"/>
        <v>153401.56091666667</v>
      </c>
      <c r="I30" s="204">
        <f t="shared" si="6"/>
        <v>20296.494350000001</v>
      </c>
      <c r="J30" s="205">
        <f t="shared" si="2"/>
        <v>14599.272416666669</v>
      </c>
      <c r="K30" s="206">
        <f t="shared" si="7"/>
        <v>6375130.813895449</v>
      </c>
      <c r="L30" s="207">
        <f t="shared" si="8"/>
        <v>4585632.860481916</v>
      </c>
      <c r="M30" s="206">
        <f t="shared" si="9"/>
        <v>625132.02598000003</v>
      </c>
      <c r="N30" s="207">
        <f t="shared" si="10"/>
        <v>449657.59043333342</v>
      </c>
      <c r="O30" s="206">
        <f t="shared" si="11"/>
        <v>1789497.953413533</v>
      </c>
      <c r="P30" s="207">
        <f t="shared" si="12"/>
        <v>175474.43554666662</v>
      </c>
      <c r="Q30" s="375">
        <f>'A - Inputs'!J66</f>
        <v>1</v>
      </c>
      <c r="R30" s="206">
        <f t="shared" si="13"/>
        <v>1789497.953413533</v>
      </c>
      <c r="S30" s="207">
        <f t="shared" si="14"/>
        <v>175474.43554666662</v>
      </c>
      <c r="T30" s="33">
        <f t="shared" si="15"/>
        <v>1964972.3889601997</v>
      </c>
      <c r="U30" s="33">
        <f>T30/(1+0.03)^($A30-'A - Inputs'!$C$6)</f>
        <v>1025504.3542396672</v>
      </c>
      <c r="V30" s="39">
        <f>T30/(1+0.07)^($A30-'A - Inputs'!$C$6)</f>
        <v>443520.1374022885</v>
      </c>
    </row>
    <row r="31" spans="1:22" x14ac:dyDescent="0.25">
      <c r="A31" s="208">
        <f t="shared" si="16"/>
        <v>2042</v>
      </c>
      <c r="B31" s="203">
        <f t="shared" si="16"/>
        <v>20</v>
      </c>
      <c r="C31" s="359">
        <f>IF(B31&gt;'A - Inputs'!$C$11,0,'A - Inputs'!F67)</f>
        <v>143922.20000000001</v>
      </c>
      <c r="D31" s="22">
        <f>IF(B31&gt;'A - Inputs'!$C$11,0,'A - Inputs'!G67)</f>
        <v>102912</v>
      </c>
      <c r="E31" s="204">
        <f t="shared" si="4"/>
        <v>239870.33333333337</v>
      </c>
      <c r="F31" s="205">
        <f t="shared" si="0"/>
        <v>171520</v>
      </c>
      <c r="G31" s="204">
        <f t="shared" si="5"/>
        <v>219025.6013666667</v>
      </c>
      <c r="H31" s="205">
        <f t="shared" si="1"/>
        <v>156614.91200000001</v>
      </c>
      <c r="I31" s="204">
        <f t="shared" si="6"/>
        <v>20844.73196666667</v>
      </c>
      <c r="J31" s="205">
        <f t="shared" si="2"/>
        <v>14905.088000000002</v>
      </c>
      <c r="K31" s="206">
        <f t="shared" si="7"/>
        <v>6547332.3016537661</v>
      </c>
      <c r="L31" s="207">
        <f t="shared" si="8"/>
        <v>4681689.5644159997</v>
      </c>
      <c r="M31" s="206">
        <f t="shared" si="9"/>
        <v>642017.74457333342</v>
      </c>
      <c r="N31" s="207">
        <f t="shared" si="10"/>
        <v>459076.71040000004</v>
      </c>
      <c r="O31" s="206">
        <f t="shared" si="11"/>
        <v>1865642.7372377664</v>
      </c>
      <c r="P31" s="207">
        <f t="shared" si="12"/>
        <v>182941.03417333338</v>
      </c>
      <c r="Q31" s="375">
        <f>'A - Inputs'!J67</f>
        <v>1</v>
      </c>
      <c r="R31" s="206">
        <f t="shared" si="13"/>
        <v>1865642.7372377664</v>
      </c>
      <c r="S31" s="207">
        <f t="shared" si="14"/>
        <v>182941.03417333338</v>
      </c>
      <c r="T31" s="33">
        <f t="shared" si="15"/>
        <v>2048583.7714110997</v>
      </c>
      <c r="U31" s="33">
        <f>T31/(1+0.03)^($A31-'A - Inputs'!$C$6)</f>
        <v>1038000.492940988</v>
      </c>
      <c r="V31" s="39">
        <f>T31/(1+0.07)^($A31-'A - Inputs'!$C$6)</f>
        <v>432142.36185075191</v>
      </c>
    </row>
    <row r="32" spans="1:22" x14ac:dyDescent="0.25">
      <c r="A32" s="208">
        <f t="shared" si="16"/>
        <v>2043</v>
      </c>
      <c r="B32" s="203">
        <f t="shared" si="16"/>
        <v>21</v>
      </c>
      <c r="C32" s="359">
        <f>IF(B32&gt;'A - Inputs'!$C$11,0,'A - Inputs'!F68)</f>
        <v>147707.5</v>
      </c>
      <c r="D32" s="22">
        <f>IF(B32&gt;'A - Inputs'!$C$11,0,'A - Inputs'!G68)</f>
        <v>105023.5</v>
      </c>
      <c r="E32" s="204">
        <f t="shared" si="4"/>
        <v>246179.16666666669</v>
      </c>
      <c r="F32" s="205">
        <f t="shared" si="0"/>
        <v>175039.16666666669</v>
      </c>
      <c r="G32" s="204">
        <f t="shared" si="5"/>
        <v>224786.19708333336</v>
      </c>
      <c r="H32" s="205">
        <f t="shared" si="1"/>
        <v>159828.26308333335</v>
      </c>
      <c r="I32" s="204">
        <f t="shared" si="6"/>
        <v>21392.969583333335</v>
      </c>
      <c r="J32" s="205">
        <f t="shared" si="2"/>
        <v>15210.903583333336</v>
      </c>
      <c r="K32" s="206">
        <f t="shared" si="7"/>
        <v>6719533.7894120831</v>
      </c>
      <c r="L32" s="207">
        <f t="shared" si="8"/>
        <v>4777746.2683500834</v>
      </c>
      <c r="M32" s="206">
        <f t="shared" si="9"/>
        <v>658903.4631666668</v>
      </c>
      <c r="N32" s="207">
        <f t="shared" si="10"/>
        <v>468495.83036666678</v>
      </c>
      <c r="O32" s="206">
        <f t="shared" si="11"/>
        <v>1941787.5210619997</v>
      </c>
      <c r="P32" s="207">
        <f t="shared" si="12"/>
        <v>190407.63280000002</v>
      </c>
      <c r="Q32" s="375">
        <f>'A - Inputs'!J68</f>
        <v>1</v>
      </c>
      <c r="R32" s="206">
        <f t="shared" si="13"/>
        <v>1941787.5210619997</v>
      </c>
      <c r="S32" s="207">
        <f t="shared" si="14"/>
        <v>190407.63280000002</v>
      </c>
      <c r="T32" s="33">
        <f t="shared" si="15"/>
        <v>2132195.1538619995</v>
      </c>
      <c r="U32" s="33">
        <f>T32/(1+0.03)^($A32-'A - Inputs'!$C$6)</f>
        <v>1048898.7286443287</v>
      </c>
      <c r="V32" s="39">
        <f>T32/(1+0.07)^($A32-'A - Inputs'!$C$6)</f>
        <v>420355.06765509699</v>
      </c>
    </row>
    <row r="33" spans="1:22" x14ac:dyDescent="0.25">
      <c r="A33" s="208">
        <f t="shared" si="16"/>
        <v>2044</v>
      </c>
      <c r="B33" s="203">
        <f t="shared" si="16"/>
        <v>22</v>
      </c>
      <c r="C33" s="359">
        <f>IF(B33&gt;'A - Inputs'!$C$11,0,'A - Inputs'!F69)</f>
        <v>151492.79999999999</v>
      </c>
      <c r="D33" s="22">
        <f>IF(B33&gt;'A - Inputs'!$C$11,0,'A - Inputs'!G69)</f>
        <v>107135</v>
      </c>
      <c r="E33" s="204">
        <f t="shared" si="4"/>
        <v>252488</v>
      </c>
      <c r="F33" s="205">
        <f t="shared" si="0"/>
        <v>178558.33333333334</v>
      </c>
      <c r="G33" s="204">
        <f t="shared" si="5"/>
        <v>230546.7928</v>
      </c>
      <c r="H33" s="205">
        <f t="shared" si="1"/>
        <v>163041.61416666667</v>
      </c>
      <c r="I33" s="204">
        <f t="shared" si="6"/>
        <v>21941.207200000001</v>
      </c>
      <c r="J33" s="205">
        <f t="shared" si="2"/>
        <v>15516.719166666668</v>
      </c>
      <c r="K33" s="206">
        <f t="shared" si="7"/>
        <v>6891735.2771703992</v>
      </c>
      <c r="L33" s="207">
        <f t="shared" si="8"/>
        <v>4873802.9722841661</v>
      </c>
      <c r="M33" s="206">
        <f t="shared" si="9"/>
        <v>675789.18176000006</v>
      </c>
      <c r="N33" s="207">
        <f t="shared" si="10"/>
        <v>477914.9503333334</v>
      </c>
      <c r="O33" s="206">
        <f t="shared" si="11"/>
        <v>2017932.3048862331</v>
      </c>
      <c r="P33" s="207">
        <f t="shared" si="12"/>
        <v>197874.23142666667</v>
      </c>
      <c r="Q33" s="375">
        <f>'A - Inputs'!J69</f>
        <v>1</v>
      </c>
      <c r="R33" s="206">
        <f t="shared" si="13"/>
        <v>2017932.3048862331</v>
      </c>
      <c r="S33" s="207">
        <f t="shared" si="14"/>
        <v>197874.23142666667</v>
      </c>
      <c r="T33" s="33">
        <f t="shared" si="15"/>
        <v>2215806.5363128996</v>
      </c>
      <c r="U33" s="33">
        <f>T33/(1+0.03)^($A33-'A - Inputs'!$C$6)</f>
        <v>1058281.5421494287</v>
      </c>
      <c r="V33" s="39">
        <f>T33/(1+0.07)^($A33-'A - Inputs'!$C$6)</f>
        <v>408260.53186405421</v>
      </c>
    </row>
    <row r="34" spans="1:22" x14ac:dyDescent="0.25">
      <c r="A34" s="208">
        <f t="shared" si="16"/>
        <v>2045</v>
      </c>
      <c r="B34" s="203">
        <f t="shared" si="16"/>
        <v>23</v>
      </c>
      <c r="C34" s="359">
        <f>IF(B34&gt;'A - Inputs'!$C$11,0,'A - Inputs'!F70)</f>
        <v>155278.1</v>
      </c>
      <c r="D34" s="22">
        <f>IF(B34&gt;'A - Inputs'!$C$11,0,'A - Inputs'!G70)</f>
        <v>109246.5</v>
      </c>
      <c r="E34" s="204">
        <f t="shared" si="4"/>
        <v>258796.83333333334</v>
      </c>
      <c r="F34" s="205">
        <f t="shared" si="0"/>
        <v>182077.5</v>
      </c>
      <c r="G34" s="204">
        <f t="shared" si="5"/>
        <v>236307.38851666669</v>
      </c>
      <c r="H34" s="205">
        <f t="shared" si="1"/>
        <v>166254.96525000001</v>
      </c>
      <c r="I34" s="204">
        <f t="shared" si="6"/>
        <v>22489.44481666667</v>
      </c>
      <c r="J34" s="205">
        <f t="shared" si="2"/>
        <v>15822.534750000001</v>
      </c>
      <c r="K34" s="206">
        <f t="shared" si="7"/>
        <v>7063936.7649287172</v>
      </c>
      <c r="L34" s="207">
        <f t="shared" si="8"/>
        <v>4969859.6762182498</v>
      </c>
      <c r="M34" s="206">
        <f t="shared" si="9"/>
        <v>692674.90035333345</v>
      </c>
      <c r="N34" s="207">
        <f t="shared" si="10"/>
        <v>487334.07030000002</v>
      </c>
      <c r="O34" s="206">
        <f t="shared" si="11"/>
        <v>2094077.0887104673</v>
      </c>
      <c r="P34" s="207">
        <f t="shared" si="12"/>
        <v>205340.83005333343</v>
      </c>
      <c r="Q34" s="375">
        <f>'A - Inputs'!J70</f>
        <v>1</v>
      </c>
      <c r="R34" s="206">
        <f t="shared" si="13"/>
        <v>2094077.0887104673</v>
      </c>
      <c r="S34" s="207">
        <f t="shared" si="14"/>
        <v>205340.83005333343</v>
      </c>
      <c r="T34" s="33">
        <f t="shared" si="15"/>
        <v>2299417.9187638005</v>
      </c>
      <c r="U34" s="33">
        <f>T34/(1+0.03)^($A34-'A - Inputs'!$C$6)</f>
        <v>1066227.9651083937</v>
      </c>
      <c r="V34" s="39">
        <f>T34/(1+0.07)^($A34-'A - Inputs'!$C$6)</f>
        <v>395949.40216086933</v>
      </c>
    </row>
    <row r="35" spans="1:22" x14ac:dyDescent="0.25">
      <c r="A35" s="208">
        <f t="shared" si="16"/>
        <v>2046</v>
      </c>
      <c r="B35" s="203">
        <f t="shared" si="16"/>
        <v>24</v>
      </c>
      <c r="C35" s="359">
        <f>IF(B35&gt;'A - Inputs'!$C$11,0,'A - Inputs'!F71)</f>
        <v>159063.4</v>
      </c>
      <c r="D35" s="22">
        <f>IF(B35&gt;'A - Inputs'!$C$11,0,'A - Inputs'!G71)</f>
        <v>111358</v>
      </c>
      <c r="E35" s="204">
        <f t="shared" si="4"/>
        <v>265105.66666666669</v>
      </c>
      <c r="F35" s="205">
        <f t="shared" si="0"/>
        <v>185596.66666666669</v>
      </c>
      <c r="G35" s="204">
        <f t="shared" si="5"/>
        <v>242067.98423333335</v>
      </c>
      <c r="H35" s="205">
        <f t="shared" si="1"/>
        <v>169468.31633333335</v>
      </c>
      <c r="I35" s="204">
        <f t="shared" si="6"/>
        <v>23037.682433333335</v>
      </c>
      <c r="J35" s="205">
        <f t="shared" si="2"/>
        <v>16128.350333333336</v>
      </c>
      <c r="K35" s="206">
        <f t="shared" si="7"/>
        <v>7236138.2526870333</v>
      </c>
      <c r="L35" s="207">
        <f t="shared" si="8"/>
        <v>5065916.3801523326</v>
      </c>
      <c r="M35" s="206">
        <f t="shared" si="9"/>
        <v>709560.61894666671</v>
      </c>
      <c r="N35" s="207">
        <f t="shared" si="10"/>
        <v>496753.19026666676</v>
      </c>
      <c r="O35" s="206">
        <f t="shared" si="11"/>
        <v>2170221.8725347007</v>
      </c>
      <c r="P35" s="207">
        <f t="shared" si="12"/>
        <v>212807.42867999995</v>
      </c>
      <c r="Q35" s="375">
        <f>'A - Inputs'!J71</f>
        <v>1</v>
      </c>
      <c r="R35" s="206">
        <f t="shared" si="13"/>
        <v>2170221.8725347007</v>
      </c>
      <c r="S35" s="207">
        <f t="shared" si="14"/>
        <v>212807.42867999995</v>
      </c>
      <c r="T35" s="33">
        <f t="shared" si="15"/>
        <v>2383029.3012147006</v>
      </c>
      <c r="U35" s="33">
        <f>T35/(1+0.03)^($A35-'A - Inputs'!$C$6)</f>
        <v>1072813.7109754568</v>
      </c>
      <c r="V35" s="39">
        <f>T35/(1+0.07)^($A35-'A - Inputs'!$C$6)</f>
        <v>383501.78073212143</v>
      </c>
    </row>
    <row r="36" spans="1:22" x14ac:dyDescent="0.25">
      <c r="A36" s="208">
        <f t="shared" si="16"/>
        <v>2047</v>
      </c>
      <c r="B36" s="203">
        <f t="shared" si="16"/>
        <v>25</v>
      </c>
      <c r="C36" s="359">
        <f>IF(B36&gt;'A - Inputs'!$C$11,0,'A - Inputs'!F72)</f>
        <v>162848.70000000001</v>
      </c>
      <c r="D36" s="22">
        <f>IF(B36&gt;'A - Inputs'!$C$11,0,'A - Inputs'!G72)</f>
        <v>113469.5</v>
      </c>
      <c r="E36" s="204">
        <f t="shared" si="4"/>
        <v>271414.50000000006</v>
      </c>
      <c r="F36" s="205">
        <f t="shared" si="0"/>
        <v>189115.83333333334</v>
      </c>
      <c r="G36" s="204">
        <f t="shared" si="5"/>
        <v>247828.57995000007</v>
      </c>
      <c r="H36" s="205">
        <f t="shared" si="1"/>
        <v>172681.66741666669</v>
      </c>
      <c r="I36" s="204">
        <f t="shared" si="6"/>
        <v>23585.920050000008</v>
      </c>
      <c r="J36" s="205">
        <f t="shared" si="2"/>
        <v>16434.165916666669</v>
      </c>
      <c r="K36" s="206">
        <f t="shared" si="7"/>
        <v>7408339.7404453522</v>
      </c>
      <c r="L36" s="207">
        <f t="shared" si="8"/>
        <v>5161973.0840864163</v>
      </c>
      <c r="M36" s="206">
        <f t="shared" si="9"/>
        <v>726446.33754000021</v>
      </c>
      <c r="N36" s="207">
        <f t="shared" si="10"/>
        <v>506172.31023333338</v>
      </c>
      <c r="O36" s="206">
        <f t="shared" si="11"/>
        <v>2246366.6563589359</v>
      </c>
      <c r="P36" s="207">
        <f t="shared" si="12"/>
        <v>220274.02730666683</v>
      </c>
      <c r="Q36" s="375">
        <f>'A - Inputs'!J72</f>
        <v>1</v>
      </c>
      <c r="R36" s="206">
        <f t="shared" si="13"/>
        <v>2246366.6563589359</v>
      </c>
      <c r="S36" s="207">
        <f t="shared" si="14"/>
        <v>220274.02730666683</v>
      </c>
      <c r="T36" s="33">
        <f t="shared" si="15"/>
        <v>2466640.6836656025</v>
      </c>
      <c r="U36" s="33">
        <f>T36/(1+0.03)^($A36-'A - Inputs'!$C$6)</f>
        <v>1078111.3012546403</v>
      </c>
      <c r="V36" s="39">
        <f>T36/(1+0.07)^($A36-'A - Inputs'!$C$6)</f>
        <v>370988.21609386936</v>
      </c>
    </row>
    <row r="37" spans="1:22" x14ac:dyDescent="0.25">
      <c r="A37" s="208">
        <f t="shared" si="16"/>
        <v>2048</v>
      </c>
      <c r="B37" s="203">
        <f t="shared" si="16"/>
        <v>26</v>
      </c>
      <c r="C37" s="359">
        <f>IF(B37&gt;'A - Inputs'!$C$11,0,'A - Inputs'!F73)</f>
        <v>0</v>
      </c>
      <c r="D37" s="22">
        <f>IF(B37&gt;'A - Inputs'!$C$11,0,'A - Inputs'!G73)</f>
        <v>0</v>
      </c>
      <c r="E37" s="204">
        <f t="shared" si="4"/>
        <v>0</v>
      </c>
      <c r="F37" s="205">
        <f t="shared" si="0"/>
        <v>0</v>
      </c>
      <c r="G37" s="204">
        <f t="shared" si="5"/>
        <v>0</v>
      </c>
      <c r="H37" s="205">
        <f t="shared" si="1"/>
        <v>0</v>
      </c>
      <c r="I37" s="204">
        <f t="shared" si="6"/>
        <v>0</v>
      </c>
      <c r="J37" s="205">
        <f t="shared" si="2"/>
        <v>0</v>
      </c>
      <c r="K37" s="206">
        <f t="shared" si="7"/>
        <v>0</v>
      </c>
      <c r="L37" s="207">
        <f t="shared" si="8"/>
        <v>0</v>
      </c>
      <c r="M37" s="206">
        <f t="shared" si="9"/>
        <v>0</v>
      </c>
      <c r="N37" s="207">
        <f t="shared" si="10"/>
        <v>0</v>
      </c>
      <c r="O37" s="206">
        <f t="shared" si="11"/>
        <v>0</v>
      </c>
      <c r="P37" s="207">
        <f t="shared" si="12"/>
        <v>0</v>
      </c>
      <c r="Q37" s="375">
        <f>'A - Inputs'!J73</f>
        <v>1</v>
      </c>
      <c r="R37" s="206">
        <f t="shared" si="13"/>
        <v>0</v>
      </c>
      <c r="S37" s="207">
        <f t="shared" si="14"/>
        <v>0</v>
      </c>
      <c r="T37" s="33">
        <f t="shared" si="15"/>
        <v>0</v>
      </c>
      <c r="U37" s="33">
        <f>T37/(1+0.03)^($A37-'A - Inputs'!$C$6)</f>
        <v>0</v>
      </c>
      <c r="V37" s="39">
        <f>T37/(1+0.07)^($A37-'A - Inputs'!$C$6)</f>
        <v>0</v>
      </c>
    </row>
    <row r="38" spans="1:22" x14ac:dyDescent="0.25">
      <c r="A38" s="208">
        <f t="shared" si="16"/>
        <v>2049</v>
      </c>
      <c r="B38" s="203">
        <f t="shared" si="16"/>
        <v>27</v>
      </c>
      <c r="C38" s="359">
        <f>IF(B38&gt;'A - Inputs'!$C$11,0,'A - Inputs'!F74)</f>
        <v>0</v>
      </c>
      <c r="D38" s="22">
        <f>IF(B38&gt;'A - Inputs'!$C$11,0,'A - Inputs'!G74)</f>
        <v>0</v>
      </c>
      <c r="E38" s="204">
        <f t="shared" si="4"/>
        <v>0</v>
      </c>
      <c r="F38" s="205">
        <f t="shared" si="0"/>
        <v>0</v>
      </c>
      <c r="G38" s="204">
        <f t="shared" si="5"/>
        <v>0</v>
      </c>
      <c r="H38" s="205">
        <f t="shared" si="1"/>
        <v>0</v>
      </c>
      <c r="I38" s="204">
        <f t="shared" si="6"/>
        <v>0</v>
      </c>
      <c r="J38" s="205">
        <f t="shared" si="2"/>
        <v>0</v>
      </c>
      <c r="K38" s="206">
        <f t="shared" si="7"/>
        <v>0</v>
      </c>
      <c r="L38" s="207">
        <f t="shared" si="8"/>
        <v>0</v>
      </c>
      <c r="M38" s="206">
        <f t="shared" si="9"/>
        <v>0</v>
      </c>
      <c r="N38" s="207">
        <f t="shared" si="10"/>
        <v>0</v>
      </c>
      <c r="O38" s="206">
        <f t="shared" si="11"/>
        <v>0</v>
      </c>
      <c r="P38" s="207">
        <f t="shared" si="12"/>
        <v>0</v>
      </c>
      <c r="Q38" s="375">
        <f>'A - Inputs'!J74</f>
        <v>1</v>
      </c>
      <c r="R38" s="206">
        <f t="shared" si="13"/>
        <v>0</v>
      </c>
      <c r="S38" s="207">
        <f t="shared" si="14"/>
        <v>0</v>
      </c>
      <c r="T38" s="33">
        <f t="shared" si="15"/>
        <v>0</v>
      </c>
      <c r="U38" s="33">
        <f>T38/(1+0.03)^($A38-'A - Inputs'!$C$6)</f>
        <v>0</v>
      </c>
      <c r="V38" s="39">
        <f>T38/(1+0.07)^($A38-'A - Inputs'!$C$6)</f>
        <v>0</v>
      </c>
    </row>
    <row r="39" spans="1:22" x14ac:dyDescent="0.25">
      <c r="A39" s="208">
        <f t="shared" si="16"/>
        <v>2050</v>
      </c>
      <c r="B39" s="203">
        <f t="shared" si="16"/>
        <v>28</v>
      </c>
      <c r="C39" s="359">
        <f>IF(B39&gt;'A - Inputs'!$C$11,0,'A - Inputs'!F75)</f>
        <v>0</v>
      </c>
      <c r="D39" s="22">
        <f>IF(B39&gt;'A - Inputs'!$C$11,0,'A - Inputs'!G75)</f>
        <v>0</v>
      </c>
      <c r="E39" s="204">
        <f t="shared" si="4"/>
        <v>0</v>
      </c>
      <c r="F39" s="205">
        <f t="shared" si="0"/>
        <v>0</v>
      </c>
      <c r="G39" s="204">
        <f t="shared" si="5"/>
        <v>0</v>
      </c>
      <c r="H39" s="205">
        <f t="shared" si="1"/>
        <v>0</v>
      </c>
      <c r="I39" s="204">
        <f t="shared" si="6"/>
        <v>0</v>
      </c>
      <c r="J39" s="205">
        <f t="shared" si="2"/>
        <v>0</v>
      </c>
      <c r="K39" s="206">
        <f t="shared" si="7"/>
        <v>0</v>
      </c>
      <c r="L39" s="207">
        <f t="shared" si="8"/>
        <v>0</v>
      </c>
      <c r="M39" s="206">
        <f t="shared" si="9"/>
        <v>0</v>
      </c>
      <c r="N39" s="207">
        <f t="shared" si="10"/>
        <v>0</v>
      </c>
      <c r="O39" s="206">
        <f t="shared" si="11"/>
        <v>0</v>
      </c>
      <c r="P39" s="207">
        <f t="shared" si="12"/>
        <v>0</v>
      </c>
      <c r="Q39" s="375">
        <f>'A - Inputs'!J75</f>
        <v>1</v>
      </c>
      <c r="R39" s="206">
        <f t="shared" si="13"/>
        <v>0</v>
      </c>
      <c r="S39" s="207">
        <f t="shared" si="14"/>
        <v>0</v>
      </c>
      <c r="T39" s="33">
        <f t="shared" si="15"/>
        <v>0</v>
      </c>
      <c r="U39" s="33">
        <f>T39/(1+0.03)^($A39-'A - Inputs'!$C$6)</f>
        <v>0</v>
      </c>
      <c r="V39" s="39">
        <f>T39/(1+0.07)^($A39-'A - Inputs'!$C$6)</f>
        <v>0</v>
      </c>
    </row>
    <row r="40" spans="1:22" x14ac:dyDescent="0.25">
      <c r="A40" s="208">
        <f t="shared" ref="A40:B40" si="17">A39+1</f>
        <v>2051</v>
      </c>
      <c r="B40" s="203">
        <f t="shared" si="17"/>
        <v>29</v>
      </c>
      <c r="C40" s="359">
        <f>IF(B40&gt;'A - Inputs'!$C$11,0,'A - Inputs'!F76)</f>
        <v>0</v>
      </c>
      <c r="D40" s="22">
        <f>IF(B40&gt;'A - Inputs'!$C$11,0,'A - Inputs'!G76)</f>
        <v>0</v>
      </c>
      <c r="E40" s="204">
        <f t="shared" ref="E40:E46" si="18">C40/$H$6</f>
        <v>0</v>
      </c>
      <c r="F40" s="205">
        <f t="shared" ref="F40:F46" si="19">D40/$H$6</f>
        <v>0</v>
      </c>
      <c r="G40" s="204">
        <f t="shared" ref="G40:G46" si="20">(E40*(1-$H$5))</f>
        <v>0</v>
      </c>
      <c r="H40" s="205">
        <f t="shared" ref="H40:H46" si="21">F40*(1-$H$5)</f>
        <v>0</v>
      </c>
      <c r="I40" s="204">
        <f t="shared" ref="I40:I46" si="22">E40*$H$5</f>
        <v>0</v>
      </c>
      <c r="J40" s="205">
        <f t="shared" ref="J40:J46" si="23">F40*$H$5</f>
        <v>0</v>
      </c>
      <c r="K40" s="206">
        <f t="shared" ref="K40:K46" si="24">G40*$H$1*$H$3</f>
        <v>0</v>
      </c>
      <c r="L40" s="207">
        <f t="shared" ref="L40:L46" si="25">H40*$H$1*$H$3</f>
        <v>0</v>
      </c>
      <c r="M40" s="206">
        <f t="shared" ref="M40:M46" si="26">I40*$H$2*$H$4</f>
        <v>0</v>
      </c>
      <c r="N40" s="207">
        <f t="shared" ref="N40:N46" si="27">J40*$H$2*$H$4</f>
        <v>0</v>
      </c>
      <c r="O40" s="206">
        <f t="shared" ref="O40:O46" si="28">K40-L40</f>
        <v>0</v>
      </c>
      <c r="P40" s="207">
        <f t="shared" ref="P40:P46" si="29">M40-N40</f>
        <v>0</v>
      </c>
      <c r="Q40" s="375">
        <f>'A - Inputs'!J76</f>
        <v>1</v>
      </c>
      <c r="R40" s="206">
        <f t="shared" ref="R40:R46" si="30">O40*$Q40</f>
        <v>0</v>
      </c>
      <c r="S40" s="207">
        <f t="shared" ref="S40:S46" si="31">P40*$Q40</f>
        <v>0</v>
      </c>
      <c r="T40" s="33">
        <f t="shared" ref="T40:T46" si="32">SUM(R40:S40)</f>
        <v>0</v>
      </c>
      <c r="U40" s="33">
        <f>T40/(1+0.03)^($A40-'A - Inputs'!$C$6)</f>
        <v>0</v>
      </c>
      <c r="V40" s="39">
        <f>T40/(1+0.07)^($A40-'A - Inputs'!$C$6)</f>
        <v>0</v>
      </c>
    </row>
    <row r="41" spans="1:22" x14ac:dyDescent="0.25">
      <c r="A41" s="208">
        <f t="shared" ref="A41:B41" si="33">A40+1</f>
        <v>2052</v>
      </c>
      <c r="B41" s="203">
        <f t="shared" si="33"/>
        <v>30</v>
      </c>
      <c r="C41" s="359">
        <f>IF(B41&gt;'A - Inputs'!$C$11,0,'A - Inputs'!F77)</f>
        <v>0</v>
      </c>
      <c r="D41" s="22">
        <f>IF(B41&gt;'A - Inputs'!$C$11,0,'A - Inputs'!G77)</f>
        <v>0</v>
      </c>
      <c r="E41" s="204">
        <f t="shared" si="18"/>
        <v>0</v>
      </c>
      <c r="F41" s="205">
        <f t="shared" si="19"/>
        <v>0</v>
      </c>
      <c r="G41" s="204">
        <f t="shared" si="20"/>
        <v>0</v>
      </c>
      <c r="H41" s="205">
        <f t="shared" si="21"/>
        <v>0</v>
      </c>
      <c r="I41" s="204">
        <f t="shared" si="22"/>
        <v>0</v>
      </c>
      <c r="J41" s="205">
        <f t="shared" si="23"/>
        <v>0</v>
      </c>
      <c r="K41" s="206">
        <f t="shared" si="24"/>
        <v>0</v>
      </c>
      <c r="L41" s="207">
        <f t="shared" si="25"/>
        <v>0</v>
      </c>
      <c r="M41" s="206">
        <f t="shared" si="26"/>
        <v>0</v>
      </c>
      <c r="N41" s="207">
        <f t="shared" si="27"/>
        <v>0</v>
      </c>
      <c r="O41" s="206">
        <f t="shared" si="28"/>
        <v>0</v>
      </c>
      <c r="P41" s="207">
        <f t="shared" si="29"/>
        <v>0</v>
      </c>
      <c r="Q41" s="375">
        <f>'A - Inputs'!J77</f>
        <v>1</v>
      </c>
      <c r="R41" s="206">
        <f t="shared" si="30"/>
        <v>0</v>
      </c>
      <c r="S41" s="207">
        <f t="shared" si="31"/>
        <v>0</v>
      </c>
      <c r="T41" s="33">
        <f t="shared" si="32"/>
        <v>0</v>
      </c>
      <c r="U41" s="33">
        <f>T41/(1+0.03)^($A41-'A - Inputs'!$C$6)</f>
        <v>0</v>
      </c>
      <c r="V41" s="39">
        <f>T41/(1+0.07)^($A41-'A - Inputs'!$C$6)</f>
        <v>0</v>
      </c>
    </row>
    <row r="42" spans="1:22" x14ac:dyDescent="0.25">
      <c r="A42" s="208">
        <f t="shared" ref="A42:B42" si="34">A41+1</f>
        <v>2053</v>
      </c>
      <c r="B42" s="203">
        <f t="shared" si="34"/>
        <v>31</v>
      </c>
      <c r="C42" s="359">
        <f>IF(B42&gt;'A - Inputs'!$C$11,0,'A - Inputs'!F78)</f>
        <v>0</v>
      </c>
      <c r="D42" s="22">
        <f>IF(B42&gt;'A - Inputs'!$C$11,0,'A - Inputs'!G78)</f>
        <v>0</v>
      </c>
      <c r="E42" s="204">
        <f t="shared" si="18"/>
        <v>0</v>
      </c>
      <c r="F42" s="205">
        <f t="shared" si="19"/>
        <v>0</v>
      </c>
      <c r="G42" s="204">
        <f t="shared" si="20"/>
        <v>0</v>
      </c>
      <c r="H42" s="205">
        <f t="shared" si="21"/>
        <v>0</v>
      </c>
      <c r="I42" s="204">
        <f t="shared" si="22"/>
        <v>0</v>
      </c>
      <c r="J42" s="205">
        <f t="shared" si="23"/>
        <v>0</v>
      </c>
      <c r="K42" s="206">
        <f t="shared" si="24"/>
        <v>0</v>
      </c>
      <c r="L42" s="207">
        <f t="shared" si="25"/>
        <v>0</v>
      </c>
      <c r="M42" s="206">
        <f t="shared" si="26"/>
        <v>0</v>
      </c>
      <c r="N42" s="207">
        <f t="shared" si="27"/>
        <v>0</v>
      </c>
      <c r="O42" s="206">
        <f t="shared" si="28"/>
        <v>0</v>
      </c>
      <c r="P42" s="207">
        <f t="shared" si="29"/>
        <v>0</v>
      </c>
      <c r="Q42" s="375">
        <f>'A - Inputs'!J78</f>
        <v>1</v>
      </c>
      <c r="R42" s="206">
        <f t="shared" si="30"/>
        <v>0</v>
      </c>
      <c r="S42" s="207">
        <f t="shared" si="31"/>
        <v>0</v>
      </c>
      <c r="T42" s="33">
        <f t="shared" si="32"/>
        <v>0</v>
      </c>
      <c r="U42" s="33">
        <f>T42/(1+0.03)^($A42-'A - Inputs'!$C$6)</f>
        <v>0</v>
      </c>
      <c r="V42" s="39">
        <f>T42/(1+0.07)^($A42-'A - Inputs'!$C$6)</f>
        <v>0</v>
      </c>
    </row>
    <row r="43" spans="1:22" x14ac:dyDescent="0.25">
      <c r="A43" s="208">
        <f t="shared" ref="A43:B43" si="35">A42+1</f>
        <v>2054</v>
      </c>
      <c r="B43" s="203">
        <f t="shared" si="35"/>
        <v>32</v>
      </c>
      <c r="C43" s="359">
        <f>IF(B43&gt;'A - Inputs'!$C$11,0,'A - Inputs'!F79)</f>
        <v>0</v>
      </c>
      <c r="D43" s="22">
        <f>IF(B43&gt;'A - Inputs'!$C$11,0,'A - Inputs'!G79)</f>
        <v>0</v>
      </c>
      <c r="E43" s="204">
        <f t="shared" si="18"/>
        <v>0</v>
      </c>
      <c r="F43" s="205">
        <f t="shared" si="19"/>
        <v>0</v>
      </c>
      <c r="G43" s="204">
        <f t="shared" si="20"/>
        <v>0</v>
      </c>
      <c r="H43" s="205">
        <f t="shared" si="21"/>
        <v>0</v>
      </c>
      <c r="I43" s="204">
        <f t="shared" si="22"/>
        <v>0</v>
      </c>
      <c r="J43" s="205">
        <f t="shared" si="23"/>
        <v>0</v>
      </c>
      <c r="K43" s="206">
        <f t="shared" si="24"/>
        <v>0</v>
      </c>
      <c r="L43" s="207">
        <f t="shared" si="25"/>
        <v>0</v>
      </c>
      <c r="M43" s="206">
        <f t="shared" si="26"/>
        <v>0</v>
      </c>
      <c r="N43" s="207">
        <f t="shared" si="27"/>
        <v>0</v>
      </c>
      <c r="O43" s="206">
        <f t="shared" si="28"/>
        <v>0</v>
      </c>
      <c r="P43" s="207">
        <f t="shared" si="29"/>
        <v>0</v>
      </c>
      <c r="Q43" s="375">
        <f>'A - Inputs'!J79</f>
        <v>1</v>
      </c>
      <c r="R43" s="206">
        <f t="shared" si="30"/>
        <v>0</v>
      </c>
      <c r="S43" s="207">
        <f t="shared" si="31"/>
        <v>0</v>
      </c>
      <c r="T43" s="33">
        <f t="shared" si="32"/>
        <v>0</v>
      </c>
      <c r="U43" s="33">
        <f>T43/(1+0.03)^($A43-'A - Inputs'!$C$6)</f>
        <v>0</v>
      </c>
      <c r="V43" s="39">
        <f>T43/(1+0.07)^($A43-'A - Inputs'!$C$6)</f>
        <v>0</v>
      </c>
    </row>
    <row r="44" spans="1:22" x14ac:dyDescent="0.25">
      <c r="A44" s="208">
        <f t="shared" ref="A44:B44" si="36">A43+1</f>
        <v>2055</v>
      </c>
      <c r="B44" s="203">
        <f t="shared" si="36"/>
        <v>33</v>
      </c>
      <c r="C44" s="359">
        <f>IF(B44&gt;'A - Inputs'!$C$11,0,'A - Inputs'!F80)</f>
        <v>0</v>
      </c>
      <c r="D44" s="22">
        <f>IF(B44&gt;'A - Inputs'!$C$11,0,'A - Inputs'!G80)</f>
        <v>0</v>
      </c>
      <c r="E44" s="204">
        <f t="shared" si="18"/>
        <v>0</v>
      </c>
      <c r="F44" s="205">
        <f t="shared" si="19"/>
        <v>0</v>
      </c>
      <c r="G44" s="204">
        <f t="shared" si="20"/>
        <v>0</v>
      </c>
      <c r="H44" s="205">
        <f t="shared" si="21"/>
        <v>0</v>
      </c>
      <c r="I44" s="204">
        <f t="shared" si="22"/>
        <v>0</v>
      </c>
      <c r="J44" s="205">
        <f t="shared" si="23"/>
        <v>0</v>
      </c>
      <c r="K44" s="206">
        <f t="shared" si="24"/>
        <v>0</v>
      </c>
      <c r="L44" s="207">
        <f t="shared" si="25"/>
        <v>0</v>
      </c>
      <c r="M44" s="206">
        <f t="shared" si="26"/>
        <v>0</v>
      </c>
      <c r="N44" s="207">
        <f t="shared" si="27"/>
        <v>0</v>
      </c>
      <c r="O44" s="206">
        <f t="shared" si="28"/>
        <v>0</v>
      </c>
      <c r="P44" s="207">
        <f t="shared" si="29"/>
        <v>0</v>
      </c>
      <c r="Q44" s="375">
        <f>'A - Inputs'!J80</f>
        <v>1</v>
      </c>
      <c r="R44" s="206">
        <f t="shared" si="30"/>
        <v>0</v>
      </c>
      <c r="S44" s="207">
        <f t="shared" si="31"/>
        <v>0</v>
      </c>
      <c r="T44" s="33">
        <f t="shared" si="32"/>
        <v>0</v>
      </c>
      <c r="U44" s="33">
        <f>T44/(1+0.03)^($A44-'A - Inputs'!$C$6)</f>
        <v>0</v>
      </c>
      <c r="V44" s="39">
        <f>T44/(1+0.07)^($A44-'A - Inputs'!$C$6)</f>
        <v>0</v>
      </c>
    </row>
    <row r="45" spans="1:22" x14ac:dyDescent="0.25">
      <c r="A45" s="208">
        <f t="shared" ref="A45:B45" si="37">A44+1</f>
        <v>2056</v>
      </c>
      <c r="B45" s="203">
        <f t="shared" si="37"/>
        <v>34</v>
      </c>
      <c r="C45" s="359">
        <f>IF(B45&gt;'A - Inputs'!$C$11,0,'A - Inputs'!F81)</f>
        <v>0</v>
      </c>
      <c r="D45" s="22">
        <f>IF(B45&gt;'A - Inputs'!$C$11,0,'A - Inputs'!G81)</f>
        <v>0</v>
      </c>
      <c r="E45" s="204">
        <f t="shared" si="18"/>
        <v>0</v>
      </c>
      <c r="F45" s="205">
        <f t="shared" si="19"/>
        <v>0</v>
      </c>
      <c r="G45" s="204">
        <f t="shared" si="20"/>
        <v>0</v>
      </c>
      <c r="H45" s="205">
        <f t="shared" si="21"/>
        <v>0</v>
      </c>
      <c r="I45" s="204">
        <f t="shared" si="22"/>
        <v>0</v>
      </c>
      <c r="J45" s="205">
        <f t="shared" si="23"/>
        <v>0</v>
      </c>
      <c r="K45" s="206">
        <f t="shared" si="24"/>
        <v>0</v>
      </c>
      <c r="L45" s="207">
        <f t="shared" si="25"/>
        <v>0</v>
      </c>
      <c r="M45" s="206">
        <f t="shared" si="26"/>
        <v>0</v>
      </c>
      <c r="N45" s="207">
        <f t="shared" si="27"/>
        <v>0</v>
      </c>
      <c r="O45" s="206">
        <f t="shared" si="28"/>
        <v>0</v>
      </c>
      <c r="P45" s="207">
        <f t="shared" si="29"/>
        <v>0</v>
      </c>
      <c r="Q45" s="375">
        <f>'A - Inputs'!J81</f>
        <v>1</v>
      </c>
      <c r="R45" s="206">
        <f t="shared" si="30"/>
        <v>0</v>
      </c>
      <c r="S45" s="207">
        <f t="shared" si="31"/>
        <v>0</v>
      </c>
      <c r="T45" s="33">
        <f t="shared" si="32"/>
        <v>0</v>
      </c>
      <c r="U45" s="33">
        <f>T45/(1+0.03)^($A45-'A - Inputs'!$C$6)</f>
        <v>0</v>
      </c>
      <c r="V45" s="39">
        <f>T45/(1+0.07)^($A45-'A - Inputs'!$C$6)</f>
        <v>0</v>
      </c>
    </row>
    <row r="46" spans="1:22" x14ac:dyDescent="0.25">
      <c r="A46" s="208">
        <f t="shared" ref="A46:B46" si="38">A45+1</f>
        <v>2057</v>
      </c>
      <c r="B46" s="203">
        <f t="shared" si="38"/>
        <v>35</v>
      </c>
      <c r="C46" s="359">
        <f>IF(B46&gt;'A - Inputs'!$C$11,0,'A - Inputs'!F82)</f>
        <v>0</v>
      </c>
      <c r="D46" s="22">
        <f>IF(B46&gt;'A - Inputs'!$C$11,0,'A - Inputs'!G82)</f>
        <v>0</v>
      </c>
      <c r="E46" s="204">
        <f t="shared" si="18"/>
        <v>0</v>
      </c>
      <c r="F46" s="205">
        <f t="shared" si="19"/>
        <v>0</v>
      </c>
      <c r="G46" s="204">
        <f t="shared" si="20"/>
        <v>0</v>
      </c>
      <c r="H46" s="205">
        <f t="shared" si="21"/>
        <v>0</v>
      </c>
      <c r="I46" s="204">
        <f t="shared" si="22"/>
        <v>0</v>
      </c>
      <c r="J46" s="205">
        <f t="shared" si="23"/>
        <v>0</v>
      </c>
      <c r="K46" s="206">
        <f t="shared" si="24"/>
        <v>0</v>
      </c>
      <c r="L46" s="207">
        <f t="shared" si="25"/>
        <v>0</v>
      </c>
      <c r="M46" s="206">
        <f t="shared" si="26"/>
        <v>0</v>
      </c>
      <c r="N46" s="207">
        <f t="shared" si="27"/>
        <v>0</v>
      </c>
      <c r="O46" s="206">
        <f t="shared" si="28"/>
        <v>0</v>
      </c>
      <c r="P46" s="207">
        <f t="shared" si="29"/>
        <v>0</v>
      </c>
      <c r="Q46" s="375">
        <f>'A - Inputs'!J82</f>
        <v>1</v>
      </c>
      <c r="R46" s="206">
        <f t="shared" si="30"/>
        <v>0</v>
      </c>
      <c r="S46" s="207">
        <f t="shared" si="31"/>
        <v>0</v>
      </c>
      <c r="T46" s="33">
        <f t="shared" si="32"/>
        <v>0</v>
      </c>
      <c r="U46" s="33">
        <f>T46/(1+0.03)^($A46-'A - Inputs'!$C$6)</f>
        <v>0</v>
      </c>
      <c r="V46" s="39">
        <f>T46/(1+0.07)^($A46-'A - Inputs'!$C$6)</f>
        <v>0</v>
      </c>
    </row>
    <row r="47" spans="1:22" x14ac:dyDescent="0.25">
      <c r="A47" s="41" t="s">
        <v>80</v>
      </c>
      <c r="B47" s="42"/>
      <c r="C47" s="107">
        <f>SUM(C17:C46)</f>
        <v>2537767</v>
      </c>
      <c r="D47" s="106">
        <f>SUM(D17:D46)</f>
        <v>1868205</v>
      </c>
      <c r="E47" s="106">
        <f>SUM(E17:E46)</f>
        <v>4229611.666666667</v>
      </c>
      <c r="F47" s="106">
        <f>SUM(F17:F46)</f>
        <v>3113675</v>
      </c>
      <c r="G47" s="107">
        <f t="shared" ref="G47:P47" si="39">SUM(G17:G46)</f>
        <v>3862058.4128333335</v>
      </c>
      <c r="H47" s="106">
        <f t="shared" si="39"/>
        <v>2843096.6425000001</v>
      </c>
      <c r="I47" s="107">
        <f t="shared" si="39"/>
        <v>367553.25383333344</v>
      </c>
      <c r="J47" s="106">
        <f t="shared" si="39"/>
        <v>270578.35749999998</v>
      </c>
      <c r="K47" s="499">
        <f t="shared" si="39"/>
        <v>115448512.13482684</v>
      </c>
      <c r="L47" s="500">
        <f t="shared" si="39"/>
        <v>84988687.934252515</v>
      </c>
      <c r="M47" s="209">
        <f t="shared" si="39"/>
        <v>11320640.218066668</v>
      </c>
      <c r="N47" s="82">
        <f t="shared" si="39"/>
        <v>8333813.4110000012</v>
      </c>
      <c r="O47" s="209">
        <f t="shared" si="39"/>
        <v>30459824.200574331</v>
      </c>
      <c r="P47" s="82">
        <f t="shared" si="39"/>
        <v>2986826.807066666</v>
      </c>
      <c r="Q47" s="117"/>
      <c r="R47" s="209">
        <f>SUM(R11:R46)</f>
        <v>30150450.191209361</v>
      </c>
      <c r="S47" s="82">
        <f>SUM(S11:S46)</f>
        <v>2956490.2372133331</v>
      </c>
      <c r="T47" s="45">
        <f>SUM(T11:T46)</f>
        <v>33106940.428422697</v>
      </c>
      <c r="U47" s="45">
        <f>SUM(U11:U46)</f>
        <v>18423375.130876176</v>
      </c>
      <c r="V47" s="46">
        <f>SUM(V11:V46)</f>
        <v>9005022.7821115032</v>
      </c>
    </row>
    <row r="48" spans="1:22" x14ac:dyDescent="0.25">
      <c r="D48" s="308">
        <f>C47-D47</f>
        <v>669562</v>
      </c>
      <c r="F48" s="308">
        <f>E47-F47</f>
        <v>1115936.666666667</v>
      </c>
      <c r="J48" s="308">
        <f>I47-J47</f>
        <v>96974.896333333454</v>
      </c>
      <c r="N48" s="552">
        <f>M47-N47</f>
        <v>2986826.8070666669</v>
      </c>
    </row>
    <row r="49" spans="1:17" x14ac:dyDescent="0.25">
      <c r="A49" s="210"/>
    </row>
    <row r="55" spans="1:17" x14ac:dyDescent="0.25">
      <c r="N55" s="308"/>
      <c r="Q55" s="308"/>
    </row>
  </sheetData>
  <pageMargins left="0.7" right="0.7" top="0.75" bottom="0.75" header="0.3" footer="0.3"/>
  <pageSetup scale="62" orientation="landscape" horizontalDpi="90" verticalDpi="90" r:id="rId1"/>
  <headerFooter>
    <oddHeader>&amp;L&amp;"Arial,Bold"FDOT - INFRA Grant for I-95&amp;R&amp;"Arial,Bold"&amp;A</oddHeader>
    <oddFooter>&amp;CPage H-&amp;P</oddFooter>
  </headerFooter>
  <colBreaks count="1" manualBreakCount="1">
    <brk id="14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439AB-9FFD-41EA-9595-76480021ECDF}">
  <sheetPr codeName="Sheet10"/>
  <dimension ref="A1:AW71"/>
  <sheetViews>
    <sheetView view="pageLayout" zoomScaleNormal="80" zoomScaleSheetLayoutView="55" workbookViewId="0"/>
  </sheetViews>
  <sheetFormatPr defaultColWidth="9.140625" defaultRowHeight="15" x14ac:dyDescent="0.25"/>
  <cols>
    <col min="1" max="4" width="10.42578125" style="214" customWidth="1"/>
    <col min="5" max="13" width="12" style="214" customWidth="1"/>
    <col min="14" max="15" width="16" style="214" customWidth="1"/>
    <col min="16" max="20" width="11.5703125" style="214" customWidth="1"/>
    <col min="21" max="21" width="11.5703125" style="391" customWidth="1"/>
    <col min="22" max="25" width="11.5703125" style="392" customWidth="1"/>
    <col min="26" max="30" width="12" style="214" customWidth="1"/>
    <col min="31" max="36" width="12.42578125" style="214" customWidth="1"/>
    <col min="37" max="37" width="15.5703125" style="214" bestFit="1" customWidth="1"/>
    <col min="38" max="38" width="14.140625" style="214" bestFit="1" customWidth="1"/>
    <col min="39" max="40" width="16.7109375" style="214" customWidth="1"/>
    <col min="41" max="42" width="3.85546875" style="214" customWidth="1"/>
    <col min="43" max="43" width="41.140625" style="214" bestFit="1" customWidth="1"/>
    <col min="44" max="44" width="13.5703125" style="214" bestFit="1" customWidth="1"/>
    <col min="45" max="45" width="12.85546875" style="214" bestFit="1" customWidth="1"/>
    <col min="46" max="46" width="9.42578125" style="214" customWidth="1"/>
    <col min="47" max="47" width="12.7109375" style="214" customWidth="1"/>
    <col min="48" max="48" width="10" style="214" bestFit="1" customWidth="1"/>
    <col min="49" max="16384" width="9.140625" style="214"/>
  </cols>
  <sheetData>
    <row r="1" spans="1:45" ht="15" customHeight="1" x14ac:dyDescent="0.25">
      <c r="C1" s="240" t="s">
        <v>631</v>
      </c>
    </row>
    <row r="2" spans="1:45" x14ac:dyDescent="0.25">
      <c r="A2" s="555" t="s">
        <v>45</v>
      </c>
      <c r="B2" s="557" t="s">
        <v>46</v>
      </c>
      <c r="C2" s="5" t="s">
        <v>418</v>
      </c>
      <c r="D2" s="26"/>
      <c r="E2" s="215" t="s">
        <v>419</v>
      </c>
      <c r="F2" s="5"/>
      <c r="G2" s="5"/>
      <c r="H2" s="26"/>
      <c r="I2" s="5" t="s">
        <v>420</v>
      </c>
      <c r="J2" s="26"/>
      <c r="K2" s="216" t="s">
        <v>632</v>
      </c>
      <c r="L2" s="5"/>
      <c r="M2" s="26"/>
      <c r="N2" s="216" t="s">
        <v>633</v>
      </c>
      <c r="O2" s="26"/>
      <c r="P2" s="216" t="s">
        <v>455</v>
      </c>
      <c r="Q2" s="5"/>
      <c r="R2" s="5"/>
      <c r="S2" s="5"/>
      <c r="T2" s="5"/>
      <c r="U2" s="216" t="s">
        <v>456</v>
      </c>
      <c r="V2" s="5"/>
      <c r="W2" s="5"/>
      <c r="X2" s="5"/>
      <c r="Y2" s="26"/>
      <c r="Z2" s="5" t="s">
        <v>421</v>
      </c>
      <c r="AA2" s="216"/>
      <c r="AB2" s="216"/>
      <c r="AC2" s="216"/>
      <c r="AD2" s="393"/>
      <c r="AE2" s="5" t="s">
        <v>634</v>
      </c>
      <c r="AF2" s="216"/>
      <c r="AG2" s="216"/>
      <c r="AH2" s="216"/>
      <c r="AI2" s="216"/>
      <c r="AJ2" s="393"/>
      <c r="AK2" s="399"/>
      <c r="AL2" s="8" t="s">
        <v>166</v>
      </c>
      <c r="AM2" s="8"/>
      <c r="AN2" s="8"/>
      <c r="AO2" s="218"/>
      <c r="AQ2" s="219">
        <f>'A - Inputs'!C28</f>
        <v>8.6900000000000005E-2</v>
      </c>
      <c r="AR2" s="220" t="str">
        <f>'A - Inputs'!B28</f>
        <v>Percentage trucks</v>
      </c>
    </row>
    <row r="3" spans="1:45" ht="15" customHeight="1" x14ac:dyDescent="0.25">
      <c r="A3" s="556"/>
      <c r="B3" s="558"/>
      <c r="C3" s="108" t="s">
        <v>422</v>
      </c>
      <c r="D3" s="109" t="s">
        <v>423</v>
      </c>
      <c r="E3" s="108" t="s">
        <v>424</v>
      </c>
      <c r="F3" s="221" t="s">
        <v>425</v>
      </c>
      <c r="G3" s="108" t="s">
        <v>426</v>
      </c>
      <c r="H3" s="109" t="s">
        <v>427</v>
      </c>
      <c r="I3" s="376" t="s">
        <v>422</v>
      </c>
      <c r="J3" s="221" t="s">
        <v>423</v>
      </c>
      <c r="K3" s="376" t="s">
        <v>422</v>
      </c>
      <c r="L3" s="377" t="s">
        <v>423</v>
      </c>
      <c r="M3" s="221" t="s">
        <v>80</v>
      </c>
      <c r="N3" s="108" t="s">
        <v>203</v>
      </c>
      <c r="O3" s="109" t="s">
        <v>428</v>
      </c>
      <c r="P3" s="385" t="s">
        <v>429</v>
      </c>
      <c r="Q3" s="108" t="s">
        <v>185</v>
      </c>
      <c r="R3" s="108" t="s">
        <v>184</v>
      </c>
      <c r="S3" s="108" t="s">
        <v>181</v>
      </c>
      <c r="T3" s="108" t="s">
        <v>430</v>
      </c>
      <c r="U3" s="376" t="s">
        <v>429</v>
      </c>
      <c r="V3" s="108" t="s">
        <v>185</v>
      </c>
      <c r="W3" s="108" t="s">
        <v>184</v>
      </c>
      <c r="X3" s="377" t="s">
        <v>181</v>
      </c>
      <c r="Y3" s="221" t="s">
        <v>430</v>
      </c>
      <c r="Z3" s="108" t="s">
        <v>429</v>
      </c>
      <c r="AA3" s="108" t="s">
        <v>185</v>
      </c>
      <c r="AB3" s="108" t="s">
        <v>184</v>
      </c>
      <c r="AC3" s="108" t="s">
        <v>181</v>
      </c>
      <c r="AD3" s="109" t="s">
        <v>430</v>
      </c>
      <c r="AE3" s="108" t="s">
        <v>429</v>
      </c>
      <c r="AF3" s="108" t="s">
        <v>185</v>
      </c>
      <c r="AG3" s="108" t="s">
        <v>184</v>
      </c>
      <c r="AH3" s="108" t="s">
        <v>181</v>
      </c>
      <c r="AI3" s="108" t="s">
        <v>430</v>
      </c>
      <c r="AJ3" s="109" t="s">
        <v>80</v>
      </c>
      <c r="AK3" s="400" t="str">
        <f>'A - Inputs'!J46</f>
        <v>Benefits realized</v>
      </c>
      <c r="AL3" s="397" t="s">
        <v>80</v>
      </c>
      <c r="AM3" s="397" t="s">
        <v>52</v>
      </c>
      <c r="AN3" s="397" t="s">
        <v>53</v>
      </c>
      <c r="AO3" s="222"/>
      <c r="AQ3" s="214" t="s">
        <v>511</v>
      </c>
      <c r="AR3" s="230">
        <v>0.90718500000000002</v>
      </c>
    </row>
    <row r="4" spans="1:45" ht="15" customHeight="1" x14ac:dyDescent="0.25">
      <c r="A4" s="395">
        <f>'A - Inputs'!$C$7</f>
        <v>2022</v>
      </c>
      <c r="B4" s="437">
        <v>0</v>
      </c>
      <c r="C4" s="223">
        <f>IF(A4&gt;=BenefitStart,'A - Inputs'!M47,'A - Inputs'!L47)</f>
        <v>45</v>
      </c>
      <c r="D4" s="224">
        <f>IF(A4&gt;=BenefitStart,'A - Inputs'!O47,'A - Inputs'!N47)</f>
        <v>42</v>
      </c>
      <c r="E4" s="225">
        <f>E5</f>
        <v>35579</v>
      </c>
      <c r="F4" s="226">
        <f t="shared" ref="F4:F9" si="0">F5</f>
        <v>31739</v>
      </c>
      <c r="G4" s="225">
        <f t="shared" ref="G4:G9" si="1">G5</f>
        <v>55349</v>
      </c>
      <c r="H4" s="227">
        <f t="shared" ref="H4:H9" si="2">H5</f>
        <v>41612</v>
      </c>
      <c r="I4" s="378">
        <f>E4-F4</f>
        <v>3840</v>
      </c>
      <c r="J4" s="227">
        <f t="shared" ref="J4:J32" si="3">G4-H4</f>
        <v>13737</v>
      </c>
      <c r="K4" s="225">
        <f>C4*I4</f>
        <v>172800</v>
      </c>
      <c r="L4" s="225">
        <f t="shared" ref="L4:L32" si="4">D4*J4</f>
        <v>576954</v>
      </c>
      <c r="M4" s="226">
        <f t="shared" ref="M4:M32" si="5">SUM(K4:L4)</f>
        <v>749754</v>
      </c>
      <c r="N4" s="225">
        <f>M4*(1-$AQ$2)</f>
        <v>684600.3774</v>
      </c>
      <c r="O4" s="226">
        <f t="shared" ref="O4:O32" si="6">M4*$AQ$2</f>
        <v>65153.622600000002</v>
      </c>
      <c r="P4" s="386">
        <f>N4*$AR$20/1000000</f>
        <v>0.65037035852999991</v>
      </c>
      <c r="Q4" s="387">
        <f>N4*$AR$22/1000000</f>
        <v>8.2152045288000006E-3</v>
      </c>
      <c r="R4" s="387">
        <f>N4*$AR$21/1000000</f>
        <v>3.0807016982999998E-3</v>
      </c>
      <c r="S4" s="390">
        <f>N4*$AR$18/1000000</f>
        <v>351.54229379489999</v>
      </c>
      <c r="T4" s="387">
        <f>N4*$AR$19/1000000</f>
        <v>0.83795086193759993</v>
      </c>
      <c r="U4" s="451">
        <f t="shared" ref="U4:U39" si="7">O4*$AS$20/1000000</f>
        <v>0.56116815145380006</v>
      </c>
      <c r="V4" s="452">
        <f>O4*$AS$22/1000000</f>
        <v>5.9941332791999999E-4</v>
      </c>
      <c r="W4" s="384">
        <f>O4*$AS$21/1000000</f>
        <v>1.3161031765200001E-2</v>
      </c>
      <c r="X4" s="384">
        <f t="shared" ref="X4:X39" si="8">O4*$AR$30/(1000000*$AR$35)</f>
        <v>125.38069528695654</v>
      </c>
      <c r="Y4" s="450">
        <f>O4*$AS$19/1000000</f>
        <v>2.9123669302199999E-2</v>
      </c>
      <c r="Z4" s="228">
        <v>16100</v>
      </c>
      <c r="AA4" s="228">
        <v>42100</v>
      </c>
      <c r="AB4" s="228">
        <v>755500</v>
      </c>
      <c r="AC4" s="228">
        <v>53</v>
      </c>
      <c r="AD4" s="229">
        <f t="shared" ref="AD4:AD39" si="9">$AR$14</f>
        <v>1958</v>
      </c>
      <c r="AE4" s="429">
        <f>(P4+U4)*Z4</f>
        <v>19505.770010739183</v>
      </c>
      <c r="AF4" s="429">
        <f>(Q4+V4)*AA4</f>
        <v>371.09541176791203</v>
      </c>
      <c r="AG4" s="429">
        <f>(R4+W4)*AB4</f>
        <v>12270.62963167425</v>
      </c>
      <c r="AH4" s="429">
        <f>(S4+X4)*AC4</f>
        <v>25276.918421338396</v>
      </c>
      <c r="AI4" s="429">
        <f>(T4+Y4)*AD4</f>
        <v>1697.7319321675284</v>
      </c>
      <c r="AJ4" s="430">
        <f>SUM(AE4:AI4)</f>
        <v>59122.145407687276</v>
      </c>
      <c r="AK4" s="375">
        <f>'A - Inputs'!J47</f>
        <v>1</v>
      </c>
      <c r="AL4" s="398">
        <f>IF(OR($A4&lt;BenefitStart,B4&gt;'A - Inputs'!$C$11),0,AJ4*AK4)</f>
        <v>0</v>
      </c>
      <c r="AM4" s="398">
        <f>AL4/(1+0.03)^($A4-'A - Inputs'!$C$6)</f>
        <v>0</v>
      </c>
      <c r="AN4" s="398">
        <f>AL4/(1+0.07)^($A4-'A - Inputs'!$C$6)</f>
        <v>0</v>
      </c>
      <c r="AO4" s="2"/>
      <c r="AQ4" s="214" t="s">
        <v>167</v>
      </c>
      <c r="AR4" s="230">
        <v>1.10231E-3</v>
      </c>
    </row>
    <row r="5" spans="1:45" ht="15" customHeight="1" x14ac:dyDescent="0.25">
      <c r="A5" s="396">
        <f t="shared" ref="A5:A39" si="10">A4+1</f>
        <v>2023</v>
      </c>
      <c r="B5" s="380">
        <f t="shared" ref="B5:B39" si="11">B4+1</f>
        <v>1</v>
      </c>
      <c r="C5" s="223">
        <f>IF(A5&gt;=BenefitStart,'A - Inputs'!M48,'A - Inputs'!L48)</f>
        <v>45</v>
      </c>
      <c r="D5" s="224">
        <f>IF(A5&gt;=BenefitStart,'A - Inputs'!O48,'A - Inputs'!N48)</f>
        <v>42</v>
      </c>
      <c r="E5" s="225">
        <f t="shared" ref="E5:E9" si="12">E6</f>
        <v>35579</v>
      </c>
      <c r="F5" s="226">
        <f t="shared" si="0"/>
        <v>31739</v>
      </c>
      <c r="G5" s="225">
        <f t="shared" si="1"/>
        <v>55349</v>
      </c>
      <c r="H5" s="226">
        <f t="shared" si="2"/>
        <v>41612</v>
      </c>
      <c r="I5" s="379">
        <f t="shared" ref="I5:I32" si="13">E5-F5</f>
        <v>3840</v>
      </c>
      <c r="J5" s="226">
        <f t="shared" si="3"/>
        <v>13737</v>
      </c>
      <c r="K5" s="225">
        <f t="shared" ref="K5:K32" si="14">C5*I5</f>
        <v>172800</v>
      </c>
      <c r="L5" s="225">
        <f t="shared" si="4"/>
        <v>576954</v>
      </c>
      <c r="M5" s="226">
        <f t="shared" si="5"/>
        <v>749754</v>
      </c>
      <c r="N5" s="225">
        <f t="shared" ref="N5:N32" si="15">M5*(1-$AQ$2)</f>
        <v>684600.3774</v>
      </c>
      <c r="O5" s="226">
        <f t="shared" si="6"/>
        <v>65153.622600000002</v>
      </c>
      <c r="P5" s="386">
        <f t="shared" ref="P5:P32" si="16">N5*$AR$20/1000000</f>
        <v>0.65037035852999991</v>
      </c>
      <c r="Q5" s="387">
        <f t="shared" ref="Q5:Q32" si="17">N5*$AR$22/1000000</f>
        <v>8.2152045288000006E-3</v>
      </c>
      <c r="R5" s="387">
        <f t="shared" ref="R5:R32" si="18">N5*$AR$21/1000000</f>
        <v>3.0807016982999998E-3</v>
      </c>
      <c r="S5" s="390">
        <f t="shared" ref="S5:S32" si="19">N5*$AR$18/1000000</f>
        <v>351.54229379489999</v>
      </c>
      <c r="T5" s="387">
        <f t="shared" ref="T5:T39" si="20">N5*$AR$19/1000000</f>
        <v>0.83795086193759993</v>
      </c>
      <c r="U5" s="451">
        <f t="shared" si="7"/>
        <v>0.56116815145380006</v>
      </c>
      <c r="V5" s="452">
        <f t="shared" ref="V5:V39" si="21">O5*$AS$22/1000000</f>
        <v>5.9941332791999999E-4</v>
      </c>
      <c r="W5" s="384">
        <f t="shared" ref="W5:W32" si="22">O5*$AS$21/1000000</f>
        <v>1.3161031765200001E-2</v>
      </c>
      <c r="X5" s="384">
        <f t="shared" si="8"/>
        <v>125.38069528695654</v>
      </c>
      <c r="Y5" s="450">
        <f t="shared" ref="Y5:Y39" si="23">O5*$AS$19/1000000</f>
        <v>2.9123669302199999E-2</v>
      </c>
      <c r="Z5" s="228">
        <v>16400</v>
      </c>
      <c r="AA5" s="228">
        <v>43000</v>
      </c>
      <c r="AB5" s="228">
        <v>769000</v>
      </c>
      <c r="AC5" s="228">
        <v>54</v>
      </c>
      <c r="AD5" s="229">
        <f t="shared" si="9"/>
        <v>1958</v>
      </c>
      <c r="AE5" s="429">
        <f t="shared" ref="AE5:AE39" si="24">(P5+U5)*Z5</f>
        <v>19869.23156373432</v>
      </c>
      <c r="AF5" s="429">
        <f t="shared" ref="AF5:AF39" si="25">(Q5+V5)*AA5</f>
        <v>379.02856783896004</v>
      </c>
      <c r="AG5" s="429">
        <f t="shared" ref="AG5:AG32" si="26">(R5+W5)*AB5</f>
        <v>12489.893033431499</v>
      </c>
      <c r="AH5" s="429">
        <f t="shared" ref="AH5:AH32" si="27">(S5+X5)*AC5</f>
        <v>25753.841410420253</v>
      </c>
      <c r="AI5" s="429">
        <f t="shared" ref="AI5:AI39" si="28">(T5+Y5)*AD5</f>
        <v>1697.7319321675284</v>
      </c>
      <c r="AJ5" s="430">
        <f t="shared" ref="AJ5:AJ32" si="29">SUM(AE5:AI5)</f>
        <v>60189.726507592561</v>
      </c>
      <c r="AK5" s="375">
        <f>'A - Inputs'!J48</f>
        <v>1</v>
      </c>
      <c r="AL5" s="398">
        <f>IF(OR($A5&lt;BenefitStart,B5&gt;'A - Inputs'!$C$11),0,AJ5*AK5)</f>
        <v>0</v>
      </c>
      <c r="AM5" s="398">
        <f>AL5/(1+0.03)^($A5-'A - Inputs'!$C$6)</f>
        <v>0</v>
      </c>
      <c r="AN5" s="398">
        <f>AL5/(1+0.07)^($A5-'A - Inputs'!$C$6)</f>
        <v>0</v>
      </c>
      <c r="AO5" s="2"/>
      <c r="AQ5" s="214" t="s">
        <v>168</v>
      </c>
      <c r="AR5" s="214" t="s">
        <v>169</v>
      </c>
      <c r="AS5" s="231"/>
    </row>
    <row r="6" spans="1:45" ht="15" customHeight="1" x14ac:dyDescent="0.25">
      <c r="A6" s="396">
        <f t="shared" si="10"/>
        <v>2024</v>
      </c>
      <c r="B6" s="380">
        <f t="shared" si="11"/>
        <v>2</v>
      </c>
      <c r="C6" s="223">
        <f>IF(A6&gt;=BenefitStart,'A - Inputs'!M49,'A - Inputs'!L49)</f>
        <v>45</v>
      </c>
      <c r="D6" s="224">
        <f>IF(A6&gt;=BenefitStart,'A - Inputs'!O49,'A - Inputs'!N49)</f>
        <v>42</v>
      </c>
      <c r="E6" s="225">
        <f t="shared" si="12"/>
        <v>35579</v>
      </c>
      <c r="F6" s="226">
        <f t="shared" si="0"/>
        <v>31739</v>
      </c>
      <c r="G6" s="225">
        <f t="shared" si="1"/>
        <v>55349</v>
      </c>
      <c r="H6" s="226">
        <f t="shared" si="2"/>
        <v>41612</v>
      </c>
      <c r="I6" s="379">
        <f t="shared" si="13"/>
        <v>3840</v>
      </c>
      <c r="J6" s="226">
        <f t="shared" si="3"/>
        <v>13737</v>
      </c>
      <c r="K6" s="225">
        <f t="shared" si="14"/>
        <v>172800</v>
      </c>
      <c r="L6" s="225">
        <f t="shared" si="4"/>
        <v>576954</v>
      </c>
      <c r="M6" s="226">
        <f t="shared" si="5"/>
        <v>749754</v>
      </c>
      <c r="N6" s="225">
        <f t="shared" si="15"/>
        <v>684600.3774</v>
      </c>
      <c r="O6" s="226">
        <f t="shared" si="6"/>
        <v>65153.622600000002</v>
      </c>
      <c r="P6" s="386">
        <f t="shared" si="16"/>
        <v>0.65037035852999991</v>
      </c>
      <c r="Q6" s="387">
        <f t="shared" si="17"/>
        <v>8.2152045288000006E-3</v>
      </c>
      <c r="R6" s="387">
        <f t="shared" si="18"/>
        <v>3.0807016982999998E-3</v>
      </c>
      <c r="S6" s="390">
        <f t="shared" si="19"/>
        <v>351.54229379489999</v>
      </c>
      <c r="T6" s="387">
        <f t="shared" si="20"/>
        <v>0.83795086193759993</v>
      </c>
      <c r="U6" s="451">
        <f t="shared" si="7"/>
        <v>0.56116815145380006</v>
      </c>
      <c r="V6" s="452">
        <f t="shared" si="21"/>
        <v>5.9941332791999999E-4</v>
      </c>
      <c r="W6" s="384">
        <f t="shared" si="22"/>
        <v>1.3161031765200001E-2</v>
      </c>
      <c r="X6" s="384">
        <f t="shared" si="8"/>
        <v>125.38069528695654</v>
      </c>
      <c r="Y6" s="450">
        <f t="shared" si="23"/>
        <v>2.9123669302199999E-2</v>
      </c>
      <c r="Z6" s="228">
        <v>16600</v>
      </c>
      <c r="AA6" s="228">
        <v>43900</v>
      </c>
      <c r="AB6" s="228">
        <v>782700</v>
      </c>
      <c r="AC6" s="228">
        <v>55</v>
      </c>
      <c r="AD6" s="229">
        <f t="shared" si="9"/>
        <v>1958</v>
      </c>
      <c r="AE6" s="429">
        <f t="shared" si="24"/>
        <v>20111.53926573108</v>
      </c>
      <c r="AF6" s="429">
        <f t="shared" si="25"/>
        <v>386.96172391000806</v>
      </c>
      <c r="AG6" s="429">
        <f t="shared" si="26"/>
        <v>12712.404781881451</v>
      </c>
      <c r="AH6" s="429">
        <f t="shared" si="27"/>
        <v>26230.76439950211</v>
      </c>
      <c r="AI6" s="429">
        <f t="shared" si="28"/>
        <v>1697.7319321675284</v>
      </c>
      <c r="AJ6" s="430">
        <f t="shared" si="29"/>
        <v>61139.402103192173</v>
      </c>
      <c r="AK6" s="375">
        <f>'A - Inputs'!J49</f>
        <v>1</v>
      </c>
      <c r="AL6" s="398">
        <f>IF(OR($A6&lt;BenefitStart,B6&gt;'A - Inputs'!$C$11),0,AJ6*AK6)</f>
        <v>0</v>
      </c>
      <c r="AM6" s="398">
        <f>AL6/(1+0.03)^($A6-'A - Inputs'!$C$6)</f>
        <v>0</v>
      </c>
      <c r="AN6" s="398">
        <f>AL6/(1+0.07)^($A6-'A - Inputs'!$C$6)</f>
        <v>0</v>
      </c>
      <c r="AO6" s="2"/>
      <c r="AS6" s="231"/>
    </row>
    <row r="7" spans="1:45" ht="15" customHeight="1" x14ac:dyDescent="0.25">
      <c r="A7" s="396">
        <f t="shared" si="10"/>
        <v>2025</v>
      </c>
      <c r="B7" s="380">
        <f t="shared" si="11"/>
        <v>3</v>
      </c>
      <c r="C7" s="223">
        <f>IF(A7&gt;=BenefitStart,'A - Inputs'!M50,'A - Inputs'!L50)</f>
        <v>45</v>
      </c>
      <c r="D7" s="224">
        <f>IF(A7&gt;=BenefitStart,'A - Inputs'!O50,'A - Inputs'!N50)</f>
        <v>42</v>
      </c>
      <c r="E7" s="225">
        <f t="shared" si="12"/>
        <v>35579</v>
      </c>
      <c r="F7" s="226">
        <f t="shared" si="0"/>
        <v>31739</v>
      </c>
      <c r="G7" s="225">
        <f t="shared" si="1"/>
        <v>55349</v>
      </c>
      <c r="H7" s="226">
        <f t="shared" si="2"/>
        <v>41612</v>
      </c>
      <c r="I7" s="379">
        <f t="shared" si="13"/>
        <v>3840</v>
      </c>
      <c r="J7" s="226">
        <f t="shared" si="3"/>
        <v>13737</v>
      </c>
      <c r="K7" s="225">
        <f t="shared" si="14"/>
        <v>172800</v>
      </c>
      <c r="L7" s="225">
        <f t="shared" si="4"/>
        <v>576954</v>
      </c>
      <c r="M7" s="226">
        <f t="shared" si="5"/>
        <v>749754</v>
      </c>
      <c r="N7" s="225">
        <f t="shared" si="15"/>
        <v>684600.3774</v>
      </c>
      <c r="O7" s="226">
        <f t="shared" si="6"/>
        <v>65153.622600000002</v>
      </c>
      <c r="P7" s="386">
        <f t="shared" si="16"/>
        <v>0.65037035852999991</v>
      </c>
      <c r="Q7" s="387">
        <f t="shared" si="17"/>
        <v>8.2152045288000006E-3</v>
      </c>
      <c r="R7" s="387">
        <f t="shared" si="18"/>
        <v>3.0807016982999998E-3</v>
      </c>
      <c r="S7" s="390">
        <f t="shared" si="19"/>
        <v>351.54229379489999</v>
      </c>
      <c r="T7" s="387">
        <f t="shared" si="20"/>
        <v>0.83795086193759993</v>
      </c>
      <c r="U7" s="451">
        <f t="shared" si="7"/>
        <v>0.56116815145380006</v>
      </c>
      <c r="V7" s="452">
        <f t="shared" si="21"/>
        <v>5.9941332791999999E-4</v>
      </c>
      <c r="W7" s="384">
        <f t="shared" si="22"/>
        <v>1.3161031765200001E-2</v>
      </c>
      <c r="X7" s="384">
        <f t="shared" si="8"/>
        <v>125.38069528695654</v>
      </c>
      <c r="Y7" s="450">
        <f t="shared" si="23"/>
        <v>2.9123669302199999E-2</v>
      </c>
      <c r="Z7" s="228">
        <v>16800</v>
      </c>
      <c r="AA7" s="228">
        <v>44900</v>
      </c>
      <c r="AB7" s="228">
        <v>796600</v>
      </c>
      <c r="AC7" s="228">
        <v>56</v>
      </c>
      <c r="AD7" s="229">
        <f t="shared" si="9"/>
        <v>1958</v>
      </c>
      <c r="AE7" s="429">
        <f t="shared" si="24"/>
        <v>20353.846967727841</v>
      </c>
      <c r="AF7" s="429">
        <f t="shared" si="25"/>
        <v>395.77634176672802</v>
      </c>
      <c r="AG7" s="429">
        <f t="shared" si="26"/>
        <v>12938.164877024101</v>
      </c>
      <c r="AH7" s="429">
        <f t="shared" si="27"/>
        <v>26707.687388583967</v>
      </c>
      <c r="AI7" s="429">
        <f t="shared" si="28"/>
        <v>1697.7319321675284</v>
      </c>
      <c r="AJ7" s="430">
        <f t="shared" si="29"/>
        <v>62093.207507270163</v>
      </c>
      <c r="AK7" s="375">
        <f>'A - Inputs'!J50</f>
        <v>1</v>
      </c>
      <c r="AL7" s="398">
        <f>IF(OR($A7&lt;BenefitStart,B7&gt;'A - Inputs'!$C$11),0,AJ7*AK7)</f>
        <v>0</v>
      </c>
      <c r="AM7" s="398">
        <f>AL7/(1+0.03)^($A7-'A - Inputs'!$C$6)</f>
        <v>0</v>
      </c>
      <c r="AN7" s="398">
        <f>AL7/(1+0.07)^($A7-'A - Inputs'!$C$6)</f>
        <v>0</v>
      </c>
      <c r="AO7" s="2"/>
      <c r="AQ7" s="232" t="s">
        <v>170</v>
      </c>
      <c r="AR7" s="233"/>
    </row>
    <row r="8" spans="1:45" ht="15" customHeight="1" x14ac:dyDescent="0.25">
      <c r="A8" s="396">
        <f t="shared" si="10"/>
        <v>2026</v>
      </c>
      <c r="B8" s="380">
        <f t="shared" si="11"/>
        <v>4</v>
      </c>
      <c r="C8" s="223">
        <f>IF(A8&gt;=BenefitStart,'A - Inputs'!M51,'A - Inputs'!L51)</f>
        <v>45</v>
      </c>
      <c r="D8" s="224">
        <f>IF(A8&gt;=BenefitStart,'A - Inputs'!O51,'A - Inputs'!N51)</f>
        <v>42</v>
      </c>
      <c r="E8" s="225">
        <f t="shared" si="12"/>
        <v>35579</v>
      </c>
      <c r="F8" s="226">
        <f t="shared" si="0"/>
        <v>31739</v>
      </c>
      <c r="G8" s="225">
        <f t="shared" si="1"/>
        <v>55349</v>
      </c>
      <c r="H8" s="226">
        <f t="shared" si="2"/>
        <v>41612</v>
      </c>
      <c r="I8" s="379">
        <f t="shared" si="13"/>
        <v>3840</v>
      </c>
      <c r="J8" s="226">
        <f t="shared" si="3"/>
        <v>13737</v>
      </c>
      <c r="K8" s="225">
        <f t="shared" si="14"/>
        <v>172800</v>
      </c>
      <c r="L8" s="225">
        <f t="shared" si="4"/>
        <v>576954</v>
      </c>
      <c r="M8" s="226">
        <f t="shared" si="5"/>
        <v>749754</v>
      </c>
      <c r="N8" s="225">
        <f t="shared" si="15"/>
        <v>684600.3774</v>
      </c>
      <c r="O8" s="226">
        <f t="shared" si="6"/>
        <v>65153.622600000002</v>
      </c>
      <c r="P8" s="386">
        <f t="shared" si="16"/>
        <v>0.65037035852999991</v>
      </c>
      <c r="Q8" s="387">
        <f t="shared" si="17"/>
        <v>8.2152045288000006E-3</v>
      </c>
      <c r="R8" s="387">
        <f t="shared" si="18"/>
        <v>3.0807016982999998E-3</v>
      </c>
      <c r="S8" s="390">
        <f t="shared" si="19"/>
        <v>351.54229379489999</v>
      </c>
      <c r="T8" s="387">
        <f t="shared" si="20"/>
        <v>0.83795086193759993</v>
      </c>
      <c r="U8" s="451">
        <f t="shared" si="7"/>
        <v>0.56116815145380006</v>
      </c>
      <c r="V8" s="452">
        <f t="shared" si="21"/>
        <v>5.9941332791999999E-4</v>
      </c>
      <c r="W8" s="384">
        <f t="shared" si="22"/>
        <v>1.3161031765200001E-2</v>
      </c>
      <c r="X8" s="384">
        <f t="shared" si="8"/>
        <v>125.38069528695654</v>
      </c>
      <c r="Y8" s="450">
        <f t="shared" si="23"/>
        <v>2.9123669302199999E-2</v>
      </c>
      <c r="Z8" s="228">
        <v>17000</v>
      </c>
      <c r="AA8" s="228">
        <v>45500</v>
      </c>
      <c r="AB8" s="228">
        <v>807500</v>
      </c>
      <c r="AC8" s="228">
        <v>57</v>
      </c>
      <c r="AD8" s="229">
        <f t="shared" si="9"/>
        <v>1958</v>
      </c>
      <c r="AE8" s="429">
        <f t="shared" si="24"/>
        <v>20596.154669724601</v>
      </c>
      <c r="AF8" s="429">
        <f t="shared" si="25"/>
        <v>401.06511248076004</v>
      </c>
      <c r="AG8" s="429">
        <f t="shared" si="26"/>
        <v>13115.19977177625</v>
      </c>
      <c r="AH8" s="429">
        <f t="shared" si="27"/>
        <v>27184.610377665824</v>
      </c>
      <c r="AI8" s="429">
        <f t="shared" si="28"/>
        <v>1697.7319321675284</v>
      </c>
      <c r="AJ8" s="430">
        <f t="shared" si="29"/>
        <v>62994.761863814972</v>
      </c>
      <c r="AK8" s="375">
        <f>'A - Inputs'!J51</f>
        <v>1</v>
      </c>
      <c r="AL8" s="398">
        <f>IF(OR($A8&lt;BenefitStart,B8&gt;'A - Inputs'!$C$11),0,AJ8*AK8)</f>
        <v>0</v>
      </c>
      <c r="AM8" s="398">
        <f>AL8/(1+0.03)^($A8-'A - Inputs'!$C$6)</f>
        <v>0</v>
      </c>
      <c r="AN8" s="398">
        <f>AL8/(1+0.07)^($A8-'A - Inputs'!$C$6)</f>
        <v>0</v>
      </c>
      <c r="AO8" s="2"/>
      <c r="AQ8" s="233" t="s">
        <v>171</v>
      </c>
      <c r="AR8" s="232" t="s">
        <v>431</v>
      </c>
    </row>
    <row r="9" spans="1:45" ht="15" customHeight="1" x14ac:dyDescent="0.25">
      <c r="A9" s="396">
        <f t="shared" si="10"/>
        <v>2027</v>
      </c>
      <c r="B9" s="380">
        <f t="shared" si="11"/>
        <v>5</v>
      </c>
      <c r="C9" s="223">
        <f>IF(A9&gt;=BenefitStart,'A - Inputs'!M52,'A - Inputs'!L52)</f>
        <v>45</v>
      </c>
      <c r="D9" s="224">
        <f>IF(A9&gt;=BenefitStart,'A - Inputs'!O52,'A - Inputs'!N52)</f>
        <v>42</v>
      </c>
      <c r="E9" s="225">
        <f t="shared" si="12"/>
        <v>35579</v>
      </c>
      <c r="F9" s="226">
        <f t="shared" si="0"/>
        <v>31739</v>
      </c>
      <c r="G9" s="225">
        <f t="shared" si="1"/>
        <v>55349</v>
      </c>
      <c r="H9" s="226">
        <f t="shared" si="2"/>
        <v>41612</v>
      </c>
      <c r="I9" s="379">
        <f t="shared" si="13"/>
        <v>3840</v>
      </c>
      <c r="J9" s="226">
        <f t="shared" si="3"/>
        <v>13737</v>
      </c>
      <c r="K9" s="225">
        <f t="shared" si="14"/>
        <v>172800</v>
      </c>
      <c r="L9" s="225">
        <f t="shared" si="4"/>
        <v>576954</v>
      </c>
      <c r="M9" s="226">
        <f t="shared" si="5"/>
        <v>749754</v>
      </c>
      <c r="N9" s="225">
        <f t="shared" si="15"/>
        <v>684600.3774</v>
      </c>
      <c r="O9" s="226">
        <f t="shared" si="6"/>
        <v>65153.622600000002</v>
      </c>
      <c r="P9" s="386">
        <f t="shared" si="16"/>
        <v>0.65037035852999991</v>
      </c>
      <c r="Q9" s="387">
        <f t="shared" si="17"/>
        <v>8.2152045288000006E-3</v>
      </c>
      <c r="R9" s="387">
        <f t="shared" si="18"/>
        <v>3.0807016982999998E-3</v>
      </c>
      <c r="S9" s="390">
        <f t="shared" si="19"/>
        <v>351.54229379489999</v>
      </c>
      <c r="T9" s="387">
        <f t="shared" si="20"/>
        <v>0.83795086193759993</v>
      </c>
      <c r="U9" s="451">
        <f t="shared" si="7"/>
        <v>0.56116815145380006</v>
      </c>
      <c r="V9" s="452">
        <f t="shared" si="21"/>
        <v>5.9941332791999999E-4</v>
      </c>
      <c r="W9" s="384">
        <f t="shared" si="22"/>
        <v>1.3161031765200001E-2</v>
      </c>
      <c r="X9" s="384">
        <f t="shared" si="8"/>
        <v>125.38069528695654</v>
      </c>
      <c r="Y9" s="450">
        <f t="shared" si="23"/>
        <v>2.9123669302199999E-2</v>
      </c>
      <c r="Z9" s="228">
        <v>17300</v>
      </c>
      <c r="AA9" s="228">
        <v>46200</v>
      </c>
      <c r="AB9" s="228">
        <v>818600</v>
      </c>
      <c r="AC9" s="228">
        <v>58</v>
      </c>
      <c r="AD9" s="229">
        <f t="shared" si="9"/>
        <v>1958</v>
      </c>
      <c r="AE9" s="429">
        <f t="shared" si="24"/>
        <v>20959.616222719742</v>
      </c>
      <c r="AF9" s="429">
        <f t="shared" si="25"/>
        <v>407.23534498046405</v>
      </c>
      <c r="AG9" s="429">
        <f t="shared" si="26"/>
        <v>13295.483013221101</v>
      </c>
      <c r="AH9" s="429">
        <f t="shared" si="27"/>
        <v>27661.533366747681</v>
      </c>
      <c r="AI9" s="429">
        <f t="shared" si="28"/>
        <v>1697.7319321675284</v>
      </c>
      <c r="AJ9" s="430">
        <f t="shared" si="29"/>
        <v>64021.599879836518</v>
      </c>
      <c r="AK9" s="375">
        <f>'A - Inputs'!J52</f>
        <v>1</v>
      </c>
      <c r="AL9" s="398">
        <f>IF(OR($A9&lt;BenefitStart,B9&gt;'A - Inputs'!$C$11),0,AJ9*AK9)</f>
        <v>0</v>
      </c>
      <c r="AM9" s="398">
        <f>AL9/(1+0.03)^($A9-'A - Inputs'!$C$6)</f>
        <v>0</v>
      </c>
      <c r="AN9" s="398">
        <f>AL9/(1+0.07)^($A9-'A - Inputs'!$C$6)</f>
        <v>0</v>
      </c>
      <c r="AO9" s="2"/>
      <c r="AQ9" s="214" t="s">
        <v>172</v>
      </c>
      <c r="AR9" s="234"/>
    </row>
    <row r="10" spans="1:45" ht="15" customHeight="1" x14ac:dyDescent="0.25">
      <c r="A10" s="396">
        <f t="shared" si="10"/>
        <v>2028</v>
      </c>
      <c r="B10" s="380">
        <f t="shared" si="11"/>
        <v>6</v>
      </c>
      <c r="C10" s="223">
        <f>IF(A10&gt;=BenefitStart,'A - Inputs'!M53,'A - Inputs'!L53)</f>
        <v>51</v>
      </c>
      <c r="D10" s="224">
        <f>IF(A10&gt;=BenefitStart,'A - Inputs'!O53,'A - Inputs'!N53)</f>
        <v>46</v>
      </c>
      <c r="E10" s="235">
        <f>SUM(AR38:AR39)</f>
        <v>35579</v>
      </c>
      <c r="F10" s="236">
        <f>SUM(AR46:AR47)</f>
        <v>31739</v>
      </c>
      <c r="G10" s="235">
        <f>SUM(AR42:AR43)</f>
        <v>55349</v>
      </c>
      <c r="H10" s="236">
        <f>SUM(AR50:AR51)</f>
        <v>41612</v>
      </c>
      <c r="I10" s="379">
        <f t="shared" si="13"/>
        <v>3840</v>
      </c>
      <c r="J10" s="226">
        <f t="shared" si="3"/>
        <v>13737</v>
      </c>
      <c r="K10" s="225">
        <f>C10*I10</f>
        <v>195840</v>
      </c>
      <c r="L10" s="225">
        <f t="shared" si="4"/>
        <v>631902</v>
      </c>
      <c r="M10" s="226">
        <f t="shared" si="5"/>
        <v>827742</v>
      </c>
      <c r="N10" s="225">
        <f t="shared" si="15"/>
        <v>755811.22019999998</v>
      </c>
      <c r="O10" s="226">
        <f t="shared" si="6"/>
        <v>71930.779800000004</v>
      </c>
      <c r="P10" s="386">
        <f t="shared" si="16"/>
        <v>0.71802065918999991</v>
      </c>
      <c r="Q10" s="387">
        <f t="shared" si="17"/>
        <v>9.0697346424000007E-3</v>
      </c>
      <c r="R10" s="387">
        <f t="shared" si="18"/>
        <v>3.4011504908999994E-3</v>
      </c>
      <c r="S10" s="390">
        <f t="shared" si="19"/>
        <v>388.10906157269994</v>
      </c>
      <c r="T10" s="387">
        <f t="shared" si="20"/>
        <v>0.92511293352479995</v>
      </c>
      <c r="U10" s="451">
        <f t="shared" si="7"/>
        <v>0.61953980641740003</v>
      </c>
      <c r="V10" s="452">
        <f t="shared" si="21"/>
        <v>6.6176317416000011E-4</v>
      </c>
      <c r="W10" s="384">
        <f t="shared" si="22"/>
        <v>1.4530017519600001E-2</v>
      </c>
      <c r="X10" s="384">
        <f t="shared" si="8"/>
        <v>138.42255923705105</v>
      </c>
      <c r="Y10" s="450">
        <f t="shared" si="23"/>
        <v>3.2153058570600003E-2</v>
      </c>
      <c r="Z10" s="228">
        <v>17500</v>
      </c>
      <c r="AA10" s="228">
        <v>46900</v>
      </c>
      <c r="AB10" s="228">
        <v>829800</v>
      </c>
      <c r="AC10" s="228">
        <v>59</v>
      </c>
      <c r="AD10" s="229">
        <f t="shared" si="9"/>
        <v>1958</v>
      </c>
      <c r="AE10" s="429">
        <f t="shared" si="24"/>
        <v>23407.308148129501</v>
      </c>
      <c r="AF10" s="429">
        <f t="shared" si="25"/>
        <v>456.40724759666404</v>
      </c>
      <c r="AG10" s="429">
        <f t="shared" si="26"/>
        <v>14879.283215112901</v>
      </c>
      <c r="AH10" s="429">
        <f t="shared" si="27"/>
        <v>31065.365627775307</v>
      </c>
      <c r="AI10" s="429">
        <f t="shared" si="28"/>
        <v>1874.3268125227933</v>
      </c>
      <c r="AJ10" s="430">
        <f t="shared" si="29"/>
        <v>71682.691051137168</v>
      </c>
      <c r="AK10" s="375">
        <f>'A - Inputs'!J53</f>
        <v>0.75</v>
      </c>
      <c r="AL10" s="398">
        <f>IF(OR($A10&lt;BenefitStart,B10&gt;'A - Inputs'!$C$11),0,AJ10*AK10)</f>
        <v>53762.018288352876</v>
      </c>
      <c r="AM10" s="398">
        <f>AL10/(1+0.03)^($A10-'A - Inputs'!$C$6)</f>
        <v>41204.110380757724</v>
      </c>
      <c r="AN10" s="398">
        <f>AL10/(1+0.07)^($A10-'A - Inputs'!$C$6)</f>
        <v>29242.975816461192</v>
      </c>
      <c r="AO10" s="2"/>
      <c r="AQ10" s="214" t="s">
        <v>174</v>
      </c>
      <c r="AR10" s="228"/>
    </row>
    <row r="11" spans="1:45" ht="15" customHeight="1" x14ac:dyDescent="0.25">
      <c r="A11" s="396">
        <f t="shared" si="10"/>
        <v>2029</v>
      </c>
      <c r="B11" s="380">
        <f t="shared" si="11"/>
        <v>7</v>
      </c>
      <c r="C11" s="223">
        <f>IF(A11&gt;=BenefitStart,'A - Inputs'!M54,'A - Inputs'!L54)</f>
        <v>50.85</v>
      </c>
      <c r="D11" s="224">
        <f>IF(A11&gt;=BenefitStart,'A - Inputs'!O54,'A - Inputs'!N54)</f>
        <v>45.8</v>
      </c>
      <c r="E11" s="381">
        <f>(($E$30-$E$10)*(A11-$A$10)/($A$30-$A$10))+$E$10</f>
        <v>37490.65</v>
      </c>
      <c r="F11" s="276">
        <f t="shared" ref="F11:F29" si="30">(($F$30-$F$10)*(A11-$A$10)/($A$30-$A$10))+$F$10</f>
        <v>32305.05</v>
      </c>
      <c r="G11" s="275">
        <f t="shared" ref="G11:G29" si="31">(($G$30-$G$10)*(A11-$A$10)/($A$30-$A$10))+$G$10</f>
        <v>57222.6</v>
      </c>
      <c r="H11" s="276">
        <f t="shared" ref="H11:H29" si="32">(($H$30-$H$10)*(A11-$A$10)/($A$30-$A$10))+$H$10</f>
        <v>43157.45</v>
      </c>
      <c r="I11" s="379">
        <f t="shared" si="13"/>
        <v>5185.6000000000022</v>
      </c>
      <c r="J11" s="226">
        <f t="shared" si="3"/>
        <v>14065.150000000001</v>
      </c>
      <c r="K11" s="225">
        <f t="shared" si="14"/>
        <v>263687.76000000013</v>
      </c>
      <c r="L11" s="225">
        <f t="shared" si="4"/>
        <v>644183.87</v>
      </c>
      <c r="M11" s="226">
        <f t="shared" si="5"/>
        <v>907871.63000000012</v>
      </c>
      <c r="N11" s="225">
        <f t="shared" si="15"/>
        <v>828977.58535300009</v>
      </c>
      <c r="O11" s="226">
        <f t="shared" si="6"/>
        <v>78894.044647000017</v>
      </c>
      <c r="P11" s="386">
        <f t="shared" si="16"/>
        <v>0.78752870608534997</v>
      </c>
      <c r="Q11" s="387">
        <f t="shared" si="17"/>
        <v>9.9477310242360017E-3</v>
      </c>
      <c r="R11" s="387">
        <f t="shared" si="18"/>
        <v>3.7303991340885E-3</v>
      </c>
      <c r="S11" s="390">
        <f t="shared" si="19"/>
        <v>425.67999007876557</v>
      </c>
      <c r="T11" s="387">
        <f t="shared" si="20"/>
        <v>1.0146685644720721</v>
      </c>
      <c r="U11" s="451">
        <f t="shared" si="7"/>
        <v>0.67951440654461104</v>
      </c>
      <c r="V11" s="452">
        <f t="shared" si="21"/>
        <v>7.2582521075240016E-4</v>
      </c>
      <c r="W11" s="384">
        <f t="shared" si="22"/>
        <v>1.5936597018694005E-2</v>
      </c>
      <c r="X11" s="384">
        <f t="shared" si="8"/>
        <v>151.82256606927413</v>
      </c>
      <c r="Y11" s="450">
        <f t="shared" si="23"/>
        <v>3.5265637957209009E-2</v>
      </c>
      <c r="Z11" s="228">
        <v>17700</v>
      </c>
      <c r="AA11" s="228">
        <v>47600</v>
      </c>
      <c r="AB11" s="228">
        <v>841200</v>
      </c>
      <c r="AC11" s="228">
        <v>60</v>
      </c>
      <c r="AD11" s="229">
        <f t="shared" si="9"/>
        <v>1958</v>
      </c>
      <c r="AE11" s="429">
        <f t="shared" si="24"/>
        <v>25966.663093550309</v>
      </c>
      <c r="AF11" s="429">
        <f t="shared" si="25"/>
        <v>508.06127678544789</v>
      </c>
      <c r="AG11" s="429">
        <f t="shared" si="26"/>
        <v>16543.877163720641</v>
      </c>
      <c r="AH11" s="429">
        <f t="shared" si="27"/>
        <v>34650.153368882384</v>
      </c>
      <c r="AI11" s="429">
        <f t="shared" si="28"/>
        <v>2055.7711683565321</v>
      </c>
      <c r="AJ11" s="430">
        <f t="shared" si="29"/>
        <v>79724.526071295317</v>
      </c>
      <c r="AK11" s="375">
        <f>'A - Inputs'!J54</f>
        <v>0.875</v>
      </c>
      <c r="AL11" s="398">
        <f>IF(OR($A11&lt;BenefitStart,B11&gt;'A - Inputs'!$C$11),0,AJ11*AK11)</f>
        <v>69758.960312383395</v>
      </c>
      <c r="AM11" s="398">
        <f>AL11/(1+0.03)^($A11-'A - Inputs'!$C$6)</f>
        <v>51907.217877966643</v>
      </c>
      <c r="AN11" s="398">
        <f>AL11/(1+0.07)^($A11-'A - Inputs'!$C$6)</f>
        <v>35461.918094853972</v>
      </c>
      <c r="AO11" s="2"/>
      <c r="AQ11" s="214" t="s">
        <v>175</v>
      </c>
      <c r="AR11" s="228"/>
    </row>
    <row r="12" spans="1:45" ht="15" customHeight="1" x14ac:dyDescent="0.25">
      <c r="A12" s="396">
        <f t="shared" si="10"/>
        <v>2030</v>
      </c>
      <c r="B12" s="380">
        <f t="shared" si="11"/>
        <v>8</v>
      </c>
      <c r="C12" s="223">
        <f>IF(A12&gt;=BenefitStart,'A - Inputs'!M55,'A - Inputs'!L55)</f>
        <v>50.7</v>
      </c>
      <c r="D12" s="224">
        <f>IF(A12&gt;=BenefitStart,'A - Inputs'!O55,'A - Inputs'!N55)</f>
        <v>45.6</v>
      </c>
      <c r="E12" s="381">
        <f t="shared" ref="E12:E29" si="33">(($E$30-$E$10)*(A12-$A$10)/($A$30-$A$10))+$E$10</f>
        <v>39402.300000000003</v>
      </c>
      <c r="F12" s="276">
        <f t="shared" si="30"/>
        <v>32871.1</v>
      </c>
      <c r="G12" s="275">
        <f t="shared" si="31"/>
        <v>59096.2</v>
      </c>
      <c r="H12" s="276">
        <f t="shared" si="32"/>
        <v>44702.9</v>
      </c>
      <c r="I12" s="379">
        <f t="shared" si="13"/>
        <v>6531.2000000000044</v>
      </c>
      <c r="J12" s="226">
        <f t="shared" si="3"/>
        <v>14393.299999999996</v>
      </c>
      <c r="K12" s="225">
        <f t="shared" si="14"/>
        <v>331131.84000000026</v>
      </c>
      <c r="L12" s="225">
        <f t="shared" si="4"/>
        <v>656334.47999999986</v>
      </c>
      <c r="M12" s="226">
        <f t="shared" si="5"/>
        <v>987466.32000000007</v>
      </c>
      <c r="N12" s="225">
        <f t="shared" si="15"/>
        <v>901655.49679200014</v>
      </c>
      <c r="O12" s="226">
        <f t="shared" si="6"/>
        <v>85810.823208000016</v>
      </c>
      <c r="P12" s="386">
        <f t="shared" si="16"/>
        <v>0.85657272195240008</v>
      </c>
      <c r="Q12" s="387">
        <f t="shared" si="17"/>
        <v>1.0819865961504001E-2</v>
      </c>
      <c r="R12" s="387">
        <f t="shared" si="18"/>
        <v>4.0574497355639998E-3</v>
      </c>
      <c r="S12" s="390">
        <f t="shared" si="19"/>
        <v>463.00009760269205</v>
      </c>
      <c r="T12" s="387">
        <f t="shared" si="20"/>
        <v>1.1036263280734082</v>
      </c>
      <c r="U12" s="451">
        <f t="shared" si="7"/>
        <v>0.73908862029050404</v>
      </c>
      <c r="V12" s="452">
        <f t="shared" si="21"/>
        <v>7.8945957351360017E-4</v>
      </c>
      <c r="W12" s="384">
        <f t="shared" si="22"/>
        <v>1.7333786288016004E-2</v>
      </c>
      <c r="X12" s="384">
        <f t="shared" si="8"/>
        <v>165.13311536057472</v>
      </c>
      <c r="Y12" s="450">
        <f t="shared" si="23"/>
        <v>3.8357437973976012E-2</v>
      </c>
      <c r="Z12" s="228">
        <v>18000</v>
      </c>
      <c r="AA12" s="228">
        <v>48200</v>
      </c>
      <c r="AB12" s="228">
        <v>852700</v>
      </c>
      <c r="AC12" s="228">
        <v>61</v>
      </c>
      <c r="AD12" s="229">
        <f t="shared" si="9"/>
        <v>1958</v>
      </c>
      <c r="AE12" s="429">
        <f t="shared" si="24"/>
        <v>28721.904160372273</v>
      </c>
      <c r="AF12" s="429">
        <f t="shared" si="25"/>
        <v>559.56949078784839</v>
      </c>
      <c r="AG12" s="429">
        <f t="shared" si="26"/>
        <v>18240.306957306668</v>
      </c>
      <c r="AH12" s="429">
        <f t="shared" si="27"/>
        <v>38316.125990759268</v>
      </c>
      <c r="AI12" s="429">
        <f t="shared" si="28"/>
        <v>2236.0042139207781</v>
      </c>
      <c r="AJ12" s="430">
        <f t="shared" si="29"/>
        <v>88073.910813146838</v>
      </c>
      <c r="AK12" s="375">
        <f>'A - Inputs'!J55</f>
        <v>1</v>
      </c>
      <c r="AL12" s="398">
        <f>IF(OR($A12&lt;BenefitStart,B12&gt;'A - Inputs'!$C$11),0,AJ12*AK12)</f>
        <v>88073.910813146838</v>
      </c>
      <c r="AM12" s="398">
        <f>AL12/(1+0.03)^($A12-'A - Inputs'!$C$6)</f>
        <v>63626.467084679076</v>
      </c>
      <c r="AN12" s="398">
        <f>AL12/(1+0.07)^($A12-'A - Inputs'!$C$6)</f>
        <v>41843.280577008838</v>
      </c>
      <c r="AO12" s="2"/>
      <c r="AQ12" s="214" t="s">
        <v>176</v>
      </c>
      <c r="AR12" s="228"/>
    </row>
    <row r="13" spans="1:45" ht="15" customHeight="1" x14ac:dyDescent="0.25">
      <c r="A13" s="396">
        <f t="shared" si="10"/>
        <v>2031</v>
      </c>
      <c r="B13" s="380">
        <f t="shared" si="11"/>
        <v>9</v>
      </c>
      <c r="C13" s="223">
        <f>IF(A13&gt;=BenefitStart,'A - Inputs'!M56,'A - Inputs'!L56)</f>
        <v>50.55</v>
      </c>
      <c r="D13" s="224">
        <f>IF(A13&gt;=BenefitStart,'A - Inputs'!O56,'A - Inputs'!N56)</f>
        <v>45.4</v>
      </c>
      <c r="E13" s="381">
        <f t="shared" si="33"/>
        <v>41313.949999999997</v>
      </c>
      <c r="F13" s="276">
        <f t="shared" si="30"/>
        <v>33437.15</v>
      </c>
      <c r="G13" s="275">
        <f t="shared" si="31"/>
        <v>60969.8</v>
      </c>
      <c r="H13" s="276">
        <f t="shared" si="32"/>
        <v>46248.35</v>
      </c>
      <c r="I13" s="379">
        <f t="shared" si="13"/>
        <v>7876.7999999999956</v>
      </c>
      <c r="J13" s="226">
        <f t="shared" si="3"/>
        <v>14721.450000000004</v>
      </c>
      <c r="K13" s="225">
        <f t="shared" si="14"/>
        <v>398172.23999999976</v>
      </c>
      <c r="L13" s="225">
        <f t="shared" si="4"/>
        <v>668353.83000000019</v>
      </c>
      <c r="M13" s="226">
        <f t="shared" si="5"/>
        <v>1066526.0699999998</v>
      </c>
      <c r="N13" s="225">
        <f t="shared" si="15"/>
        <v>973844.95451699989</v>
      </c>
      <c r="O13" s="226">
        <f t="shared" si="6"/>
        <v>92681.115482999987</v>
      </c>
      <c r="P13" s="386">
        <f t="shared" si="16"/>
        <v>0.9251527067911498</v>
      </c>
      <c r="Q13" s="387">
        <f t="shared" si="17"/>
        <v>1.1686139454203999E-2</v>
      </c>
      <c r="R13" s="387">
        <f t="shared" si="18"/>
        <v>4.3823022953264987E-3</v>
      </c>
      <c r="S13" s="390">
        <f t="shared" si="19"/>
        <v>500.06938414447944</v>
      </c>
      <c r="T13" s="387">
        <f t="shared" si="20"/>
        <v>1.1919862243288077</v>
      </c>
      <c r="U13" s="451">
        <f t="shared" si="7"/>
        <v>0.79826244765507881</v>
      </c>
      <c r="V13" s="452">
        <f t="shared" si="21"/>
        <v>8.5266626244359981E-4</v>
      </c>
      <c r="W13" s="384">
        <f t="shared" si="22"/>
        <v>1.8721585327565998E-2</v>
      </c>
      <c r="X13" s="384">
        <f t="shared" si="8"/>
        <v>178.35420711095273</v>
      </c>
      <c r="Y13" s="450">
        <f t="shared" si="23"/>
        <v>4.1428458620900992E-2</v>
      </c>
      <c r="Z13" s="228">
        <v>18000</v>
      </c>
      <c r="AA13" s="228">
        <v>48200</v>
      </c>
      <c r="AB13" s="228">
        <v>852700</v>
      </c>
      <c r="AC13" s="228">
        <v>62</v>
      </c>
      <c r="AD13" s="229">
        <f t="shared" si="9"/>
        <v>1958</v>
      </c>
      <c r="AE13" s="429">
        <f t="shared" si="24"/>
        <v>31021.472780032116</v>
      </c>
      <c r="AF13" s="429">
        <f t="shared" si="25"/>
        <v>604.37043554241427</v>
      </c>
      <c r="AG13" s="429">
        <f t="shared" si="26"/>
        <v>19700.684976040433</v>
      </c>
      <c r="AH13" s="429">
        <f t="shared" si="27"/>
        <v>42062.262657836793</v>
      </c>
      <c r="AI13" s="429">
        <f t="shared" si="28"/>
        <v>2415.0259492155296</v>
      </c>
      <c r="AJ13" s="430">
        <f t="shared" si="29"/>
        <v>95803.816798667292</v>
      </c>
      <c r="AK13" s="375">
        <f>'A - Inputs'!J56</f>
        <v>1</v>
      </c>
      <c r="AL13" s="398">
        <f>IF(OR($A13&lt;BenefitStart,B13&gt;'A - Inputs'!$C$11),0,AJ13*AK13)</f>
        <v>95803.816798667292</v>
      </c>
      <c r="AM13" s="398">
        <f>AL13/(1+0.03)^($A13-'A - Inputs'!$C$6)</f>
        <v>67194.869548278817</v>
      </c>
      <c r="AN13" s="398">
        <f>AL13/(1+0.07)^($A13-'A - Inputs'!$C$6)</f>
        <v>42538.040399516729</v>
      </c>
      <c r="AO13" s="2"/>
      <c r="AQ13" s="217" t="s">
        <v>432</v>
      </c>
      <c r="AR13" s="228"/>
    </row>
    <row r="14" spans="1:45" ht="15" customHeight="1" x14ac:dyDescent="0.25">
      <c r="A14" s="396">
        <f t="shared" si="10"/>
        <v>2032</v>
      </c>
      <c r="B14" s="380">
        <f t="shared" si="11"/>
        <v>10</v>
      </c>
      <c r="C14" s="223">
        <f>IF(A14&gt;=BenefitStart,'A - Inputs'!M57,'A - Inputs'!L57)</f>
        <v>50.4</v>
      </c>
      <c r="D14" s="224">
        <f>IF(A14&gt;=BenefitStart,'A - Inputs'!O57,'A - Inputs'!N57)</f>
        <v>45.2</v>
      </c>
      <c r="E14" s="381">
        <f t="shared" si="33"/>
        <v>43225.599999999999</v>
      </c>
      <c r="F14" s="276">
        <f t="shared" si="30"/>
        <v>34003.199999999997</v>
      </c>
      <c r="G14" s="275">
        <f t="shared" si="31"/>
        <v>62843.4</v>
      </c>
      <c r="H14" s="276">
        <f t="shared" si="32"/>
        <v>47793.8</v>
      </c>
      <c r="I14" s="379">
        <f t="shared" si="13"/>
        <v>9222.4000000000015</v>
      </c>
      <c r="J14" s="226">
        <f t="shared" si="3"/>
        <v>15049.599999999999</v>
      </c>
      <c r="K14" s="225">
        <f t="shared" si="14"/>
        <v>464808.96000000008</v>
      </c>
      <c r="L14" s="225">
        <f t="shared" si="4"/>
        <v>680241.91999999993</v>
      </c>
      <c r="M14" s="226">
        <f t="shared" si="5"/>
        <v>1145050.8799999999</v>
      </c>
      <c r="N14" s="225">
        <f t="shared" si="15"/>
        <v>1045545.9585279999</v>
      </c>
      <c r="O14" s="226">
        <f t="shared" si="6"/>
        <v>99504.921472000002</v>
      </c>
      <c r="P14" s="386">
        <f t="shared" si="16"/>
        <v>0.9932686606015998</v>
      </c>
      <c r="Q14" s="387">
        <f t="shared" si="17"/>
        <v>1.2546551502335999E-2</v>
      </c>
      <c r="R14" s="387">
        <f t="shared" si="18"/>
        <v>4.7049568133759991E-3</v>
      </c>
      <c r="S14" s="390">
        <f t="shared" si="19"/>
        <v>536.88784970412792</v>
      </c>
      <c r="T14" s="387">
        <f t="shared" si="20"/>
        <v>1.279748253238272</v>
      </c>
      <c r="U14" s="451">
        <f t="shared" si="7"/>
        <v>0.85703588863833602</v>
      </c>
      <c r="V14" s="452">
        <f t="shared" si="21"/>
        <v>9.1544527754240006E-4</v>
      </c>
      <c r="W14" s="384">
        <f t="shared" si="22"/>
        <v>2.0099994137344E-2</v>
      </c>
      <c r="X14" s="384">
        <f t="shared" si="8"/>
        <v>191.48584132040833</v>
      </c>
      <c r="Y14" s="450">
        <f t="shared" si="23"/>
        <v>4.4478699897983996E-2</v>
      </c>
      <c r="Z14" s="228">
        <v>18000</v>
      </c>
      <c r="AA14" s="228">
        <v>48200</v>
      </c>
      <c r="AB14" s="228">
        <v>852700</v>
      </c>
      <c r="AC14" s="228">
        <v>63</v>
      </c>
      <c r="AD14" s="229">
        <f t="shared" si="9"/>
        <v>1958</v>
      </c>
      <c r="AE14" s="429">
        <f t="shared" si="24"/>
        <v>33305.481886318841</v>
      </c>
      <c r="AF14" s="429">
        <f t="shared" si="25"/>
        <v>648.86824479013876</v>
      </c>
      <c r="AG14" s="429">
        <f t="shared" si="26"/>
        <v>21151.181675678941</v>
      </c>
      <c r="AH14" s="429">
        <f t="shared" si="27"/>
        <v>45887.542534545784</v>
      </c>
      <c r="AI14" s="429">
        <f t="shared" si="28"/>
        <v>2592.8363742407892</v>
      </c>
      <c r="AJ14" s="430">
        <f t="shared" si="29"/>
        <v>103585.91071557449</v>
      </c>
      <c r="AK14" s="375">
        <f>'A - Inputs'!J57</f>
        <v>1</v>
      </c>
      <c r="AL14" s="398">
        <f>IF(OR($A14&lt;BenefitStart,B14&gt;'A - Inputs'!$C$11),0,AJ14*AK14)</f>
        <v>103585.91071557449</v>
      </c>
      <c r="AM14" s="398">
        <f>AL14/(1+0.03)^($A14-'A - Inputs'!$C$6)</f>
        <v>70536.964706184139</v>
      </c>
      <c r="AN14" s="398">
        <f>AL14/(1+0.07)^($A14-'A - Inputs'!$C$6)</f>
        <v>42984.470249119717</v>
      </c>
      <c r="AO14" s="2"/>
      <c r="AQ14" s="214" t="s">
        <v>430</v>
      </c>
      <c r="AR14" s="239">
        <v>1958</v>
      </c>
      <c r="AS14" s="214" t="s">
        <v>512</v>
      </c>
    </row>
    <row r="15" spans="1:45" ht="15" customHeight="1" x14ac:dyDescent="0.25">
      <c r="A15" s="396">
        <f t="shared" si="10"/>
        <v>2033</v>
      </c>
      <c r="B15" s="380">
        <f t="shared" si="11"/>
        <v>11</v>
      </c>
      <c r="C15" s="223">
        <f>IF(A15&gt;=BenefitStart,'A - Inputs'!M58,'A - Inputs'!L58)</f>
        <v>50.25</v>
      </c>
      <c r="D15" s="224">
        <f>IF(A15&gt;=BenefitStart,'A - Inputs'!O58,'A - Inputs'!N58)</f>
        <v>45</v>
      </c>
      <c r="E15" s="381">
        <f t="shared" si="33"/>
        <v>45137.25</v>
      </c>
      <c r="F15" s="276">
        <f t="shared" si="30"/>
        <v>34569.25</v>
      </c>
      <c r="G15" s="275">
        <f t="shared" si="31"/>
        <v>64717</v>
      </c>
      <c r="H15" s="276">
        <f t="shared" si="32"/>
        <v>49339.25</v>
      </c>
      <c r="I15" s="379">
        <f t="shared" si="13"/>
        <v>10568</v>
      </c>
      <c r="J15" s="226">
        <f t="shared" si="3"/>
        <v>15377.75</v>
      </c>
      <c r="K15" s="225">
        <f t="shared" si="14"/>
        <v>531042</v>
      </c>
      <c r="L15" s="225">
        <f t="shared" si="4"/>
        <v>691998.75</v>
      </c>
      <c r="M15" s="226">
        <f t="shared" si="5"/>
        <v>1223040.75</v>
      </c>
      <c r="N15" s="225">
        <f t="shared" si="15"/>
        <v>1116758.5088250001</v>
      </c>
      <c r="O15" s="226">
        <f t="shared" si="6"/>
        <v>106282.241175</v>
      </c>
      <c r="P15" s="386">
        <f t="shared" si="16"/>
        <v>1.0609205833837501</v>
      </c>
      <c r="Q15" s="387">
        <f t="shared" si="17"/>
        <v>1.3401102105900002E-2</v>
      </c>
      <c r="R15" s="387">
        <f t="shared" si="18"/>
        <v>5.0254132897124999E-3</v>
      </c>
      <c r="S15" s="390">
        <f t="shared" si="19"/>
        <v>573.45549428163758</v>
      </c>
      <c r="T15" s="387">
        <f t="shared" si="20"/>
        <v>1.3669124148018001</v>
      </c>
      <c r="U15" s="451">
        <f t="shared" si="7"/>
        <v>0.915408943240275</v>
      </c>
      <c r="V15" s="452">
        <f t="shared" si="21"/>
        <v>9.7779661880999995E-4</v>
      </c>
      <c r="W15" s="384">
        <f t="shared" si="22"/>
        <v>2.1469012717350001E-2</v>
      </c>
      <c r="X15" s="384">
        <f t="shared" si="8"/>
        <v>204.5280179889414</v>
      </c>
      <c r="Y15" s="450">
        <f t="shared" si="23"/>
        <v>4.7508161805225005E-2</v>
      </c>
      <c r="Z15" s="228">
        <v>18000</v>
      </c>
      <c r="AA15" s="228">
        <v>48200</v>
      </c>
      <c r="AB15" s="228">
        <v>852700</v>
      </c>
      <c r="AC15" s="228">
        <v>64</v>
      </c>
      <c r="AD15" s="229">
        <f t="shared" si="9"/>
        <v>1958</v>
      </c>
      <c r="AE15" s="429">
        <f t="shared" si="24"/>
        <v>35573.931479232451</v>
      </c>
      <c r="AF15" s="429">
        <f t="shared" si="25"/>
        <v>693.06291853102209</v>
      </c>
      <c r="AG15" s="429">
        <f t="shared" si="26"/>
        <v>22591.797056222196</v>
      </c>
      <c r="AH15" s="429">
        <f t="shared" si="27"/>
        <v>49790.944785317057</v>
      </c>
      <c r="AI15" s="429">
        <f t="shared" si="28"/>
        <v>2769.4354889965553</v>
      </c>
      <c r="AJ15" s="430">
        <f t="shared" si="29"/>
        <v>111419.17172829929</v>
      </c>
      <c r="AK15" s="375">
        <f>'A - Inputs'!J58</f>
        <v>1</v>
      </c>
      <c r="AL15" s="398">
        <f>IF(OR($A15&lt;BenefitStart,B15&gt;'A - Inputs'!$C$11),0,AJ15*AK15)</f>
        <v>111419.17172829929</v>
      </c>
      <c r="AM15" s="398">
        <f>AL15/(1+0.03)^($A15-'A - Inputs'!$C$6)</f>
        <v>73661.198339141163</v>
      </c>
      <c r="AN15" s="398">
        <f>AL15/(1+0.07)^($A15-'A - Inputs'!$C$6)</f>
        <v>43210.275776104558</v>
      </c>
      <c r="AO15" s="2"/>
    </row>
    <row r="16" spans="1:45" ht="15" customHeight="1" x14ac:dyDescent="0.25">
      <c r="A16" s="396">
        <f t="shared" si="10"/>
        <v>2034</v>
      </c>
      <c r="B16" s="380">
        <f t="shared" si="11"/>
        <v>12</v>
      </c>
      <c r="C16" s="223">
        <f>IF(A16&gt;=BenefitStart,'A - Inputs'!M59,'A - Inputs'!L59)</f>
        <v>50.1</v>
      </c>
      <c r="D16" s="224">
        <f>IF(A16&gt;=BenefitStart,'A - Inputs'!O59,'A - Inputs'!N59)</f>
        <v>44.8</v>
      </c>
      <c r="E16" s="381">
        <f t="shared" si="33"/>
        <v>47048.9</v>
      </c>
      <c r="F16" s="276">
        <f t="shared" si="30"/>
        <v>35135.300000000003</v>
      </c>
      <c r="G16" s="275">
        <f t="shared" si="31"/>
        <v>66590.600000000006</v>
      </c>
      <c r="H16" s="276">
        <f t="shared" si="32"/>
        <v>50884.7</v>
      </c>
      <c r="I16" s="379">
        <f t="shared" si="13"/>
        <v>11913.599999999999</v>
      </c>
      <c r="J16" s="226">
        <f t="shared" si="3"/>
        <v>15705.900000000009</v>
      </c>
      <c r="K16" s="225">
        <f t="shared" si="14"/>
        <v>596871.36</v>
      </c>
      <c r="L16" s="225">
        <f t="shared" si="4"/>
        <v>703624.3200000003</v>
      </c>
      <c r="M16" s="226">
        <f t="shared" si="5"/>
        <v>1300495.6800000002</v>
      </c>
      <c r="N16" s="225">
        <f t="shared" si="15"/>
        <v>1187482.6054080003</v>
      </c>
      <c r="O16" s="226">
        <f t="shared" si="6"/>
        <v>113013.07459200002</v>
      </c>
      <c r="P16" s="386">
        <f t="shared" si="16"/>
        <v>1.1281084751376003</v>
      </c>
      <c r="Q16" s="387">
        <f t="shared" si="17"/>
        <v>1.4249791264896004E-2</v>
      </c>
      <c r="R16" s="387">
        <f t="shared" si="18"/>
        <v>5.3436717243360004E-3</v>
      </c>
      <c r="S16" s="390">
        <f t="shared" si="19"/>
        <v>609.77231787700816</v>
      </c>
      <c r="T16" s="387">
        <f t="shared" si="20"/>
        <v>1.4534787090193924</v>
      </c>
      <c r="U16" s="451">
        <f t="shared" si="7"/>
        <v>0.97338161146089608</v>
      </c>
      <c r="V16" s="452">
        <f t="shared" si="21"/>
        <v>1.0397202862464001E-3</v>
      </c>
      <c r="W16" s="384">
        <f t="shared" si="22"/>
        <v>2.2828641067584005E-2</v>
      </c>
      <c r="X16" s="384">
        <f t="shared" si="8"/>
        <v>217.48073711655204</v>
      </c>
      <c r="Y16" s="450">
        <f t="shared" si="23"/>
        <v>5.0516844342624011E-2</v>
      </c>
      <c r="Z16" s="228">
        <v>18000</v>
      </c>
      <c r="AA16" s="228">
        <v>48200</v>
      </c>
      <c r="AB16" s="228">
        <v>852700</v>
      </c>
      <c r="AC16" s="228">
        <v>66</v>
      </c>
      <c r="AD16" s="229">
        <f t="shared" si="9"/>
        <v>1958</v>
      </c>
      <c r="AE16" s="429">
        <f t="shared" si="24"/>
        <v>37826.821558772936</v>
      </c>
      <c r="AF16" s="429">
        <f t="shared" si="25"/>
        <v>736.95445676506392</v>
      </c>
      <c r="AG16" s="429">
        <f t="shared" si="26"/>
        <v>24022.531117670191</v>
      </c>
      <c r="AH16" s="429">
        <f t="shared" si="27"/>
        <v>54598.701629574978</v>
      </c>
      <c r="AI16" s="429">
        <f t="shared" si="28"/>
        <v>2944.8232934828279</v>
      </c>
      <c r="AJ16" s="430">
        <f t="shared" si="29"/>
        <v>120129.83205626599</v>
      </c>
      <c r="AK16" s="375">
        <f>'A - Inputs'!J59</f>
        <v>1</v>
      </c>
      <c r="AL16" s="398">
        <f>IF(OR($A16&lt;BenefitStart,B16&gt;'A - Inputs'!$C$11),0,AJ16*AK16)</f>
        <v>120129.83205626599</v>
      </c>
      <c r="AM16" s="398">
        <f>AL16/(1+0.03)^($A16-'A - Inputs'!$C$6)</f>
        <v>77106.767944075531</v>
      </c>
      <c r="AN16" s="398">
        <f>AL16/(1+0.07)^($A16-'A - Inputs'!$C$6)</f>
        <v>43540.579469098753</v>
      </c>
      <c r="AO16" s="2"/>
      <c r="AQ16" s="232" t="s">
        <v>676</v>
      </c>
      <c r="AR16" s="233"/>
      <c r="AS16" s="233"/>
    </row>
    <row r="17" spans="1:49" ht="15" customHeight="1" x14ac:dyDescent="0.25">
      <c r="A17" s="396">
        <f t="shared" si="10"/>
        <v>2035</v>
      </c>
      <c r="B17" s="380">
        <f t="shared" si="11"/>
        <v>13</v>
      </c>
      <c r="C17" s="223">
        <f>IF(A17&gt;=BenefitStart,'A - Inputs'!M60,'A - Inputs'!L60)</f>
        <v>49.95</v>
      </c>
      <c r="D17" s="224">
        <f>IF(A17&gt;=BenefitStart,'A - Inputs'!O60,'A - Inputs'!N60)</f>
        <v>44.6</v>
      </c>
      <c r="E17" s="381">
        <f t="shared" si="33"/>
        <v>48960.55</v>
      </c>
      <c r="F17" s="276">
        <f t="shared" si="30"/>
        <v>35701.35</v>
      </c>
      <c r="G17" s="275">
        <f t="shared" si="31"/>
        <v>68464.2</v>
      </c>
      <c r="H17" s="276">
        <f t="shared" si="32"/>
        <v>52430.15</v>
      </c>
      <c r="I17" s="379">
        <f t="shared" si="13"/>
        <v>13259.200000000004</v>
      </c>
      <c r="J17" s="226">
        <f t="shared" si="3"/>
        <v>16034.049999999996</v>
      </c>
      <c r="K17" s="225">
        <f t="shared" si="14"/>
        <v>662297.04000000027</v>
      </c>
      <c r="L17" s="225">
        <f t="shared" si="4"/>
        <v>715118.62999999977</v>
      </c>
      <c r="M17" s="226">
        <f t="shared" si="5"/>
        <v>1377415.67</v>
      </c>
      <c r="N17" s="225">
        <f t="shared" si="15"/>
        <v>1257718.2482769999</v>
      </c>
      <c r="O17" s="226">
        <f t="shared" si="6"/>
        <v>119697.42172300001</v>
      </c>
      <c r="P17" s="386">
        <f t="shared" si="16"/>
        <v>1.1948323358631499</v>
      </c>
      <c r="Q17" s="387">
        <f t="shared" si="17"/>
        <v>1.5092618979323999E-2</v>
      </c>
      <c r="R17" s="387">
        <f t="shared" si="18"/>
        <v>5.6597321172464988E-3</v>
      </c>
      <c r="S17" s="390">
        <f t="shared" si="19"/>
        <v>645.83832049023954</v>
      </c>
      <c r="T17" s="387">
        <f t="shared" si="20"/>
        <v>1.5394471358910478</v>
      </c>
      <c r="U17" s="451">
        <f t="shared" si="7"/>
        <v>1.0309538933001989</v>
      </c>
      <c r="V17" s="452">
        <f t="shared" si="21"/>
        <v>1.1012162798516001E-3</v>
      </c>
      <c r="W17" s="384">
        <f t="shared" si="22"/>
        <v>2.4178879188046003E-2</v>
      </c>
      <c r="X17" s="384">
        <f t="shared" si="8"/>
        <v>230.34399870324009</v>
      </c>
      <c r="Y17" s="450">
        <f t="shared" si="23"/>
        <v>5.3504747510181007E-2</v>
      </c>
      <c r="Z17" s="228">
        <v>18000</v>
      </c>
      <c r="AA17" s="228">
        <v>48200</v>
      </c>
      <c r="AB17" s="228">
        <v>852700</v>
      </c>
      <c r="AC17" s="228">
        <v>67</v>
      </c>
      <c r="AD17" s="229">
        <f t="shared" si="9"/>
        <v>1958</v>
      </c>
      <c r="AE17" s="429">
        <f t="shared" si="24"/>
        <v>40064.152124940279</v>
      </c>
      <c r="AF17" s="429">
        <f t="shared" si="25"/>
        <v>780.5428594922638</v>
      </c>
      <c r="AG17" s="429">
        <f t="shared" si="26"/>
        <v>25443.383860022914</v>
      </c>
      <c r="AH17" s="429">
        <f t="shared" si="27"/>
        <v>58704.215385963136</v>
      </c>
      <c r="AI17" s="429">
        <f t="shared" si="28"/>
        <v>3118.9997876996063</v>
      </c>
      <c r="AJ17" s="430">
        <f t="shared" si="29"/>
        <v>128111.29401811819</v>
      </c>
      <c r="AK17" s="375">
        <f>'A - Inputs'!J60</f>
        <v>1</v>
      </c>
      <c r="AL17" s="398">
        <f>IF(OR($A17&lt;BenefitStart,B17&gt;'A - Inputs'!$C$11),0,AJ17*AK17)</f>
        <v>128111.29401811819</v>
      </c>
      <c r="AM17" s="398">
        <f>AL17/(1+0.03)^($A17-'A - Inputs'!$C$6)</f>
        <v>79834.72297279886</v>
      </c>
      <c r="AN17" s="398">
        <f>AL17/(1+0.07)^($A17-'A - Inputs'!$C$6)</f>
        <v>43395.727652428963</v>
      </c>
      <c r="AO17" s="2"/>
      <c r="AQ17" s="237" t="s">
        <v>177</v>
      </c>
      <c r="AR17" s="238" t="s">
        <v>178</v>
      </c>
      <c r="AS17" s="238" t="s">
        <v>179</v>
      </c>
    </row>
    <row r="18" spans="1:49" ht="15" customHeight="1" x14ac:dyDescent="0.25">
      <c r="A18" s="396">
        <f t="shared" si="10"/>
        <v>2036</v>
      </c>
      <c r="B18" s="380">
        <f t="shared" si="11"/>
        <v>14</v>
      </c>
      <c r="C18" s="223">
        <f>IF(A18&gt;=BenefitStart,'A - Inputs'!M61,'A - Inputs'!L61)</f>
        <v>49.8</v>
      </c>
      <c r="D18" s="224">
        <f>IF(A18&gt;=BenefitStart,'A - Inputs'!O61,'A - Inputs'!N61)</f>
        <v>44.4</v>
      </c>
      <c r="E18" s="381">
        <f t="shared" si="33"/>
        <v>50872.2</v>
      </c>
      <c r="F18" s="276">
        <f t="shared" si="30"/>
        <v>36267.4</v>
      </c>
      <c r="G18" s="275">
        <f t="shared" si="31"/>
        <v>70337.8</v>
      </c>
      <c r="H18" s="276">
        <f t="shared" si="32"/>
        <v>53975.6</v>
      </c>
      <c r="I18" s="379">
        <f t="shared" si="13"/>
        <v>14604.799999999996</v>
      </c>
      <c r="J18" s="226">
        <f t="shared" si="3"/>
        <v>16362.200000000004</v>
      </c>
      <c r="K18" s="225">
        <f t="shared" si="14"/>
        <v>727319.03999999969</v>
      </c>
      <c r="L18" s="225">
        <f t="shared" si="4"/>
        <v>726481.68000000017</v>
      </c>
      <c r="M18" s="226">
        <f t="shared" si="5"/>
        <v>1453800.7199999997</v>
      </c>
      <c r="N18" s="225">
        <f t="shared" si="15"/>
        <v>1327465.4374319997</v>
      </c>
      <c r="O18" s="226">
        <f t="shared" si="6"/>
        <v>126335.28256799998</v>
      </c>
      <c r="P18" s="386">
        <f t="shared" si="16"/>
        <v>1.2610921655603997</v>
      </c>
      <c r="Q18" s="387">
        <f t="shared" si="17"/>
        <v>1.5929585249183999E-2</v>
      </c>
      <c r="R18" s="387">
        <f t="shared" si="18"/>
        <v>5.9735944684439985E-3</v>
      </c>
      <c r="S18" s="390">
        <f t="shared" si="19"/>
        <v>681.65350212133183</v>
      </c>
      <c r="T18" s="387">
        <f t="shared" si="20"/>
        <v>1.6248176954167677</v>
      </c>
      <c r="U18" s="451">
        <f t="shared" si="7"/>
        <v>1.0881257887581839</v>
      </c>
      <c r="V18" s="452">
        <f t="shared" si="21"/>
        <v>1.1622845996255998E-3</v>
      </c>
      <c r="W18" s="384">
        <f t="shared" si="22"/>
        <v>2.5519727078735999E-2</v>
      </c>
      <c r="X18" s="384">
        <f t="shared" si="8"/>
        <v>243.11780274900565</v>
      </c>
      <c r="Y18" s="450">
        <f t="shared" si="23"/>
        <v>5.6471871307895993E-2</v>
      </c>
      <c r="Z18" s="228">
        <v>18000</v>
      </c>
      <c r="AA18" s="228">
        <v>48200</v>
      </c>
      <c r="AB18" s="228">
        <v>852700</v>
      </c>
      <c r="AC18" s="228">
        <v>68</v>
      </c>
      <c r="AD18" s="229">
        <f t="shared" si="9"/>
        <v>1958</v>
      </c>
      <c r="AE18" s="429">
        <f t="shared" si="24"/>
        <v>42285.923177734505</v>
      </c>
      <c r="AF18" s="429">
        <f t="shared" si="25"/>
        <v>823.82812671262263</v>
      </c>
      <c r="AG18" s="429">
        <f t="shared" si="26"/>
        <v>26854.355283280387</v>
      </c>
      <c r="AH18" s="429">
        <f t="shared" si="27"/>
        <v>62884.448731182943</v>
      </c>
      <c r="AI18" s="429">
        <f t="shared" si="28"/>
        <v>3291.9649716468916</v>
      </c>
      <c r="AJ18" s="430">
        <f t="shared" si="29"/>
        <v>136140.52029055735</v>
      </c>
      <c r="AK18" s="375">
        <f>'A - Inputs'!J61</f>
        <v>1</v>
      </c>
      <c r="AL18" s="398">
        <f>IF(OR($A18&lt;BenefitStart,B18&gt;'A - Inputs'!$C$11),0,AJ18*AK18)</f>
        <v>136140.52029055735</v>
      </c>
      <c r="AM18" s="398">
        <f>AL18/(1+0.03)^($A18-'A - Inputs'!$C$6)</f>
        <v>82367.253721650966</v>
      </c>
      <c r="AN18" s="398">
        <f>AL18/(1+0.07)^($A18-'A - Inputs'!$C$6)</f>
        <v>43098.602228450014</v>
      </c>
      <c r="AO18" s="2"/>
      <c r="AQ18" s="214" t="s">
        <v>172</v>
      </c>
      <c r="AR18" s="239">
        <v>513.5</v>
      </c>
      <c r="AS18" s="249" t="s">
        <v>180</v>
      </c>
      <c r="AT18" s="214" t="s">
        <v>181</v>
      </c>
    </row>
    <row r="19" spans="1:49" ht="15" customHeight="1" x14ac:dyDescent="0.25">
      <c r="A19" s="396">
        <f t="shared" si="10"/>
        <v>2037</v>
      </c>
      <c r="B19" s="380">
        <f t="shared" si="11"/>
        <v>15</v>
      </c>
      <c r="C19" s="223">
        <f>IF(A19&gt;=BenefitStart,'A - Inputs'!M62,'A - Inputs'!L62)</f>
        <v>49.65</v>
      </c>
      <c r="D19" s="224">
        <f>IF(A19&gt;=BenefitStart,'A - Inputs'!O62,'A - Inputs'!N62)</f>
        <v>44.2</v>
      </c>
      <c r="E19" s="381">
        <f t="shared" si="33"/>
        <v>52783.85</v>
      </c>
      <c r="F19" s="276">
        <f t="shared" si="30"/>
        <v>36833.449999999997</v>
      </c>
      <c r="G19" s="275">
        <f t="shared" si="31"/>
        <v>72211.399999999994</v>
      </c>
      <c r="H19" s="276">
        <f t="shared" si="32"/>
        <v>55521.05</v>
      </c>
      <c r="I19" s="379">
        <f t="shared" si="13"/>
        <v>15950.400000000001</v>
      </c>
      <c r="J19" s="226">
        <f t="shared" si="3"/>
        <v>16690.349999999991</v>
      </c>
      <c r="K19" s="225">
        <f t="shared" si="14"/>
        <v>791937.3600000001</v>
      </c>
      <c r="L19" s="225">
        <f t="shared" si="4"/>
        <v>737713.46999999962</v>
      </c>
      <c r="M19" s="226">
        <f t="shared" si="5"/>
        <v>1529650.8299999996</v>
      </c>
      <c r="N19" s="225">
        <f t="shared" si="15"/>
        <v>1396724.1728729997</v>
      </c>
      <c r="O19" s="226">
        <f t="shared" si="6"/>
        <v>132926.65712699998</v>
      </c>
      <c r="P19" s="386">
        <f t="shared" si="16"/>
        <v>1.3268879642293498</v>
      </c>
      <c r="Q19" s="387">
        <f t="shared" si="17"/>
        <v>1.6760690074475997E-2</v>
      </c>
      <c r="R19" s="387">
        <f t="shared" si="18"/>
        <v>6.2852587779284978E-3</v>
      </c>
      <c r="S19" s="390">
        <f t="shared" si="19"/>
        <v>717.21786277028536</v>
      </c>
      <c r="T19" s="387">
        <f t="shared" si="20"/>
        <v>1.7095903875965515</v>
      </c>
      <c r="U19" s="451">
        <f t="shared" si="7"/>
        <v>1.1448972978348508</v>
      </c>
      <c r="V19" s="452">
        <f t="shared" si="21"/>
        <v>1.2229252455683997E-3</v>
      </c>
      <c r="W19" s="384">
        <f t="shared" si="22"/>
        <v>2.6851184739654001E-2</v>
      </c>
      <c r="X19" s="384">
        <f t="shared" si="8"/>
        <v>255.80214925384874</v>
      </c>
      <c r="Y19" s="450">
        <f t="shared" si="23"/>
        <v>5.9418215735768991E-2</v>
      </c>
      <c r="Z19" s="228">
        <v>18000</v>
      </c>
      <c r="AA19" s="228">
        <v>48200</v>
      </c>
      <c r="AB19" s="228">
        <v>852700</v>
      </c>
      <c r="AC19" s="228">
        <v>69</v>
      </c>
      <c r="AD19" s="229">
        <f t="shared" si="9"/>
        <v>1958</v>
      </c>
      <c r="AE19" s="429">
        <f t="shared" si="24"/>
        <v>44492.134717155612</v>
      </c>
      <c r="AF19" s="429">
        <f t="shared" si="25"/>
        <v>866.81025842613985</v>
      </c>
      <c r="AG19" s="429">
        <f t="shared" si="26"/>
        <v>28255.445387442596</v>
      </c>
      <c r="AH19" s="429">
        <f t="shared" si="27"/>
        <v>67138.380829665257</v>
      </c>
      <c r="AI19" s="429">
        <f t="shared" si="28"/>
        <v>3463.7188453246836</v>
      </c>
      <c r="AJ19" s="430">
        <f t="shared" si="29"/>
        <v>144216.49003801428</v>
      </c>
      <c r="AK19" s="375">
        <f>'A - Inputs'!J62</f>
        <v>1</v>
      </c>
      <c r="AL19" s="398">
        <f>IF(OR($A19&lt;BenefitStart,B19&gt;'A - Inputs'!$C$11),0,AJ19*AK19)</f>
        <v>144216.49003801428</v>
      </c>
      <c r="AM19" s="398">
        <f>AL19/(1+0.03)^($A19-'A - Inputs'!$C$6)</f>
        <v>84711.988577676952</v>
      </c>
      <c r="AN19" s="398">
        <f>AL19/(1+0.07)^($A19-'A - Inputs'!$C$6)</f>
        <v>42668.455540801668</v>
      </c>
      <c r="AO19" s="2"/>
      <c r="AQ19" s="214" t="s">
        <v>173</v>
      </c>
      <c r="AR19" s="239">
        <v>1.224</v>
      </c>
      <c r="AS19" s="239">
        <v>0.44700000000000001</v>
      </c>
      <c r="AT19" s="214" t="s">
        <v>182</v>
      </c>
    </row>
    <row r="20" spans="1:49" ht="15" customHeight="1" x14ac:dyDescent="0.25">
      <c r="A20" s="396">
        <f t="shared" si="10"/>
        <v>2038</v>
      </c>
      <c r="B20" s="380">
        <f t="shared" si="11"/>
        <v>16</v>
      </c>
      <c r="C20" s="223">
        <f>IF(A20&gt;=BenefitStart,'A - Inputs'!M63,'A - Inputs'!L63)</f>
        <v>49.5</v>
      </c>
      <c r="D20" s="224">
        <f>IF(A20&gt;=BenefitStart,'A - Inputs'!O63,'A - Inputs'!N63)</f>
        <v>44</v>
      </c>
      <c r="E20" s="381">
        <f t="shared" si="33"/>
        <v>54695.5</v>
      </c>
      <c r="F20" s="276">
        <f t="shared" si="30"/>
        <v>37399.5</v>
      </c>
      <c r="G20" s="275">
        <f t="shared" si="31"/>
        <v>74085</v>
      </c>
      <c r="H20" s="276">
        <f t="shared" si="32"/>
        <v>57066.5</v>
      </c>
      <c r="I20" s="379">
        <f t="shared" si="13"/>
        <v>17296</v>
      </c>
      <c r="J20" s="226">
        <f t="shared" si="3"/>
        <v>17018.5</v>
      </c>
      <c r="K20" s="225">
        <f t="shared" si="14"/>
        <v>856152</v>
      </c>
      <c r="L20" s="225">
        <f t="shared" si="4"/>
        <v>748814</v>
      </c>
      <c r="M20" s="226">
        <f t="shared" si="5"/>
        <v>1604966</v>
      </c>
      <c r="N20" s="225">
        <f t="shared" si="15"/>
        <v>1465494.4546000001</v>
      </c>
      <c r="O20" s="226">
        <f t="shared" si="6"/>
        <v>139471.5454</v>
      </c>
      <c r="P20" s="386">
        <f t="shared" si="16"/>
        <v>1.39221973187</v>
      </c>
      <c r="Q20" s="387">
        <f t="shared" si="17"/>
        <v>1.7585933455200001E-2</v>
      </c>
      <c r="R20" s="387">
        <f t="shared" si="18"/>
        <v>6.5947250457000003E-3</v>
      </c>
      <c r="S20" s="390">
        <f t="shared" si="19"/>
        <v>752.53140243710004</v>
      </c>
      <c r="T20" s="387">
        <f t="shared" si="20"/>
        <v>1.7937652124304</v>
      </c>
      <c r="U20" s="451">
        <f t="shared" si="7"/>
        <v>1.2012684205302</v>
      </c>
      <c r="V20" s="452">
        <f t="shared" si="21"/>
        <v>1.28313821768E-3</v>
      </c>
      <c r="W20" s="384">
        <f t="shared" si="22"/>
        <v>2.8173252170800002E-2</v>
      </c>
      <c r="X20" s="384">
        <f t="shared" si="8"/>
        <v>268.39703821776936</v>
      </c>
      <c r="Y20" s="450">
        <f t="shared" si="23"/>
        <v>6.2343780793800006E-2</v>
      </c>
      <c r="Z20" s="228">
        <v>18000</v>
      </c>
      <c r="AA20" s="228">
        <v>48200</v>
      </c>
      <c r="AB20" s="228">
        <v>852700</v>
      </c>
      <c r="AC20" s="228">
        <v>70</v>
      </c>
      <c r="AD20" s="229">
        <f t="shared" si="9"/>
        <v>1958</v>
      </c>
      <c r="AE20" s="429">
        <f t="shared" si="24"/>
        <v>46682.7867432036</v>
      </c>
      <c r="AF20" s="429">
        <f t="shared" si="25"/>
        <v>909.48925463281591</v>
      </c>
      <c r="AG20" s="429">
        <f t="shared" si="26"/>
        <v>29646.654172509552</v>
      </c>
      <c r="AH20" s="429">
        <f t="shared" si="27"/>
        <v>71464.990845840861</v>
      </c>
      <c r="AI20" s="429">
        <f t="shared" si="28"/>
        <v>3634.2614087329839</v>
      </c>
      <c r="AJ20" s="430">
        <f t="shared" si="29"/>
        <v>152338.1824249198</v>
      </c>
      <c r="AK20" s="375">
        <f>'A - Inputs'!J63</f>
        <v>1</v>
      </c>
      <c r="AL20" s="398">
        <f>IF(OR($A20&lt;BenefitStart,B20&gt;'A - Inputs'!$C$11),0,AJ20*AK20)</f>
        <v>152338.1824249198</v>
      </c>
      <c r="AM20" s="398">
        <f>AL20/(1+0.03)^($A20-'A - Inputs'!$C$6)</f>
        <v>86876.336786857733</v>
      </c>
      <c r="AN20" s="398">
        <f>AL20/(1+0.07)^($A20-'A - Inputs'!$C$6)</f>
        <v>42122.776876215736</v>
      </c>
      <c r="AO20" s="2"/>
      <c r="AQ20" s="214" t="s">
        <v>174</v>
      </c>
      <c r="AR20" s="239">
        <v>0.95</v>
      </c>
      <c r="AS20" s="239">
        <v>8.6129999999999995</v>
      </c>
      <c r="AT20" s="214" t="s">
        <v>183</v>
      </c>
    </row>
    <row r="21" spans="1:49" ht="15" customHeight="1" x14ac:dyDescent="0.25">
      <c r="A21" s="396">
        <f t="shared" si="10"/>
        <v>2039</v>
      </c>
      <c r="B21" s="380">
        <f t="shared" si="11"/>
        <v>17</v>
      </c>
      <c r="C21" s="223">
        <f>IF(A21&gt;=BenefitStart,'A - Inputs'!M64,'A - Inputs'!L64)</f>
        <v>49.35</v>
      </c>
      <c r="D21" s="224">
        <f>IF(A21&gt;=BenefitStart,'A - Inputs'!O64,'A - Inputs'!N64)</f>
        <v>43.8</v>
      </c>
      <c r="E21" s="381">
        <f t="shared" si="33"/>
        <v>56607.15</v>
      </c>
      <c r="F21" s="276">
        <f t="shared" si="30"/>
        <v>37965.550000000003</v>
      </c>
      <c r="G21" s="275">
        <f t="shared" si="31"/>
        <v>75958.600000000006</v>
      </c>
      <c r="H21" s="276">
        <f t="shared" si="32"/>
        <v>58611.95</v>
      </c>
      <c r="I21" s="379">
        <f t="shared" si="13"/>
        <v>18641.599999999999</v>
      </c>
      <c r="J21" s="226">
        <f t="shared" si="3"/>
        <v>17346.650000000009</v>
      </c>
      <c r="K21" s="225">
        <f t="shared" si="14"/>
        <v>919962.96</v>
      </c>
      <c r="L21" s="225">
        <f t="shared" si="4"/>
        <v>759783.27000000037</v>
      </c>
      <c r="M21" s="226">
        <f t="shared" si="5"/>
        <v>1679746.2300000004</v>
      </c>
      <c r="N21" s="225">
        <f t="shared" si="15"/>
        <v>1533776.2826130004</v>
      </c>
      <c r="O21" s="226">
        <f t="shared" si="6"/>
        <v>145969.94738700005</v>
      </c>
      <c r="P21" s="386">
        <f t="shared" si="16"/>
        <v>1.4570874684823503</v>
      </c>
      <c r="Q21" s="387">
        <f t="shared" si="17"/>
        <v>1.8405315391356005E-2</v>
      </c>
      <c r="R21" s="387">
        <f t="shared" si="18"/>
        <v>6.9019932717585015E-3</v>
      </c>
      <c r="S21" s="390">
        <f t="shared" si="19"/>
        <v>787.59412112177574</v>
      </c>
      <c r="T21" s="387">
        <f t="shared" si="20"/>
        <v>1.8773421699183124</v>
      </c>
      <c r="U21" s="451">
        <f t="shared" si="7"/>
        <v>1.2572391568442314</v>
      </c>
      <c r="V21" s="452">
        <f t="shared" si="21"/>
        <v>1.3429235159604005E-3</v>
      </c>
      <c r="W21" s="384">
        <f t="shared" si="22"/>
        <v>2.9485929372174011E-2</v>
      </c>
      <c r="X21" s="384">
        <f t="shared" si="8"/>
        <v>280.90246964076761</v>
      </c>
      <c r="Y21" s="450">
        <f t="shared" si="23"/>
        <v>6.5248566481989026E-2</v>
      </c>
      <c r="Z21" s="228">
        <v>18000</v>
      </c>
      <c r="AA21" s="228">
        <v>48200</v>
      </c>
      <c r="AB21" s="228">
        <v>852700</v>
      </c>
      <c r="AC21" s="228">
        <v>71</v>
      </c>
      <c r="AD21" s="229">
        <f t="shared" si="9"/>
        <v>1958</v>
      </c>
      <c r="AE21" s="429">
        <f t="shared" si="24"/>
        <v>48857.879255878463</v>
      </c>
      <c r="AF21" s="429">
        <f t="shared" si="25"/>
        <v>951.8651153326507</v>
      </c>
      <c r="AG21" s="429">
        <f t="shared" si="26"/>
        <v>31027.981638481255</v>
      </c>
      <c r="AH21" s="429">
        <f t="shared" si="27"/>
        <v>75863.257944140569</v>
      </c>
      <c r="AI21" s="429">
        <f t="shared" si="28"/>
        <v>3803.5926618717904</v>
      </c>
      <c r="AJ21" s="430">
        <f t="shared" si="29"/>
        <v>160504.57661570472</v>
      </c>
      <c r="AK21" s="375">
        <f>'A - Inputs'!J64</f>
        <v>1</v>
      </c>
      <c r="AL21" s="398">
        <f>IF(OR($A21&lt;BenefitStart,B21&gt;'A - Inputs'!$C$11),0,AJ21*AK21)</f>
        <v>160504.57661570472</v>
      </c>
      <c r="AM21" s="398">
        <f>AL21/(1+0.03)^($A21-'A - Inputs'!$C$6)</f>
        <v>88867.492508058698</v>
      </c>
      <c r="AN21" s="398">
        <f>AL21/(1+0.07)^($A21-'A - Inputs'!$C$6)</f>
        <v>41477.432636092599</v>
      </c>
      <c r="AO21" s="2"/>
      <c r="AQ21" s="214" t="s">
        <v>433</v>
      </c>
      <c r="AR21" s="239">
        <v>4.4999999999999997E-3</v>
      </c>
      <c r="AS21" s="239">
        <v>0.20200000000000001</v>
      </c>
      <c r="AT21" s="214" t="s">
        <v>184</v>
      </c>
    </row>
    <row r="22" spans="1:49" ht="15" customHeight="1" x14ac:dyDescent="0.25">
      <c r="A22" s="396">
        <f t="shared" si="10"/>
        <v>2040</v>
      </c>
      <c r="B22" s="380">
        <f t="shared" si="11"/>
        <v>18</v>
      </c>
      <c r="C22" s="223">
        <f>IF(A22&gt;=BenefitStart,'A - Inputs'!M65,'A - Inputs'!L65)</f>
        <v>49.2</v>
      </c>
      <c r="D22" s="224">
        <f>IF(A22&gt;=BenefitStart,'A - Inputs'!O65,'A - Inputs'!N65)</f>
        <v>43.6</v>
      </c>
      <c r="E22" s="381">
        <f t="shared" si="33"/>
        <v>58518.8</v>
      </c>
      <c r="F22" s="276">
        <f t="shared" si="30"/>
        <v>38531.599999999999</v>
      </c>
      <c r="G22" s="275">
        <f t="shared" si="31"/>
        <v>77832.2</v>
      </c>
      <c r="H22" s="276">
        <f t="shared" si="32"/>
        <v>60157.4</v>
      </c>
      <c r="I22" s="379">
        <f t="shared" si="13"/>
        <v>19987.200000000004</v>
      </c>
      <c r="J22" s="226">
        <f t="shared" si="3"/>
        <v>17674.799999999996</v>
      </c>
      <c r="K22" s="225">
        <f t="shared" si="14"/>
        <v>983370.24000000022</v>
      </c>
      <c r="L22" s="225">
        <f t="shared" si="4"/>
        <v>770621.2799999998</v>
      </c>
      <c r="M22" s="226">
        <f t="shared" si="5"/>
        <v>1753991.52</v>
      </c>
      <c r="N22" s="225">
        <f t="shared" si="15"/>
        <v>1601569.6569120002</v>
      </c>
      <c r="O22" s="226">
        <f t="shared" si="6"/>
        <v>152421.86308800001</v>
      </c>
      <c r="P22" s="386">
        <f t="shared" si="16"/>
        <v>1.5214911740664001</v>
      </c>
      <c r="Q22" s="387">
        <f t="shared" si="17"/>
        <v>1.9218835882944003E-2</v>
      </c>
      <c r="R22" s="387">
        <f t="shared" si="18"/>
        <v>7.2070634561040006E-3</v>
      </c>
      <c r="S22" s="390">
        <f t="shared" si="19"/>
        <v>822.40601882431213</v>
      </c>
      <c r="T22" s="387">
        <f t="shared" si="20"/>
        <v>1.9603212600602882</v>
      </c>
      <c r="U22" s="451">
        <f t="shared" si="7"/>
        <v>1.3128095067769441</v>
      </c>
      <c r="V22" s="452">
        <f t="shared" si="21"/>
        <v>1.4022811404096E-3</v>
      </c>
      <c r="W22" s="384">
        <f t="shared" si="22"/>
        <v>3.0789216343776002E-2</v>
      </c>
      <c r="X22" s="384">
        <f t="shared" si="8"/>
        <v>293.3184435228431</v>
      </c>
      <c r="Y22" s="450">
        <f t="shared" si="23"/>
        <v>6.8132572800336008E-2</v>
      </c>
      <c r="Z22" s="228">
        <v>18000</v>
      </c>
      <c r="AA22" s="228">
        <v>48200</v>
      </c>
      <c r="AB22" s="228">
        <v>852700</v>
      </c>
      <c r="AC22" s="228">
        <v>72</v>
      </c>
      <c r="AD22" s="229">
        <f t="shared" si="9"/>
        <v>1958</v>
      </c>
      <c r="AE22" s="429">
        <f t="shared" si="24"/>
        <v>51017.412255180192</v>
      </c>
      <c r="AF22" s="429">
        <f t="shared" si="25"/>
        <v>993.93784052564365</v>
      </c>
      <c r="AG22" s="429">
        <f t="shared" si="26"/>
        <v>32399.427785357679</v>
      </c>
      <c r="AH22" s="429">
        <f t="shared" si="27"/>
        <v>80332.161288995179</v>
      </c>
      <c r="AI22" s="429">
        <f t="shared" si="28"/>
        <v>3971.7126047411025</v>
      </c>
      <c r="AJ22" s="430">
        <f t="shared" si="29"/>
        <v>168714.6517747998</v>
      </c>
      <c r="AK22" s="375">
        <f>'A - Inputs'!J65</f>
        <v>1</v>
      </c>
      <c r="AL22" s="398">
        <f>IF(OR($A22&lt;BenefitStart,B22&gt;'A - Inputs'!$C$11),0,AJ22*AK22)</f>
        <v>168714.6517747998</v>
      </c>
      <c r="AM22" s="398">
        <f>AL22/(1+0.03)^($A22-'A - Inputs'!$C$6)</f>
        <v>90692.438896793363</v>
      </c>
      <c r="AN22" s="398">
        <f>AL22/(1+0.07)^($A22-'A - Inputs'!$C$6)</f>
        <v>40746.796328722303</v>
      </c>
      <c r="AO22" s="2"/>
      <c r="AQ22" s="214" t="s">
        <v>176</v>
      </c>
      <c r="AR22" s="249">
        <v>1.2E-2</v>
      </c>
      <c r="AS22" s="249">
        <v>9.1999999999999998E-3</v>
      </c>
      <c r="AT22" s="214" t="s">
        <v>185</v>
      </c>
      <c r="AU22" s="307" t="s">
        <v>510</v>
      </c>
    </row>
    <row r="23" spans="1:49" ht="15" customHeight="1" x14ac:dyDescent="0.25">
      <c r="A23" s="396">
        <f t="shared" si="10"/>
        <v>2041</v>
      </c>
      <c r="B23" s="380">
        <f t="shared" si="11"/>
        <v>19</v>
      </c>
      <c r="C23" s="223">
        <f>IF(A23&gt;=BenefitStart,'A - Inputs'!M66,'A - Inputs'!L66)</f>
        <v>49.05</v>
      </c>
      <c r="D23" s="224">
        <f>IF(A23&gt;=BenefitStart,'A - Inputs'!O66,'A - Inputs'!N66)</f>
        <v>43.4</v>
      </c>
      <c r="E23" s="381">
        <f t="shared" si="33"/>
        <v>60430.45</v>
      </c>
      <c r="F23" s="276">
        <f t="shared" si="30"/>
        <v>39097.65</v>
      </c>
      <c r="G23" s="275">
        <f t="shared" si="31"/>
        <v>79705.8</v>
      </c>
      <c r="H23" s="276">
        <f t="shared" si="32"/>
        <v>61702.85</v>
      </c>
      <c r="I23" s="379">
        <f t="shared" si="13"/>
        <v>21332.799999999996</v>
      </c>
      <c r="J23" s="226">
        <f t="shared" si="3"/>
        <v>18002.950000000004</v>
      </c>
      <c r="K23" s="225">
        <f t="shared" si="14"/>
        <v>1046373.8399999997</v>
      </c>
      <c r="L23" s="225">
        <f t="shared" si="4"/>
        <v>781328.03000000014</v>
      </c>
      <c r="M23" s="226">
        <f t="shared" si="5"/>
        <v>1827701.8699999999</v>
      </c>
      <c r="N23" s="225">
        <f t="shared" si="15"/>
        <v>1668874.5774969999</v>
      </c>
      <c r="O23" s="226">
        <f t="shared" si="6"/>
        <v>158827.292503</v>
      </c>
      <c r="P23" s="386">
        <f t="shared" si="16"/>
        <v>1.5854308486221498</v>
      </c>
      <c r="Q23" s="387">
        <f t="shared" si="17"/>
        <v>2.0026494929964E-2</v>
      </c>
      <c r="R23" s="387">
        <f t="shared" si="18"/>
        <v>7.5099355987364984E-3</v>
      </c>
      <c r="S23" s="390">
        <f t="shared" si="19"/>
        <v>856.96709554470942</v>
      </c>
      <c r="T23" s="387">
        <f t="shared" si="20"/>
        <v>2.0427024828563281</v>
      </c>
      <c r="U23" s="451">
        <f t="shared" si="7"/>
        <v>1.367979470328339</v>
      </c>
      <c r="V23" s="452">
        <f t="shared" si="21"/>
        <v>1.4612110910276002E-3</v>
      </c>
      <c r="W23" s="384">
        <f t="shared" si="22"/>
        <v>3.2083113085606005E-2</v>
      </c>
      <c r="X23" s="384">
        <f t="shared" si="8"/>
        <v>305.64495986399623</v>
      </c>
      <c r="Y23" s="450">
        <f t="shared" si="23"/>
        <v>7.0995799748841001E-2</v>
      </c>
      <c r="Z23" s="228">
        <v>18000</v>
      </c>
      <c r="AA23" s="228">
        <v>48200</v>
      </c>
      <c r="AB23" s="228">
        <v>852700</v>
      </c>
      <c r="AC23" s="228">
        <v>73</v>
      </c>
      <c r="AD23" s="229">
        <f t="shared" si="9"/>
        <v>1958</v>
      </c>
      <c r="AE23" s="429">
        <f t="shared" si="24"/>
        <v>53161.385741108803</v>
      </c>
      <c r="AF23" s="429">
        <f t="shared" si="25"/>
        <v>1035.7074302117951</v>
      </c>
      <c r="AG23" s="429">
        <f t="shared" si="26"/>
        <v>33760.992613138857</v>
      </c>
      <c r="AH23" s="429">
        <f t="shared" si="27"/>
        <v>84870.680044835506</v>
      </c>
      <c r="AI23" s="429">
        <f t="shared" si="28"/>
        <v>4138.6212373409207</v>
      </c>
      <c r="AJ23" s="430">
        <f t="shared" si="29"/>
        <v>176967.38706663589</v>
      </c>
      <c r="AK23" s="375">
        <f>'A - Inputs'!J66</f>
        <v>1</v>
      </c>
      <c r="AL23" s="398">
        <f>IF(OR($A23&lt;BenefitStart,B23&gt;'A - Inputs'!$C$11),0,AJ23*AK23)</f>
        <v>176967.38706663589</v>
      </c>
      <c r="AM23" s="398">
        <f>AL23/(1+0.03)^($A23-'A - Inputs'!$C$6)</f>
        <v>92357.952210863121</v>
      </c>
      <c r="AN23" s="398">
        <f>AL23/(1+0.07)^($A23-'A - Inputs'!$C$6)</f>
        <v>39943.869068334323</v>
      </c>
      <c r="AO23" s="2"/>
      <c r="AR23" s="239"/>
      <c r="AS23" s="239"/>
    </row>
    <row r="24" spans="1:49" ht="15" customHeight="1" x14ac:dyDescent="0.25">
      <c r="A24" s="396">
        <f t="shared" si="10"/>
        <v>2042</v>
      </c>
      <c r="B24" s="380">
        <f t="shared" si="11"/>
        <v>20</v>
      </c>
      <c r="C24" s="223">
        <f>IF(A24&gt;=BenefitStart,'A - Inputs'!M67,'A - Inputs'!L67)</f>
        <v>48.9</v>
      </c>
      <c r="D24" s="224">
        <f>IF(A24&gt;=BenefitStart,'A - Inputs'!O67,'A - Inputs'!N67)</f>
        <v>43.2</v>
      </c>
      <c r="E24" s="381">
        <f t="shared" si="33"/>
        <v>62342.1</v>
      </c>
      <c r="F24" s="276">
        <f t="shared" si="30"/>
        <v>39663.699999999997</v>
      </c>
      <c r="G24" s="275">
        <f t="shared" si="31"/>
        <v>81579.399999999994</v>
      </c>
      <c r="H24" s="276">
        <f t="shared" si="32"/>
        <v>63248.3</v>
      </c>
      <c r="I24" s="379">
        <f t="shared" si="13"/>
        <v>22678.400000000001</v>
      </c>
      <c r="J24" s="226">
        <f t="shared" si="3"/>
        <v>18331.099999999991</v>
      </c>
      <c r="K24" s="225">
        <f t="shared" si="14"/>
        <v>1108973.76</v>
      </c>
      <c r="L24" s="225">
        <f t="shared" si="4"/>
        <v>791903.51999999967</v>
      </c>
      <c r="M24" s="226">
        <f t="shared" si="5"/>
        <v>1900877.2799999998</v>
      </c>
      <c r="N24" s="225">
        <f t="shared" si="15"/>
        <v>1735691.0443679998</v>
      </c>
      <c r="O24" s="226">
        <f t="shared" si="6"/>
        <v>165186.235632</v>
      </c>
      <c r="P24" s="386">
        <f t="shared" si="16"/>
        <v>1.6489064921495995</v>
      </c>
      <c r="Q24" s="387">
        <f t="shared" si="17"/>
        <v>2.0828292532415998E-2</v>
      </c>
      <c r="R24" s="387">
        <f t="shared" si="18"/>
        <v>7.8106096996559985E-3</v>
      </c>
      <c r="S24" s="390">
        <f t="shared" si="19"/>
        <v>891.27735128296797</v>
      </c>
      <c r="T24" s="387">
        <f t="shared" si="20"/>
        <v>2.1244858383064318</v>
      </c>
      <c r="U24" s="451">
        <f t="shared" si="7"/>
        <v>1.4227490474984159</v>
      </c>
      <c r="V24" s="452">
        <f t="shared" si="21"/>
        <v>1.5197133678144E-3</v>
      </c>
      <c r="W24" s="384">
        <f t="shared" si="22"/>
        <v>3.3367619597664003E-2</v>
      </c>
      <c r="X24" s="384">
        <f t="shared" si="8"/>
        <v>317.88201866422685</v>
      </c>
      <c r="Y24" s="450">
        <f t="shared" si="23"/>
        <v>7.3838247327503992E-2</v>
      </c>
      <c r="Z24" s="228">
        <v>18000</v>
      </c>
      <c r="AA24" s="228">
        <v>48200</v>
      </c>
      <c r="AB24" s="228">
        <v>852700</v>
      </c>
      <c r="AC24" s="228">
        <v>75</v>
      </c>
      <c r="AD24" s="229">
        <f t="shared" si="9"/>
        <v>1958</v>
      </c>
      <c r="AE24" s="429">
        <f t="shared" si="24"/>
        <v>55289.799713664281</v>
      </c>
      <c r="AF24" s="429">
        <f t="shared" si="25"/>
        <v>1077.1738843911053</v>
      </c>
      <c r="AG24" s="429">
        <f t="shared" si="26"/>
        <v>35112.676121824763</v>
      </c>
      <c r="AH24" s="429">
        <f t="shared" si="27"/>
        <v>90686.952746039606</v>
      </c>
      <c r="AI24" s="429">
        <f t="shared" si="28"/>
        <v>4304.3185596712465</v>
      </c>
      <c r="AJ24" s="430">
        <f t="shared" si="29"/>
        <v>186470.921025591</v>
      </c>
      <c r="AK24" s="375">
        <f>'A - Inputs'!J67</f>
        <v>1</v>
      </c>
      <c r="AL24" s="398">
        <f>IF(OR($A24&lt;BenefitStart,B24&gt;'A - Inputs'!$C$11),0,AJ24*AK24)</f>
        <v>186470.921025591</v>
      </c>
      <c r="AM24" s="398">
        <f>AL24/(1+0.03)^($A24-'A - Inputs'!$C$6)</f>
        <v>94483.277005752214</v>
      </c>
      <c r="AN24" s="398">
        <f>AL24/(1+0.07)^($A24-'A - Inputs'!$C$6)</f>
        <v>39335.459624859606</v>
      </c>
      <c r="AO24" s="2"/>
      <c r="AQ24" s="240" t="s">
        <v>186</v>
      </c>
    </row>
    <row r="25" spans="1:49" ht="15" customHeight="1" x14ac:dyDescent="0.25">
      <c r="A25" s="396">
        <f t="shared" si="10"/>
        <v>2043</v>
      </c>
      <c r="B25" s="380">
        <f t="shared" si="11"/>
        <v>21</v>
      </c>
      <c r="C25" s="223">
        <f>IF(A25&gt;=BenefitStart,'A - Inputs'!M68,'A - Inputs'!L68)</f>
        <v>48.75</v>
      </c>
      <c r="D25" s="224">
        <f>IF(A25&gt;=BenefitStart,'A - Inputs'!O68,'A - Inputs'!N68)</f>
        <v>43</v>
      </c>
      <c r="E25" s="381">
        <f t="shared" si="33"/>
        <v>64253.75</v>
      </c>
      <c r="F25" s="276">
        <f t="shared" si="30"/>
        <v>40229.75</v>
      </c>
      <c r="G25" s="275">
        <f t="shared" si="31"/>
        <v>83453</v>
      </c>
      <c r="H25" s="276">
        <f t="shared" si="32"/>
        <v>64793.75</v>
      </c>
      <c r="I25" s="379">
        <f t="shared" si="13"/>
        <v>24024</v>
      </c>
      <c r="J25" s="226">
        <f t="shared" si="3"/>
        <v>18659.25</v>
      </c>
      <c r="K25" s="225">
        <f t="shared" si="14"/>
        <v>1171170</v>
      </c>
      <c r="L25" s="225">
        <f t="shared" si="4"/>
        <v>802347.75</v>
      </c>
      <c r="M25" s="226">
        <f t="shared" si="5"/>
        <v>1973517.75</v>
      </c>
      <c r="N25" s="225">
        <f t="shared" si="15"/>
        <v>1802019.0575250001</v>
      </c>
      <c r="O25" s="226">
        <f t="shared" si="6"/>
        <v>171498.69247500002</v>
      </c>
      <c r="P25" s="386">
        <f t="shared" si="16"/>
        <v>1.7119181046487499</v>
      </c>
      <c r="Q25" s="387">
        <f t="shared" si="17"/>
        <v>2.1624228690300003E-2</v>
      </c>
      <c r="R25" s="387">
        <f t="shared" si="18"/>
        <v>8.1090857588624991E-3</v>
      </c>
      <c r="S25" s="390">
        <f t="shared" si="19"/>
        <v>925.33678603908754</v>
      </c>
      <c r="T25" s="387">
        <f t="shared" si="20"/>
        <v>2.2056713264106</v>
      </c>
      <c r="U25" s="451">
        <f t="shared" si="7"/>
        <v>1.477118238287175</v>
      </c>
      <c r="V25" s="452">
        <f t="shared" si="21"/>
        <v>1.5777879707700002E-3</v>
      </c>
      <c r="W25" s="384">
        <f t="shared" si="22"/>
        <v>3.464273587995001E-2</v>
      </c>
      <c r="X25" s="384">
        <f t="shared" si="8"/>
        <v>330.02961992353499</v>
      </c>
      <c r="Y25" s="450">
        <f t="shared" si="23"/>
        <v>7.6659915536325007E-2</v>
      </c>
      <c r="Z25" s="228">
        <v>18000</v>
      </c>
      <c r="AA25" s="228">
        <v>48200</v>
      </c>
      <c r="AB25" s="228">
        <v>852700</v>
      </c>
      <c r="AC25" s="228">
        <v>76</v>
      </c>
      <c r="AD25" s="229">
        <f t="shared" si="9"/>
        <v>1958</v>
      </c>
      <c r="AE25" s="429">
        <f t="shared" si="24"/>
        <v>57402.654172846647</v>
      </c>
      <c r="AF25" s="429">
        <f t="shared" si="25"/>
        <v>1118.3372030635742</v>
      </c>
      <c r="AG25" s="429">
        <f t="shared" si="26"/>
        <v>36454.478311415427</v>
      </c>
      <c r="AH25" s="429">
        <f t="shared" si="27"/>
        <v>95407.84685315931</v>
      </c>
      <c r="AI25" s="429">
        <f t="shared" si="28"/>
        <v>4468.8045717320792</v>
      </c>
      <c r="AJ25" s="430">
        <f t="shared" si="29"/>
        <v>194852.12111221705</v>
      </c>
      <c r="AK25" s="375">
        <f>'A - Inputs'!J68</f>
        <v>1</v>
      </c>
      <c r="AL25" s="398">
        <f>IF(OR($A25&lt;BenefitStart,B25&gt;'A - Inputs'!$C$11),0,AJ25*AK25)</f>
        <v>194852.12111221705</v>
      </c>
      <c r="AM25" s="398">
        <f>AL25/(1+0.03)^($A25-'A - Inputs'!$C$6)</f>
        <v>95854.331972411543</v>
      </c>
      <c r="AN25" s="398">
        <f>AL25/(1+0.07)^($A25-'A - Inputs'!$C$6)</f>
        <v>38414.437067127095</v>
      </c>
      <c r="AO25" s="2"/>
      <c r="AQ25" s="214" t="s">
        <v>187</v>
      </c>
    </row>
    <row r="26" spans="1:49" ht="15" customHeight="1" x14ac:dyDescent="0.25">
      <c r="A26" s="396">
        <f t="shared" si="10"/>
        <v>2044</v>
      </c>
      <c r="B26" s="380">
        <f t="shared" si="11"/>
        <v>22</v>
      </c>
      <c r="C26" s="223">
        <f>IF(A26&gt;=BenefitStart,'A - Inputs'!M69,'A - Inputs'!L69)</f>
        <v>48.6</v>
      </c>
      <c r="D26" s="224">
        <f>IF(A26&gt;=BenefitStart,'A - Inputs'!O69,'A - Inputs'!N69)</f>
        <v>42.8</v>
      </c>
      <c r="E26" s="381">
        <f t="shared" si="33"/>
        <v>66165.399999999994</v>
      </c>
      <c r="F26" s="276">
        <f t="shared" si="30"/>
        <v>40795.800000000003</v>
      </c>
      <c r="G26" s="275">
        <f t="shared" si="31"/>
        <v>85326.6</v>
      </c>
      <c r="H26" s="276">
        <f t="shared" si="32"/>
        <v>66339.199999999997</v>
      </c>
      <c r="I26" s="379">
        <f t="shared" si="13"/>
        <v>25369.599999999991</v>
      </c>
      <c r="J26" s="226">
        <f t="shared" si="3"/>
        <v>18987.400000000009</v>
      </c>
      <c r="K26" s="225">
        <f t="shared" si="14"/>
        <v>1232962.5599999996</v>
      </c>
      <c r="L26" s="225">
        <f t="shared" si="4"/>
        <v>812660.72000000032</v>
      </c>
      <c r="M26" s="226">
        <f t="shared" si="5"/>
        <v>2045623.2799999998</v>
      </c>
      <c r="N26" s="225">
        <f t="shared" si="15"/>
        <v>1867858.6169679998</v>
      </c>
      <c r="O26" s="226">
        <f t="shared" si="6"/>
        <v>177764.66303199998</v>
      </c>
      <c r="P26" s="386">
        <f t="shared" si="16"/>
        <v>1.7744656861195998</v>
      </c>
      <c r="Q26" s="387">
        <f t="shared" si="17"/>
        <v>2.2414303403615998E-2</v>
      </c>
      <c r="R26" s="387">
        <f t="shared" si="18"/>
        <v>8.4053637763559976E-3</v>
      </c>
      <c r="S26" s="390">
        <f t="shared" si="19"/>
        <v>959.14539981306791</v>
      </c>
      <c r="T26" s="387">
        <f t="shared" si="20"/>
        <v>2.2862589471688319</v>
      </c>
      <c r="U26" s="451">
        <f t="shared" si="7"/>
        <v>1.5310870426946157</v>
      </c>
      <c r="V26" s="452">
        <f t="shared" si="21"/>
        <v>1.6354348998943999E-3</v>
      </c>
      <c r="W26" s="384">
        <f t="shared" si="22"/>
        <v>3.5908461932463998E-2</v>
      </c>
      <c r="X26" s="384">
        <f t="shared" si="8"/>
        <v>342.08776364192056</v>
      </c>
      <c r="Y26" s="450">
        <f t="shared" si="23"/>
        <v>7.9460804375303992E-2</v>
      </c>
      <c r="Z26" s="228">
        <v>18000</v>
      </c>
      <c r="AA26" s="228">
        <v>48200</v>
      </c>
      <c r="AB26" s="228">
        <v>852700</v>
      </c>
      <c r="AC26" s="228">
        <v>77</v>
      </c>
      <c r="AD26" s="229">
        <f t="shared" si="9"/>
        <v>1958</v>
      </c>
      <c r="AE26" s="429">
        <f t="shared" si="24"/>
        <v>59499.949118655881</v>
      </c>
      <c r="AF26" s="429">
        <f t="shared" si="25"/>
        <v>1159.1973862292011</v>
      </c>
      <c r="AG26" s="429">
        <f t="shared" si="26"/>
        <v>37786.399181910812</v>
      </c>
      <c r="AH26" s="429">
        <f t="shared" si="27"/>
        <v>100194.95358603411</v>
      </c>
      <c r="AI26" s="429">
        <f t="shared" si="28"/>
        <v>4632.0792735234181</v>
      </c>
      <c r="AJ26" s="430">
        <f t="shared" si="29"/>
        <v>203272.57854635344</v>
      </c>
      <c r="AK26" s="375">
        <f>'A - Inputs'!J69</f>
        <v>1</v>
      </c>
      <c r="AL26" s="398">
        <f>IF(OR($A26&lt;BenefitStart,B26&gt;'A - Inputs'!$C$11),0,AJ26*AK26)</f>
        <v>203272.57854635344</v>
      </c>
      <c r="AM26" s="398">
        <f>AL26/(1+0.03)^($A26-'A - Inputs'!$C$6)</f>
        <v>97084.115591916561</v>
      </c>
      <c r="AN26" s="398">
        <f>AL26/(1+0.07)^($A26-'A - Inputs'!$C$6)</f>
        <v>37452.805409990462</v>
      </c>
      <c r="AO26" s="2"/>
      <c r="AQ26" s="241" t="s">
        <v>188</v>
      </c>
      <c r="AR26" s="241"/>
      <c r="AS26" s="242"/>
      <c r="AT26" s="242"/>
      <c r="AU26" s="242"/>
      <c r="AV26" s="242"/>
      <c r="AW26" s="242"/>
    </row>
    <row r="27" spans="1:49" ht="15" customHeight="1" x14ac:dyDescent="0.25">
      <c r="A27" s="396">
        <f t="shared" si="10"/>
        <v>2045</v>
      </c>
      <c r="B27" s="380">
        <f t="shared" si="11"/>
        <v>23</v>
      </c>
      <c r="C27" s="223">
        <f>IF(A27&gt;=BenefitStart,'A - Inputs'!M70,'A - Inputs'!L70)</f>
        <v>48.45</v>
      </c>
      <c r="D27" s="224">
        <f>IF(A27&gt;=BenefitStart,'A - Inputs'!O70,'A - Inputs'!N70)</f>
        <v>42.6</v>
      </c>
      <c r="E27" s="381">
        <f t="shared" si="33"/>
        <v>68077.05</v>
      </c>
      <c r="F27" s="276">
        <f t="shared" si="30"/>
        <v>41361.85</v>
      </c>
      <c r="G27" s="275">
        <f t="shared" si="31"/>
        <v>87200.2</v>
      </c>
      <c r="H27" s="276">
        <f t="shared" si="32"/>
        <v>67884.649999999994</v>
      </c>
      <c r="I27" s="379">
        <f t="shared" si="13"/>
        <v>26715.200000000004</v>
      </c>
      <c r="J27" s="226">
        <f t="shared" si="3"/>
        <v>19315.550000000003</v>
      </c>
      <c r="K27" s="225">
        <f t="shared" si="14"/>
        <v>1294351.4400000002</v>
      </c>
      <c r="L27" s="225">
        <f t="shared" si="4"/>
        <v>822842.43000000017</v>
      </c>
      <c r="M27" s="226">
        <f t="shared" si="5"/>
        <v>2117193.87</v>
      </c>
      <c r="N27" s="225">
        <f t="shared" si="15"/>
        <v>1933209.7226970003</v>
      </c>
      <c r="O27" s="226">
        <f t="shared" si="6"/>
        <v>183984.14730300003</v>
      </c>
      <c r="P27" s="386">
        <f t="shared" si="16"/>
        <v>1.8365492365621501</v>
      </c>
      <c r="Q27" s="387">
        <f t="shared" si="17"/>
        <v>2.3198516672364004E-2</v>
      </c>
      <c r="R27" s="387">
        <f t="shared" si="18"/>
        <v>8.6994437521365001E-3</v>
      </c>
      <c r="S27" s="390">
        <f t="shared" si="19"/>
        <v>992.70319260490965</v>
      </c>
      <c r="T27" s="387">
        <f t="shared" si="20"/>
        <v>2.3662487005811284</v>
      </c>
      <c r="U27" s="451">
        <f t="shared" si="7"/>
        <v>1.5846554607207393</v>
      </c>
      <c r="V27" s="452">
        <f t="shared" si="21"/>
        <v>1.6926541551876002E-3</v>
      </c>
      <c r="W27" s="384">
        <f t="shared" si="22"/>
        <v>3.7164797755206008E-2</v>
      </c>
      <c r="X27" s="384">
        <f t="shared" si="8"/>
        <v>354.05644981938383</v>
      </c>
      <c r="Y27" s="450">
        <f t="shared" si="23"/>
        <v>8.2240913844441016E-2</v>
      </c>
      <c r="Z27" s="228">
        <v>18000</v>
      </c>
      <c r="AA27" s="228">
        <v>48200</v>
      </c>
      <c r="AB27" s="228">
        <v>852700</v>
      </c>
      <c r="AC27" s="228">
        <v>78</v>
      </c>
      <c r="AD27" s="229">
        <f t="shared" si="9"/>
        <v>1958</v>
      </c>
      <c r="AE27" s="429">
        <f t="shared" si="24"/>
        <v>61581.68455109201</v>
      </c>
      <c r="AF27" s="429">
        <f t="shared" si="25"/>
        <v>1199.7544338879873</v>
      </c>
      <c r="AG27" s="429">
        <f t="shared" si="26"/>
        <v>39108.438733310955</v>
      </c>
      <c r="AH27" s="429">
        <f t="shared" si="27"/>
        <v>105047.25210909489</v>
      </c>
      <c r="AI27" s="429">
        <f t="shared" si="28"/>
        <v>4794.1426650452649</v>
      </c>
      <c r="AJ27" s="430">
        <f t="shared" si="29"/>
        <v>211731.2724924311</v>
      </c>
      <c r="AK27" s="375">
        <f>'A - Inputs'!J70</f>
        <v>1</v>
      </c>
      <c r="AL27" s="398">
        <f>IF(OR($A27&lt;BenefitStart,B27&gt;'A - Inputs'!$C$11),0,AJ27*AK27)</f>
        <v>211731.2724924311</v>
      </c>
      <c r="AM27" s="398">
        <f>AL27/(1+0.03)^($A27-'A - Inputs'!$C$6)</f>
        <v>98178.674688585554</v>
      </c>
      <c r="AN27" s="398">
        <f>AL27/(1+0.07)^($A27-'A - Inputs'!$C$6)</f>
        <v>36459.170852773481</v>
      </c>
      <c r="AO27" s="2"/>
      <c r="AQ27" s="242"/>
      <c r="AR27" s="242"/>
      <c r="AS27" s="242"/>
      <c r="AT27" s="242"/>
      <c r="AU27" s="242"/>
      <c r="AV27" s="242"/>
      <c r="AW27" s="242"/>
    </row>
    <row r="28" spans="1:49" ht="15" customHeight="1" x14ac:dyDescent="0.25">
      <c r="A28" s="396">
        <f t="shared" si="10"/>
        <v>2046</v>
      </c>
      <c r="B28" s="380">
        <f t="shared" si="11"/>
        <v>24</v>
      </c>
      <c r="C28" s="223">
        <f>IF(A28&gt;=BenefitStart,'A - Inputs'!M71,'A - Inputs'!L71)</f>
        <v>48.3</v>
      </c>
      <c r="D28" s="224">
        <f>IF(A28&gt;=BenefitStart,'A - Inputs'!O71,'A - Inputs'!N71)</f>
        <v>42.4</v>
      </c>
      <c r="E28" s="381">
        <f t="shared" si="33"/>
        <v>69988.7</v>
      </c>
      <c r="F28" s="276">
        <f t="shared" si="30"/>
        <v>41927.9</v>
      </c>
      <c r="G28" s="275">
        <f t="shared" si="31"/>
        <v>89073.8</v>
      </c>
      <c r="H28" s="276">
        <f t="shared" si="32"/>
        <v>69430.100000000006</v>
      </c>
      <c r="I28" s="379">
        <f t="shared" si="13"/>
        <v>28060.799999999996</v>
      </c>
      <c r="J28" s="226">
        <f t="shared" si="3"/>
        <v>19643.699999999997</v>
      </c>
      <c r="K28" s="225">
        <f t="shared" si="14"/>
        <v>1355336.6399999997</v>
      </c>
      <c r="L28" s="225">
        <f t="shared" si="4"/>
        <v>832892.87999999989</v>
      </c>
      <c r="M28" s="226">
        <f t="shared" si="5"/>
        <v>2188229.5199999996</v>
      </c>
      <c r="N28" s="225">
        <f t="shared" si="15"/>
        <v>1998072.3747119997</v>
      </c>
      <c r="O28" s="226">
        <f t="shared" si="6"/>
        <v>190157.14528799997</v>
      </c>
      <c r="P28" s="386">
        <f t="shared" si="16"/>
        <v>1.8981687559763996</v>
      </c>
      <c r="Q28" s="387">
        <f t="shared" si="17"/>
        <v>2.3976868496543995E-2</v>
      </c>
      <c r="R28" s="387">
        <f t="shared" si="18"/>
        <v>8.9913256862039978E-3</v>
      </c>
      <c r="S28" s="390">
        <f t="shared" si="19"/>
        <v>1026.0101644146118</v>
      </c>
      <c r="T28" s="387">
        <f t="shared" si="20"/>
        <v>2.4456405866474875</v>
      </c>
      <c r="U28" s="451">
        <f t="shared" si="7"/>
        <v>1.6378234923655437</v>
      </c>
      <c r="V28" s="452">
        <f t="shared" si="21"/>
        <v>1.7494457366495997E-3</v>
      </c>
      <c r="W28" s="384">
        <f t="shared" si="22"/>
        <v>3.8411743348175993E-2</v>
      </c>
      <c r="X28" s="384">
        <f t="shared" si="8"/>
        <v>365.93567845592429</v>
      </c>
      <c r="Y28" s="450">
        <f t="shared" si="23"/>
        <v>8.5000243943735981E-2</v>
      </c>
      <c r="Z28" s="228">
        <v>18000</v>
      </c>
      <c r="AA28" s="228">
        <v>48200</v>
      </c>
      <c r="AB28" s="228">
        <v>852700</v>
      </c>
      <c r="AC28" s="228">
        <v>79</v>
      </c>
      <c r="AD28" s="229">
        <f t="shared" si="9"/>
        <v>1958</v>
      </c>
      <c r="AE28" s="429">
        <f t="shared" si="24"/>
        <v>63647.860470154978</v>
      </c>
      <c r="AF28" s="429">
        <f t="shared" si="25"/>
        <v>1240.0083460399314</v>
      </c>
      <c r="AG28" s="429">
        <f t="shared" si="26"/>
        <v>40420.596965615819</v>
      </c>
      <c r="AH28" s="429">
        <f t="shared" si="27"/>
        <v>109963.72158677236</v>
      </c>
      <c r="AI28" s="429">
        <f t="shared" si="28"/>
        <v>4954.9947462976152</v>
      </c>
      <c r="AJ28" s="430">
        <f t="shared" si="29"/>
        <v>220227.18211488071</v>
      </c>
      <c r="AK28" s="375">
        <f>'A - Inputs'!J71</f>
        <v>1</v>
      </c>
      <c r="AL28" s="398">
        <f>IF(OR($A28&lt;BenefitStart,B28&gt;'A - Inputs'!$C$11),0,AJ28*AK28)</f>
        <v>220227.18211488071</v>
      </c>
      <c r="AM28" s="398">
        <f>AL28/(1+0.03)^($A28-'A - Inputs'!$C$6)</f>
        <v>99143.867170203404</v>
      </c>
      <c r="AN28" s="398">
        <f>AL28/(1+0.07)^($A28-'A - Inputs'!$C$6)</f>
        <v>35441.241307282064</v>
      </c>
      <c r="AO28" s="2"/>
      <c r="AQ28" s="232" t="s">
        <v>189</v>
      </c>
    </row>
    <row r="29" spans="1:49" ht="15" customHeight="1" x14ac:dyDescent="0.25">
      <c r="A29" s="396">
        <f t="shared" si="10"/>
        <v>2047</v>
      </c>
      <c r="B29" s="380">
        <f t="shared" si="11"/>
        <v>25</v>
      </c>
      <c r="C29" s="223">
        <f>IF(A29&gt;=BenefitStart,'A - Inputs'!M72,'A - Inputs'!L72)</f>
        <v>48.15</v>
      </c>
      <c r="D29" s="224">
        <f>IF(A29&gt;=BenefitStart,'A - Inputs'!O72,'A - Inputs'!N72)</f>
        <v>42.2</v>
      </c>
      <c r="E29" s="381">
        <f t="shared" si="33"/>
        <v>71900.350000000006</v>
      </c>
      <c r="F29" s="276">
        <f t="shared" si="30"/>
        <v>42493.95</v>
      </c>
      <c r="G29" s="275">
        <f t="shared" si="31"/>
        <v>90947.4</v>
      </c>
      <c r="H29" s="276">
        <f t="shared" si="32"/>
        <v>70975.55</v>
      </c>
      <c r="I29" s="379">
        <f t="shared" si="13"/>
        <v>29406.400000000009</v>
      </c>
      <c r="J29" s="226">
        <f t="shared" si="3"/>
        <v>19971.849999999991</v>
      </c>
      <c r="K29" s="225">
        <f t="shared" si="14"/>
        <v>1415918.1600000004</v>
      </c>
      <c r="L29" s="225">
        <f t="shared" si="4"/>
        <v>842812.06999999972</v>
      </c>
      <c r="M29" s="226">
        <f t="shared" si="5"/>
        <v>2258730.23</v>
      </c>
      <c r="N29" s="225">
        <f t="shared" si="15"/>
        <v>2062446.573013</v>
      </c>
      <c r="O29" s="226">
        <f t="shared" si="6"/>
        <v>196283.65698700002</v>
      </c>
      <c r="P29" s="386">
        <f t="shared" si="16"/>
        <v>1.9593242443623498</v>
      </c>
      <c r="Q29" s="387">
        <f t="shared" si="17"/>
        <v>2.4749358876155998E-2</v>
      </c>
      <c r="R29" s="387">
        <f t="shared" si="18"/>
        <v>9.2810095785584995E-3</v>
      </c>
      <c r="S29" s="390">
        <f t="shared" si="19"/>
        <v>1059.0663152421755</v>
      </c>
      <c r="T29" s="387">
        <f t="shared" si="20"/>
        <v>2.5244346053679121</v>
      </c>
      <c r="U29" s="451">
        <f t="shared" si="7"/>
        <v>1.6905911376290312</v>
      </c>
      <c r="V29" s="452">
        <f t="shared" si="21"/>
        <v>1.8058096442804001E-3</v>
      </c>
      <c r="W29" s="384">
        <f t="shared" si="22"/>
        <v>3.9649298711374008E-2</v>
      </c>
      <c r="X29" s="384">
        <f t="shared" si="8"/>
        <v>377.72544955154257</v>
      </c>
      <c r="Y29" s="450">
        <f t="shared" si="23"/>
        <v>8.7738794673189013E-2</v>
      </c>
      <c r="Z29" s="228">
        <v>18000</v>
      </c>
      <c r="AA29" s="228">
        <v>48200</v>
      </c>
      <c r="AB29" s="228">
        <v>852700</v>
      </c>
      <c r="AC29" s="228">
        <v>80</v>
      </c>
      <c r="AD29" s="229">
        <f t="shared" si="9"/>
        <v>1958</v>
      </c>
      <c r="AE29" s="429">
        <f t="shared" si="24"/>
        <v>65698.476875844848</v>
      </c>
      <c r="AF29" s="429">
        <f t="shared" si="25"/>
        <v>1279.9591226850343</v>
      </c>
      <c r="AG29" s="429">
        <f t="shared" si="26"/>
        <v>41722.873878825449</v>
      </c>
      <c r="AH29" s="429">
        <f t="shared" si="27"/>
        <v>114943.34118349745</v>
      </c>
      <c r="AI29" s="429">
        <f t="shared" si="28"/>
        <v>5114.6355172804761</v>
      </c>
      <c r="AJ29" s="430">
        <f t="shared" si="29"/>
        <v>228759.28657813324</v>
      </c>
      <c r="AK29" s="375">
        <f>'A - Inputs'!J72</f>
        <v>1</v>
      </c>
      <c r="AL29" s="398">
        <f>IF(OR($A29&lt;BenefitStart,B29&gt;'A - Inputs'!$C$11),0,AJ29*AK29)</f>
        <v>228759.28657813324</v>
      </c>
      <c r="AM29" s="398">
        <f>AL29/(1+0.03)^($A29-'A - Inputs'!$C$6)</f>
        <v>99985.3662351534</v>
      </c>
      <c r="AN29" s="398">
        <f>AL29/(1+0.07)^($A29-'A - Inputs'!$C$6)</f>
        <v>34405.90281532595</v>
      </c>
      <c r="AO29" s="2"/>
      <c r="AQ29" s="214" t="s">
        <v>190</v>
      </c>
      <c r="AR29" s="243">
        <v>8887</v>
      </c>
      <c r="AS29" s="214" t="s">
        <v>191</v>
      </c>
    </row>
    <row r="30" spans="1:49" ht="15" customHeight="1" x14ac:dyDescent="0.25">
      <c r="A30" s="396">
        <f t="shared" si="10"/>
        <v>2048</v>
      </c>
      <c r="B30" s="380">
        <f t="shared" si="11"/>
        <v>26</v>
      </c>
      <c r="C30" s="223">
        <f>IF(A30&gt;=BenefitStart,'A - Inputs'!M73,'A - Inputs'!L73)</f>
        <v>48</v>
      </c>
      <c r="D30" s="224">
        <f>IF(A30&gt;=BenefitStart,'A - Inputs'!O73,'A - Inputs'!N73)</f>
        <v>42</v>
      </c>
      <c r="E30" s="235">
        <f>SUM(AR40:AR41)</f>
        <v>73812</v>
      </c>
      <c r="F30" s="236">
        <f>SUM(AR48:AR49)</f>
        <v>43060</v>
      </c>
      <c r="G30" s="235">
        <f>SUM(AR44:AR45)</f>
        <v>92821</v>
      </c>
      <c r="H30" s="236">
        <f>SUM(AR52:AR53)</f>
        <v>72521</v>
      </c>
      <c r="I30" s="379">
        <f t="shared" si="13"/>
        <v>30752</v>
      </c>
      <c r="J30" s="226">
        <f t="shared" si="3"/>
        <v>20300</v>
      </c>
      <c r="K30" s="225">
        <f t="shared" si="14"/>
        <v>1476096</v>
      </c>
      <c r="L30" s="225">
        <f t="shared" si="4"/>
        <v>852600</v>
      </c>
      <c r="M30" s="226">
        <f t="shared" si="5"/>
        <v>2328696</v>
      </c>
      <c r="N30" s="225">
        <f t="shared" si="15"/>
        <v>2126332.3176000002</v>
      </c>
      <c r="O30" s="226">
        <f t="shared" si="6"/>
        <v>202363.68240000002</v>
      </c>
      <c r="P30" s="386">
        <f t="shared" si="16"/>
        <v>2.0200157017200002</v>
      </c>
      <c r="Q30" s="387">
        <f t="shared" si="17"/>
        <v>2.5515987811200003E-2</v>
      </c>
      <c r="R30" s="387">
        <f t="shared" si="18"/>
        <v>9.5684954292E-3</v>
      </c>
      <c r="S30" s="390">
        <f t="shared" si="19"/>
        <v>1091.8716450876</v>
      </c>
      <c r="T30" s="387">
        <f t="shared" si="20"/>
        <v>2.6026307567424003</v>
      </c>
      <c r="U30" s="451">
        <f t="shared" si="7"/>
        <v>1.7429583965112001</v>
      </c>
      <c r="V30" s="452">
        <f t="shared" si="21"/>
        <v>1.8617458780800001E-3</v>
      </c>
      <c r="W30" s="384">
        <f t="shared" si="22"/>
        <v>4.0877463844800004E-2</v>
      </c>
      <c r="X30" s="384">
        <f t="shared" si="8"/>
        <v>389.42576310623821</v>
      </c>
      <c r="Y30" s="450">
        <f t="shared" si="23"/>
        <v>9.0456566032800015E-2</v>
      </c>
      <c r="Z30" s="228">
        <v>18000</v>
      </c>
      <c r="AA30" s="228">
        <v>48200</v>
      </c>
      <c r="AB30" s="228">
        <v>852700</v>
      </c>
      <c r="AC30" s="228">
        <v>81</v>
      </c>
      <c r="AD30" s="229">
        <f t="shared" si="9"/>
        <v>1958</v>
      </c>
      <c r="AE30" s="429">
        <f t="shared" si="24"/>
        <v>67733.533768161607</v>
      </c>
      <c r="AF30" s="429">
        <f t="shared" si="25"/>
        <v>1319.6067638232962</v>
      </c>
      <c r="AG30" s="429">
        <f t="shared" si="26"/>
        <v>43015.269472939799</v>
      </c>
      <c r="AH30" s="429">
        <f t="shared" si="27"/>
        <v>119985.0900637009</v>
      </c>
      <c r="AI30" s="429">
        <f t="shared" si="28"/>
        <v>5273.0649779938421</v>
      </c>
      <c r="AJ30" s="430">
        <f t="shared" si="29"/>
        <v>237326.56504661945</v>
      </c>
      <c r="AK30" s="375">
        <f>'A - Inputs'!J73</f>
        <v>1</v>
      </c>
      <c r="AL30" s="398">
        <f>IF(OR($A30&lt;BenefitStart,B30&gt;'A - Inputs'!$C$11),0,AJ30*AK30)</f>
        <v>0</v>
      </c>
      <c r="AM30" s="398">
        <f>AL30/(1+0.03)^($A30-'A - Inputs'!$C$6)</f>
        <v>0</v>
      </c>
      <c r="AN30" s="398">
        <f>AL30/(1+0.07)^($A30-'A - Inputs'!$C$6)</f>
        <v>0</v>
      </c>
      <c r="AO30" s="2"/>
      <c r="AQ30" s="214" t="s">
        <v>192</v>
      </c>
      <c r="AR30" s="243">
        <v>10180</v>
      </c>
      <c r="AS30" s="214" t="s">
        <v>191</v>
      </c>
    </row>
    <row r="31" spans="1:49" ht="15" customHeight="1" x14ac:dyDescent="0.25">
      <c r="A31" s="396">
        <f t="shared" si="10"/>
        <v>2049</v>
      </c>
      <c r="B31" s="380">
        <f t="shared" si="11"/>
        <v>27</v>
      </c>
      <c r="C31" s="223">
        <f>IF(A31&gt;=BenefitStart,'A - Inputs'!M74,'A - Inputs'!L74)</f>
        <v>48</v>
      </c>
      <c r="D31" s="224">
        <f>IF(A31&gt;=BenefitStart,'A - Inputs'!O74,'A - Inputs'!N74)</f>
        <v>42</v>
      </c>
      <c r="E31" s="225">
        <f>E30</f>
        <v>73812</v>
      </c>
      <c r="F31" s="226">
        <f t="shared" ref="F31:F39" si="34">F30</f>
        <v>43060</v>
      </c>
      <c r="G31" s="225">
        <f t="shared" ref="G31:G39" si="35">G30</f>
        <v>92821</v>
      </c>
      <c r="H31" s="226">
        <f t="shared" ref="H31:H39" si="36">H30</f>
        <v>72521</v>
      </c>
      <c r="I31" s="379">
        <f t="shared" si="13"/>
        <v>30752</v>
      </c>
      <c r="J31" s="226">
        <f t="shared" si="3"/>
        <v>20300</v>
      </c>
      <c r="K31" s="225">
        <f t="shared" si="14"/>
        <v>1476096</v>
      </c>
      <c r="L31" s="225">
        <f t="shared" si="4"/>
        <v>852600</v>
      </c>
      <c r="M31" s="226">
        <f t="shared" si="5"/>
        <v>2328696</v>
      </c>
      <c r="N31" s="225">
        <f t="shared" si="15"/>
        <v>2126332.3176000002</v>
      </c>
      <c r="O31" s="226">
        <f t="shared" si="6"/>
        <v>202363.68240000002</v>
      </c>
      <c r="P31" s="386">
        <f t="shared" si="16"/>
        <v>2.0200157017200002</v>
      </c>
      <c r="Q31" s="387">
        <f t="shared" si="17"/>
        <v>2.5515987811200003E-2</v>
      </c>
      <c r="R31" s="387">
        <f t="shared" si="18"/>
        <v>9.5684954292E-3</v>
      </c>
      <c r="S31" s="390">
        <f t="shared" si="19"/>
        <v>1091.8716450876</v>
      </c>
      <c r="T31" s="387">
        <f t="shared" si="20"/>
        <v>2.6026307567424003</v>
      </c>
      <c r="U31" s="451">
        <f t="shared" si="7"/>
        <v>1.7429583965112001</v>
      </c>
      <c r="V31" s="452">
        <f t="shared" si="21"/>
        <v>1.8617458780800001E-3</v>
      </c>
      <c r="W31" s="384">
        <f t="shared" si="22"/>
        <v>4.0877463844800004E-2</v>
      </c>
      <c r="X31" s="384">
        <f t="shared" si="8"/>
        <v>389.42576310623821</v>
      </c>
      <c r="Y31" s="450">
        <f t="shared" si="23"/>
        <v>9.0456566032800015E-2</v>
      </c>
      <c r="Z31" s="228">
        <v>18000</v>
      </c>
      <c r="AA31" s="228">
        <v>48200</v>
      </c>
      <c r="AB31" s="228">
        <v>852700</v>
      </c>
      <c r="AC31" s="228">
        <v>83</v>
      </c>
      <c r="AD31" s="229">
        <f t="shared" si="9"/>
        <v>1958</v>
      </c>
      <c r="AE31" s="429">
        <f t="shared" si="24"/>
        <v>67733.533768161607</v>
      </c>
      <c r="AF31" s="429">
        <f t="shared" si="25"/>
        <v>1319.6067638232962</v>
      </c>
      <c r="AG31" s="429">
        <f t="shared" si="26"/>
        <v>43015.269472939799</v>
      </c>
      <c r="AH31" s="429">
        <f t="shared" si="27"/>
        <v>122947.68488008858</v>
      </c>
      <c r="AI31" s="429">
        <f t="shared" si="28"/>
        <v>5273.0649779938421</v>
      </c>
      <c r="AJ31" s="430">
        <f t="shared" si="29"/>
        <v>240289.15986300711</v>
      </c>
      <c r="AK31" s="375">
        <f>'A - Inputs'!J74</f>
        <v>1</v>
      </c>
      <c r="AL31" s="398">
        <f>IF(OR($A31&lt;BenefitStart,B31&gt;'A - Inputs'!$C$11),0,AJ31*AK31)</f>
        <v>0</v>
      </c>
      <c r="AM31" s="398">
        <f>AL31/(1+0.03)^($A31-'A - Inputs'!$C$6)</f>
        <v>0</v>
      </c>
      <c r="AN31" s="398">
        <f>AL31/(1+0.07)^($A31-'A - Inputs'!$C$6)</f>
        <v>0</v>
      </c>
      <c r="AO31" s="2"/>
      <c r="AQ31" s="244" t="s">
        <v>630</v>
      </c>
    </row>
    <row r="32" spans="1:49" ht="15" customHeight="1" x14ac:dyDescent="0.25">
      <c r="A32" s="396">
        <f t="shared" si="10"/>
        <v>2050</v>
      </c>
      <c r="B32" s="380">
        <f t="shared" si="11"/>
        <v>28</v>
      </c>
      <c r="C32" s="223">
        <f>IF(A32&gt;=BenefitStart,'A - Inputs'!M75,'A - Inputs'!L75)</f>
        <v>48</v>
      </c>
      <c r="D32" s="224">
        <f>IF(A32&gt;=BenefitStart,'A - Inputs'!O75,'A - Inputs'!N75)</f>
        <v>42</v>
      </c>
      <c r="E32" s="225">
        <f t="shared" ref="E32:E39" si="37">E31</f>
        <v>73812</v>
      </c>
      <c r="F32" s="226">
        <f t="shared" si="34"/>
        <v>43060</v>
      </c>
      <c r="G32" s="225">
        <f t="shared" si="35"/>
        <v>92821</v>
      </c>
      <c r="H32" s="226">
        <f t="shared" si="36"/>
        <v>72521</v>
      </c>
      <c r="I32" s="379">
        <f t="shared" si="13"/>
        <v>30752</v>
      </c>
      <c r="J32" s="226">
        <f t="shared" si="3"/>
        <v>20300</v>
      </c>
      <c r="K32" s="225">
        <f t="shared" si="14"/>
        <v>1476096</v>
      </c>
      <c r="L32" s="225">
        <f t="shared" si="4"/>
        <v>852600</v>
      </c>
      <c r="M32" s="226">
        <f t="shared" si="5"/>
        <v>2328696</v>
      </c>
      <c r="N32" s="225">
        <f t="shared" si="15"/>
        <v>2126332.3176000002</v>
      </c>
      <c r="O32" s="226">
        <f t="shared" si="6"/>
        <v>202363.68240000002</v>
      </c>
      <c r="P32" s="386">
        <f t="shared" si="16"/>
        <v>2.0200157017200002</v>
      </c>
      <c r="Q32" s="387">
        <f t="shared" si="17"/>
        <v>2.5515987811200003E-2</v>
      </c>
      <c r="R32" s="387">
        <f t="shared" si="18"/>
        <v>9.5684954292E-3</v>
      </c>
      <c r="S32" s="390">
        <f t="shared" si="19"/>
        <v>1091.8716450876</v>
      </c>
      <c r="T32" s="387">
        <f t="shared" si="20"/>
        <v>2.6026307567424003</v>
      </c>
      <c r="U32" s="451">
        <f t="shared" si="7"/>
        <v>1.7429583965112001</v>
      </c>
      <c r="V32" s="452">
        <f t="shared" si="21"/>
        <v>1.8617458780800001E-3</v>
      </c>
      <c r="W32" s="384">
        <f t="shared" si="22"/>
        <v>4.0877463844800004E-2</v>
      </c>
      <c r="X32" s="384">
        <f t="shared" si="8"/>
        <v>389.42576310623821</v>
      </c>
      <c r="Y32" s="450">
        <f t="shared" si="23"/>
        <v>9.0456566032800015E-2</v>
      </c>
      <c r="Z32" s="228">
        <v>18000</v>
      </c>
      <c r="AA32" s="228">
        <v>48200</v>
      </c>
      <c r="AB32" s="228">
        <v>852700</v>
      </c>
      <c r="AC32" s="228">
        <v>84</v>
      </c>
      <c r="AD32" s="229">
        <f t="shared" si="9"/>
        <v>1958</v>
      </c>
      <c r="AE32" s="429">
        <f t="shared" si="24"/>
        <v>67733.533768161607</v>
      </c>
      <c r="AF32" s="429">
        <f t="shared" si="25"/>
        <v>1319.6067638232962</v>
      </c>
      <c r="AG32" s="429">
        <f t="shared" si="26"/>
        <v>43015.269472939799</v>
      </c>
      <c r="AH32" s="429">
        <f t="shared" si="27"/>
        <v>124428.98228828241</v>
      </c>
      <c r="AI32" s="429">
        <f t="shared" si="28"/>
        <v>5273.0649779938421</v>
      </c>
      <c r="AJ32" s="430">
        <f t="shared" si="29"/>
        <v>241770.45727120095</v>
      </c>
      <c r="AK32" s="375">
        <f>'A - Inputs'!J75</f>
        <v>1</v>
      </c>
      <c r="AL32" s="398">
        <f>IF(OR($A32&lt;BenefitStart,B32&gt;'A - Inputs'!$C$11),0,AJ32*AK32)</f>
        <v>0</v>
      </c>
      <c r="AM32" s="398">
        <f>AL32/(1+0.03)^($A32-'A - Inputs'!$C$6)</f>
        <v>0</v>
      </c>
      <c r="AN32" s="398">
        <f>AL32/(1+0.07)^($A32-'A - Inputs'!$C$6)</f>
        <v>0</v>
      </c>
      <c r="AO32" s="2"/>
      <c r="AQ32" s="245"/>
    </row>
    <row r="33" spans="1:45" ht="15" customHeight="1" x14ac:dyDescent="0.25">
      <c r="A33" s="396">
        <f t="shared" si="10"/>
        <v>2051</v>
      </c>
      <c r="B33" s="380">
        <f t="shared" si="11"/>
        <v>29</v>
      </c>
      <c r="C33" s="223">
        <f>IF(A33&gt;=BenefitStart,'A - Inputs'!M76,'A - Inputs'!L76)</f>
        <v>48</v>
      </c>
      <c r="D33" s="224">
        <f>IF(A33&gt;=BenefitStart,'A - Inputs'!O76,'A - Inputs'!N76)</f>
        <v>42</v>
      </c>
      <c r="E33" s="225">
        <f t="shared" si="37"/>
        <v>73812</v>
      </c>
      <c r="F33" s="226">
        <f t="shared" si="34"/>
        <v>43060</v>
      </c>
      <c r="G33" s="225">
        <f t="shared" si="35"/>
        <v>92821</v>
      </c>
      <c r="H33" s="226">
        <f t="shared" si="36"/>
        <v>72521</v>
      </c>
      <c r="I33" s="379">
        <f t="shared" ref="I33:I39" si="38">E33-F33</f>
        <v>30752</v>
      </c>
      <c r="J33" s="226">
        <f t="shared" ref="J33:J39" si="39">G33-H33</f>
        <v>20300</v>
      </c>
      <c r="K33" s="225">
        <f t="shared" ref="K33:K39" si="40">C33*I33</f>
        <v>1476096</v>
      </c>
      <c r="L33" s="225">
        <f t="shared" ref="L33:L39" si="41">D33*J33</f>
        <v>852600</v>
      </c>
      <c r="M33" s="226">
        <f t="shared" ref="M33:M39" si="42">SUM(K33:L33)</f>
        <v>2328696</v>
      </c>
      <c r="N33" s="225">
        <f t="shared" ref="N33:N39" si="43">M33*(1-$AQ$2)</f>
        <v>2126332.3176000002</v>
      </c>
      <c r="O33" s="226">
        <f t="shared" ref="O33:O39" si="44">M33*$AQ$2</f>
        <v>202363.68240000002</v>
      </c>
      <c r="P33" s="386">
        <f t="shared" ref="P33:P39" si="45">N33*$AR$20/1000000</f>
        <v>2.0200157017200002</v>
      </c>
      <c r="Q33" s="387">
        <f t="shared" ref="Q33:Q39" si="46">N33*$AR$22/1000000</f>
        <v>2.5515987811200003E-2</v>
      </c>
      <c r="R33" s="387">
        <f t="shared" ref="R33:R39" si="47">N33*$AR$21/1000000</f>
        <v>9.5684954292E-3</v>
      </c>
      <c r="S33" s="390">
        <f t="shared" ref="S33:S39" si="48">N33*$AR$18/1000000</f>
        <v>1091.8716450876</v>
      </c>
      <c r="T33" s="387">
        <f t="shared" si="20"/>
        <v>2.6026307567424003</v>
      </c>
      <c r="U33" s="451">
        <f t="shared" si="7"/>
        <v>1.7429583965112001</v>
      </c>
      <c r="V33" s="452">
        <f t="shared" si="21"/>
        <v>1.8617458780800001E-3</v>
      </c>
      <c r="W33" s="384">
        <f t="shared" ref="W33:W39" si="49">O33*$AS$21/1000000</f>
        <v>4.0877463844800004E-2</v>
      </c>
      <c r="X33" s="384">
        <f t="shared" si="8"/>
        <v>389.42576310623821</v>
      </c>
      <c r="Y33" s="450">
        <f t="shared" si="23"/>
        <v>9.0456566032800015E-2</v>
      </c>
      <c r="Z33" s="228">
        <v>18000</v>
      </c>
      <c r="AA33" s="228">
        <v>48200</v>
      </c>
      <c r="AB33" s="228">
        <v>852700</v>
      </c>
      <c r="AC33" s="228">
        <v>84</v>
      </c>
      <c r="AD33" s="229">
        <f t="shared" si="9"/>
        <v>1958</v>
      </c>
      <c r="AE33" s="429">
        <f t="shared" si="24"/>
        <v>67733.533768161607</v>
      </c>
      <c r="AF33" s="429">
        <f t="shared" si="25"/>
        <v>1319.6067638232962</v>
      </c>
      <c r="AG33" s="429">
        <f t="shared" ref="AG33:AG39" si="50">(R33+W33)*AB33</f>
        <v>43015.269472939799</v>
      </c>
      <c r="AH33" s="429">
        <f t="shared" ref="AH33:AH39" si="51">(S33+X33)*AC33</f>
        <v>124428.98228828241</v>
      </c>
      <c r="AI33" s="429">
        <f t="shared" si="28"/>
        <v>5273.0649779938421</v>
      </c>
      <c r="AJ33" s="430">
        <f t="shared" ref="AJ33:AJ39" si="52">SUM(AE33:AI33)</f>
        <v>241770.45727120095</v>
      </c>
      <c r="AK33" s="375">
        <f>'A - Inputs'!J76</f>
        <v>1</v>
      </c>
      <c r="AL33" s="398">
        <f>IF(OR($A33&lt;BenefitStart,B33&gt;'A - Inputs'!$C$11),0,AJ33*AK33)</f>
        <v>0</v>
      </c>
      <c r="AM33" s="398">
        <f>AL33/(1+0.03)^($A33-'A - Inputs'!$C$6)</f>
        <v>0</v>
      </c>
      <c r="AN33" s="398">
        <f>AL33/(1+0.07)^($A33-'A - Inputs'!$C$6)</f>
        <v>0</v>
      </c>
      <c r="AO33" s="2"/>
      <c r="AQ33" s="245" t="s">
        <v>434</v>
      </c>
    </row>
    <row r="34" spans="1:45" ht="15" customHeight="1" x14ac:dyDescent="0.25">
      <c r="A34" s="396">
        <f t="shared" si="10"/>
        <v>2052</v>
      </c>
      <c r="B34" s="380">
        <f t="shared" si="11"/>
        <v>30</v>
      </c>
      <c r="C34" s="223">
        <f>IF(A34&gt;=BenefitStart,'A - Inputs'!M77,'A - Inputs'!L77)</f>
        <v>48</v>
      </c>
      <c r="D34" s="224">
        <f>IF(A34&gt;=BenefitStart,'A - Inputs'!O77,'A - Inputs'!N77)</f>
        <v>42</v>
      </c>
      <c r="E34" s="225">
        <f t="shared" si="37"/>
        <v>73812</v>
      </c>
      <c r="F34" s="226">
        <f t="shared" si="34"/>
        <v>43060</v>
      </c>
      <c r="G34" s="225">
        <f t="shared" si="35"/>
        <v>92821</v>
      </c>
      <c r="H34" s="226">
        <f t="shared" si="36"/>
        <v>72521</v>
      </c>
      <c r="I34" s="379">
        <f t="shared" si="38"/>
        <v>30752</v>
      </c>
      <c r="J34" s="226">
        <f t="shared" si="39"/>
        <v>20300</v>
      </c>
      <c r="K34" s="225">
        <f t="shared" si="40"/>
        <v>1476096</v>
      </c>
      <c r="L34" s="225">
        <f t="shared" si="41"/>
        <v>852600</v>
      </c>
      <c r="M34" s="226">
        <f t="shared" si="42"/>
        <v>2328696</v>
      </c>
      <c r="N34" s="225">
        <f t="shared" si="43"/>
        <v>2126332.3176000002</v>
      </c>
      <c r="O34" s="226">
        <f t="shared" si="44"/>
        <v>202363.68240000002</v>
      </c>
      <c r="P34" s="386">
        <f t="shared" si="45"/>
        <v>2.0200157017200002</v>
      </c>
      <c r="Q34" s="387">
        <f t="shared" si="46"/>
        <v>2.5515987811200003E-2</v>
      </c>
      <c r="R34" s="387">
        <f t="shared" si="47"/>
        <v>9.5684954292E-3</v>
      </c>
      <c r="S34" s="390">
        <f t="shared" si="48"/>
        <v>1091.8716450876</v>
      </c>
      <c r="T34" s="387">
        <f t="shared" si="20"/>
        <v>2.6026307567424003</v>
      </c>
      <c r="U34" s="451">
        <f t="shared" si="7"/>
        <v>1.7429583965112001</v>
      </c>
      <c r="V34" s="452">
        <f t="shared" si="21"/>
        <v>1.8617458780800001E-3</v>
      </c>
      <c r="W34" s="384">
        <f t="shared" si="49"/>
        <v>4.0877463844800004E-2</v>
      </c>
      <c r="X34" s="384">
        <f t="shared" si="8"/>
        <v>389.42576310623821</v>
      </c>
      <c r="Y34" s="450">
        <f t="shared" si="23"/>
        <v>9.0456566032800015E-2</v>
      </c>
      <c r="Z34" s="228">
        <v>18000</v>
      </c>
      <c r="AA34" s="228">
        <v>48200</v>
      </c>
      <c r="AB34" s="228">
        <v>852700</v>
      </c>
      <c r="AC34" s="228">
        <v>84</v>
      </c>
      <c r="AD34" s="229">
        <f t="shared" si="9"/>
        <v>1958</v>
      </c>
      <c r="AE34" s="429">
        <f t="shared" si="24"/>
        <v>67733.533768161607</v>
      </c>
      <c r="AF34" s="429">
        <f t="shared" si="25"/>
        <v>1319.6067638232962</v>
      </c>
      <c r="AG34" s="429">
        <f t="shared" si="50"/>
        <v>43015.269472939799</v>
      </c>
      <c r="AH34" s="429">
        <f t="shared" si="51"/>
        <v>124428.98228828241</v>
      </c>
      <c r="AI34" s="429">
        <f t="shared" si="28"/>
        <v>5273.0649779938421</v>
      </c>
      <c r="AJ34" s="430">
        <f t="shared" si="52"/>
        <v>241770.45727120095</v>
      </c>
      <c r="AK34" s="375">
        <f>'A - Inputs'!J77</f>
        <v>1</v>
      </c>
      <c r="AL34" s="398">
        <f>IF(OR($A34&lt;BenefitStart,B34&gt;'A - Inputs'!$C$11),0,AJ34*AK34)</f>
        <v>0</v>
      </c>
      <c r="AM34" s="398">
        <f>AL34/(1+0.03)^($A34-'A - Inputs'!$C$6)</f>
        <v>0</v>
      </c>
      <c r="AN34" s="398">
        <f>AL34/(1+0.07)^($A34-'A - Inputs'!$C$6)</f>
        <v>0</v>
      </c>
      <c r="AO34" s="2"/>
      <c r="AQ34" s="246" t="s">
        <v>435</v>
      </c>
      <c r="AR34" s="239">
        <v>24.2</v>
      </c>
      <c r="AS34" s="214" t="s">
        <v>436</v>
      </c>
    </row>
    <row r="35" spans="1:45" ht="15" customHeight="1" x14ac:dyDescent="0.25">
      <c r="A35" s="396">
        <f t="shared" si="10"/>
        <v>2053</v>
      </c>
      <c r="B35" s="380">
        <f t="shared" si="11"/>
        <v>31</v>
      </c>
      <c r="C35" s="223">
        <f>IF(A35&gt;=BenefitStart,'A - Inputs'!M78,'A - Inputs'!L78)</f>
        <v>48</v>
      </c>
      <c r="D35" s="224">
        <f>IF(A35&gt;=BenefitStart,'A - Inputs'!O78,'A - Inputs'!N78)</f>
        <v>42</v>
      </c>
      <c r="E35" s="225">
        <f t="shared" si="37"/>
        <v>73812</v>
      </c>
      <c r="F35" s="226">
        <f t="shared" si="34"/>
        <v>43060</v>
      </c>
      <c r="G35" s="225">
        <f t="shared" si="35"/>
        <v>92821</v>
      </c>
      <c r="H35" s="226">
        <f t="shared" si="36"/>
        <v>72521</v>
      </c>
      <c r="I35" s="379">
        <f t="shared" si="38"/>
        <v>30752</v>
      </c>
      <c r="J35" s="226">
        <f t="shared" si="39"/>
        <v>20300</v>
      </c>
      <c r="K35" s="225">
        <f t="shared" si="40"/>
        <v>1476096</v>
      </c>
      <c r="L35" s="225">
        <f t="shared" si="41"/>
        <v>852600</v>
      </c>
      <c r="M35" s="226">
        <f t="shared" si="42"/>
        <v>2328696</v>
      </c>
      <c r="N35" s="225">
        <f t="shared" si="43"/>
        <v>2126332.3176000002</v>
      </c>
      <c r="O35" s="226">
        <f t="shared" si="44"/>
        <v>202363.68240000002</v>
      </c>
      <c r="P35" s="386">
        <f t="shared" si="45"/>
        <v>2.0200157017200002</v>
      </c>
      <c r="Q35" s="387">
        <f t="shared" si="46"/>
        <v>2.5515987811200003E-2</v>
      </c>
      <c r="R35" s="387">
        <f t="shared" si="47"/>
        <v>9.5684954292E-3</v>
      </c>
      <c r="S35" s="390">
        <f t="shared" si="48"/>
        <v>1091.8716450876</v>
      </c>
      <c r="T35" s="387">
        <f t="shared" si="20"/>
        <v>2.6026307567424003</v>
      </c>
      <c r="U35" s="451">
        <f t="shared" si="7"/>
        <v>1.7429583965112001</v>
      </c>
      <c r="V35" s="452">
        <f t="shared" si="21"/>
        <v>1.8617458780800001E-3</v>
      </c>
      <c r="W35" s="384">
        <f t="shared" si="49"/>
        <v>4.0877463844800004E-2</v>
      </c>
      <c r="X35" s="384">
        <f t="shared" si="8"/>
        <v>389.42576310623821</v>
      </c>
      <c r="Y35" s="450">
        <f t="shared" si="23"/>
        <v>9.0456566032800015E-2</v>
      </c>
      <c r="Z35" s="228">
        <v>18000</v>
      </c>
      <c r="AA35" s="228">
        <v>48200</v>
      </c>
      <c r="AB35" s="228">
        <v>852700</v>
      </c>
      <c r="AC35" s="228">
        <v>84</v>
      </c>
      <c r="AD35" s="229">
        <f t="shared" si="9"/>
        <v>1958</v>
      </c>
      <c r="AE35" s="429">
        <f t="shared" si="24"/>
        <v>67733.533768161607</v>
      </c>
      <c r="AF35" s="429">
        <f t="shared" si="25"/>
        <v>1319.6067638232962</v>
      </c>
      <c r="AG35" s="429">
        <f t="shared" si="50"/>
        <v>43015.269472939799</v>
      </c>
      <c r="AH35" s="429">
        <f t="shared" si="51"/>
        <v>124428.98228828241</v>
      </c>
      <c r="AI35" s="429">
        <f t="shared" si="28"/>
        <v>5273.0649779938421</v>
      </c>
      <c r="AJ35" s="430">
        <f t="shared" si="52"/>
        <v>241770.45727120095</v>
      </c>
      <c r="AK35" s="375">
        <f>'A - Inputs'!J78</f>
        <v>1</v>
      </c>
      <c r="AL35" s="398">
        <f>IF(OR($A35&lt;BenefitStart,B35&gt;'A - Inputs'!$C$11),0,AJ35*AK35)</f>
        <v>0</v>
      </c>
      <c r="AM35" s="398">
        <f>AL35/(1+0.03)^($A35-'A - Inputs'!$C$6)</f>
        <v>0</v>
      </c>
      <c r="AN35" s="398">
        <f>AL35/(1+0.07)^($A35-'A - Inputs'!$C$6)</f>
        <v>0</v>
      </c>
      <c r="AO35" s="2"/>
      <c r="AQ35" s="246" t="s">
        <v>437</v>
      </c>
      <c r="AR35" s="239">
        <v>5.29</v>
      </c>
      <c r="AS35" s="214" t="s">
        <v>436</v>
      </c>
    </row>
    <row r="36" spans="1:45" ht="15" customHeight="1" x14ac:dyDescent="0.25">
      <c r="A36" s="396">
        <f t="shared" si="10"/>
        <v>2054</v>
      </c>
      <c r="B36" s="380">
        <f t="shared" si="11"/>
        <v>32</v>
      </c>
      <c r="C36" s="223">
        <f>IF(A36&gt;=BenefitStart,'A - Inputs'!M79,'A - Inputs'!L79)</f>
        <v>48</v>
      </c>
      <c r="D36" s="224">
        <f>IF(A36&gt;=BenefitStart,'A - Inputs'!O79,'A - Inputs'!N79)</f>
        <v>42</v>
      </c>
      <c r="E36" s="225">
        <f t="shared" si="37"/>
        <v>73812</v>
      </c>
      <c r="F36" s="226">
        <f t="shared" si="34"/>
        <v>43060</v>
      </c>
      <c r="G36" s="225">
        <f t="shared" si="35"/>
        <v>92821</v>
      </c>
      <c r="H36" s="226">
        <f t="shared" si="36"/>
        <v>72521</v>
      </c>
      <c r="I36" s="379">
        <f t="shared" si="38"/>
        <v>30752</v>
      </c>
      <c r="J36" s="226">
        <f t="shared" si="39"/>
        <v>20300</v>
      </c>
      <c r="K36" s="225">
        <f t="shared" si="40"/>
        <v>1476096</v>
      </c>
      <c r="L36" s="225">
        <f t="shared" si="41"/>
        <v>852600</v>
      </c>
      <c r="M36" s="226">
        <f t="shared" si="42"/>
        <v>2328696</v>
      </c>
      <c r="N36" s="225">
        <f t="shared" si="43"/>
        <v>2126332.3176000002</v>
      </c>
      <c r="O36" s="226">
        <f t="shared" si="44"/>
        <v>202363.68240000002</v>
      </c>
      <c r="P36" s="386">
        <f t="shared" si="45"/>
        <v>2.0200157017200002</v>
      </c>
      <c r="Q36" s="387">
        <f t="shared" si="46"/>
        <v>2.5515987811200003E-2</v>
      </c>
      <c r="R36" s="387">
        <f t="shared" si="47"/>
        <v>9.5684954292E-3</v>
      </c>
      <c r="S36" s="390">
        <f t="shared" si="48"/>
        <v>1091.8716450876</v>
      </c>
      <c r="T36" s="387">
        <f t="shared" si="20"/>
        <v>2.6026307567424003</v>
      </c>
      <c r="U36" s="451">
        <f t="shared" si="7"/>
        <v>1.7429583965112001</v>
      </c>
      <c r="V36" s="452">
        <f t="shared" si="21"/>
        <v>1.8617458780800001E-3</v>
      </c>
      <c r="W36" s="384">
        <f t="shared" si="49"/>
        <v>4.0877463844800004E-2</v>
      </c>
      <c r="X36" s="384">
        <f t="shared" si="8"/>
        <v>389.42576310623821</v>
      </c>
      <c r="Y36" s="450">
        <f t="shared" si="23"/>
        <v>9.0456566032800015E-2</v>
      </c>
      <c r="Z36" s="228">
        <v>18000</v>
      </c>
      <c r="AA36" s="228">
        <v>48200</v>
      </c>
      <c r="AB36" s="228">
        <v>852700</v>
      </c>
      <c r="AC36" s="228">
        <v>84</v>
      </c>
      <c r="AD36" s="229">
        <f t="shared" si="9"/>
        <v>1958</v>
      </c>
      <c r="AE36" s="429">
        <f t="shared" si="24"/>
        <v>67733.533768161607</v>
      </c>
      <c r="AF36" s="429">
        <f t="shared" si="25"/>
        <v>1319.6067638232962</v>
      </c>
      <c r="AG36" s="429">
        <f t="shared" si="50"/>
        <v>43015.269472939799</v>
      </c>
      <c r="AH36" s="429">
        <f t="shared" si="51"/>
        <v>124428.98228828241</v>
      </c>
      <c r="AI36" s="429">
        <f t="shared" si="28"/>
        <v>5273.0649779938421</v>
      </c>
      <c r="AJ36" s="430">
        <f t="shared" si="52"/>
        <v>241770.45727120095</v>
      </c>
      <c r="AK36" s="375">
        <f>'A - Inputs'!J79</f>
        <v>1</v>
      </c>
      <c r="AL36" s="398">
        <f>IF(OR($A36&lt;BenefitStart,B36&gt;'A - Inputs'!$C$11),0,AJ36*AK36)</f>
        <v>0</v>
      </c>
      <c r="AM36" s="398">
        <f>AL36/(1+0.03)^($A36-'A - Inputs'!$C$6)</f>
        <v>0</v>
      </c>
      <c r="AN36" s="398">
        <f>AL36/(1+0.07)^($A36-'A - Inputs'!$C$6)</f>
        <v>0</v>
      </c>
      <c r="AO36" s="2"/>
      <c r="AQ36" s="214" t="s">
        <v>629</v>
      </c>
    </row>
    <row r="37" spans="1:45" ht="15" customHeight="1" x14ac:dyDescent="0.25">
      <c r="A37" s="396">
        <f t="shared" si="10"/>
        <v>2055</v>
      </c>
      <c r="B37" s="380">
        <f t="shared" si="11"/>
        <v>33</v>
      </c>
      <c r="C37" s="223">
        <f>IF(A37&gt;=BenefitStart,'A - Inputs'!M80,'A - Inputs'!L80)</f>
        <v>48</v>
      </c>
      <c r="D37" s="224">
        <f>IF(A37&gt;=BenefitStart,'A - Inputs'!O80,'A - Inputs'!N80)</f>
        <v>42</v>
      </c>
      <c r="E37" s="225">
        <f t="shared" si="37"/>
        <v>73812</v>
      </c>
      <c r="F37" s="226">
        <f t="shared" si="34"/>
        <v>43060</v>
      </c>
      <c r="G37" s="225">
        <f t="shared" si="35"/>
        <v>92821</v>
      </c>
      <c r="H37" s="226">
        <f t="shared" si="36"/>
        <v>72521</v>
      </c>
      <c r="I37" s="379">
        <f t="shared" si="38"/>
        <v>30752</v>
      </c>
      <c r="J37" s="226">
        <f t="shared" si="39"/>
        <v>20300</v>
      </c>
      <c r="K37" s="225">
        <f t="shared" si="40"/>
        <v>1476096</v>
      </c>
      <c r="L37" s="225">
        <f t="shared" si="41"/>
        <v>852600</v>
      </c>
      <c r="M37" s="226">
        <f t="shared" si="42"/>
        <v>2328696</v>
      </c>
      <c r="N37" s="225">
        <f t="shared" si="43"/>
        <v>2126332.3176000002</v>
      </c>
      <c r="O37" s="226">
        <f t="shared" si="44"/>
        <v>202363.68240000002</v>
      </c>
      <c r="P37" s="386">
        <f t="shared" si="45"/>
        <v>2.0200157017200002</v>
      </c>
      <c r="Q37" s="387">
        <f t="shared" si="46"/>
        <v>2.5515987811200003E-2</v>
      </c>
      <c r="R37" s="387">
        <f t="shared" si="47"/>
        <v>9.5684954292E-3</v>
      </c>
      <c r="S37" s="390">
        <f t="shared" si="48"/>
        <v>1091.8716450876</v>
      </c>
      <c r="T37" s="387">
        <f t="shared" si="20"/>
        <v>2.6026307567424003</v>
      </c>
      <c r="U37" s="451">
        <f t="shared" si="7"/>
        <v>1.7429583965112001</v>
      </c>
      <c r="V37" s="452">
        <f t="shared" si="21"/>
        <v>1.8617458780800001E-3</v>
      </c>
      <c r="W37" s="384">
        <f t="shared" si="49"/>
        <v>4.0877463844800004E-2</v>
      </c>
      <c r="X37" s="384">
        <f t="shared" si="8"/>
        <v>389.42576310623821</v>
      </c>
      <c r="Y37" s="450">
        <f t="shared" si="23"/>
        <v>9.0456566032800015E-2</v>
      </c>
      <c r="Z37" s="228">
        <v>18000</v>
      </c>
      <c r="AA37" s="228">
        <v>48200</v>
      </c>
      <c r="AB37" s="228">
        <v>852700</v>
      </c>
      <c r="AC37" s="228">
        <v>84</v>
      </c>
      <c r="AD37" s="229">
        <f t="shared" si="9"/>
        <v>1958</v>
      </c>
      <c r="AE37" s="429">
        <f t="shared" si="24"/>
        <v>67733.533768161607</v>
      </c>
      <c r="AF37" s="429">
        <f t="shared" si="25"/>
        <v>1319.6067638232962</v>
      </c>
      <c r="AG37" s="429">
        <f t="shared" si="50"/>
        <v>43015.269472939799</v>
      </c>
      <c r="AH37" s="429">
        <f t="shared" si="51"/>
        <v>124428.98228828241</v>
      </c>
      <c r="AI37" s="429">
        <f t="shared" si="28"/>
        <v>5273.0649779938421</v>
      </c>
      <c r="AJ37" s="430">
        <f t="shared" si="52"/>
        <v>241770.45727120095</v>
      </c>
      <c r="AK37" s="375">
        <f>'A - Inputs'!J80</f>
        <v>1</v>
      </c>
      <c r="AL37" s="398">
        <f>IF(OR($A37&lt;BenefitStart,B37&gt;'A - Inputs'!$C$11),0,AJ37*AK37)</f>
        <v>0</v>
      </c>
      <c r="AM37" s="398">
        <f>AL37/(1+0.03)^($A37-'A - Inputs'!$C$6)</f>
        <v>0</v>
      </c>
      <c r="AN37" s="398">
        <f>AL37/(1+0.07)^($A37-'A - Inputs'!$C$6)</f>
        <v>0</v>
      </c>
      <c r="AO37" s="2"/>
    </row>
    <row r="38" spans="1:45" ht="15" customHeight="1" x14ac:dyDescent="0.25">
      <c r="A38" s="396">
        <f t="shared" si="10"/>
        <v>2056</v>
      </c>
      <c r="B38" s="380">
        <f t="shared" si="11"/>
        <v>34</v>
      </c>
      <c r="C38" s="223">
        <f>IF(A38&gt;=BenefitStart,'A - Inputs'!M81,'A - Inputs'!L81)</f>
        <v>48</v>
      </c>
      <c r="D38" s="224">
        <f>IF(A38&gt;=BenefitStart,'A - Inputs'!O81,'A - Inputs'!N81)</f>
        <v>42</v>
      </c>
      <c r="E38" s="225">
        <f t="shared" si="37"/>
        <v>73812</v>
      </c>
      <c r="F38" s="226">
        <f t="shared" si="34"/>
        <v>43060</v>
      </c>
      <c r="G38" s="225">
        <f t="shared" si="35"/>
        <v>92821</v>
      </c>
      <c r="H38" s="226">
        <f t="shared" si="36"/>
        <v>72521</v>
      </c>
      <c r="I38" s="379">
        <f t="shared" si="38"/>
        <v>30752</v>
      </c>
      <c r="J38" s="226">
        <f t="shared" si="39"/>
        <v>20300</v>
      </c>
      <c r="K38" s="225">
        <f t="shared" si="40"/>
        <v>1476096</v>
      </c>
      <c r="L38" s="225">
        <f t="shared" si="41"/>
        <v>852600</v>
      </c>
      <c r="M38" s="226">
        <f t="shared" si="42"/>
        <v>2328696</v>
      </c>
      <c r="N38" s="225">
        <f t="shared" si="43"/>
        <v>2126332.3176000002</v>
      </c>
      <c r="O38" s="226">
        <f t="shared" si="44"/>
        <v>202363.68240000002</v>
      </c>
      <c r="P38" s="386">
        <f t="shared" si="45"/>
        <v>2.0200157017200002</v>
      </c>
      <c r="Q38" s="387">
        <f t="shared" si="46"/>
        <v>2.5515987811200003E-2</v>
      </c>
      <c r="R38" s="387">
        <f t="shared" si="47"/>
        <v>9.5684954292E-3</v>
      </c>
      <c r="S38" s="390">
        <f t="shared" si="48"/>
        <v>1091.8716450876</v>
      </c>
      <c r="T38" s="387">
        <f t="shared" si="20"/>
        <v>2.6026307567424003</v>
      </c>
      <c r="U38" s="451">
        <f t="shared" si="7"/>
        <v>1.7429583965112001</v>
      </c>
      <c r="V38" s="452">
        <f t="shared" si="21"/>
        <v>1.8617458780800001E-3</v>
      </c>
      <c r="W38" s="384">
        <f t="shared" si="49"/>
        <v>4.0877463844800004E-2</v>
      </c>
      <c r="X38" s="384">
        <f t="shared" si="8"/>
        <v>389.42576310623821</v>
      </c>
      <c r="Y38" s="450">
        <f t="shared" si="23"/>
        <v>9.0456566032800015E-2</v>
      </c>
      <c r="Z38" s="228">
        <v>18000</v>
      </c>
      <c r="AA38" s="228">
        <v>48200</v>
      </c>
      <c r="AB38" s="228">
        <v>852700</v>
      </c>
      <c r="AC38" s="228">
        <v>84</v>
      </c>
      <c r="AD38" s="229">
        <f t="shared" si="9"/>
        <v>1958</v>
      </c>
      <c r="AE38" s="429">
        <f t="shared" si="24"/>
        <v>67733.533768161607</v>
      </c>
      <c r="AF38" s="429">
        <f t="shared" si="25"/>
        <v>1319.6067638232962</v>
      </c>
      <c r="AG38" s="429">
        <f t="shared" si="50"/>
        <v>43015.269472939799</v>
      </c>
      <c r="AH38" s="429">
        <f t="shared" si="51"/>
        <v>124428.98228828241</v>
      </c>
      <c r="AI38" s="429">
        <f t="shared" si="28"/>
        <v>5273.0649779938421</v>
      </c>
      <c r="AJ38" s="430">
        <f t="shared" si="52"/>
        <v>241770.45727120095</v>
      </c>
      <c r="AK38" s="375">
        <f>'A - Inputs'!J81</f>
        <v>1</v>
      </c>
      <c r="AL38" s="398">
        <f>IF(OR($A38&lt;BenefitStart,B38&gt;'A - Inputs'!$C$11),0,AJ38*AK38)</f>
        <v>0</v>
      </c>
      <c r="AM38" s="398">
        <f>AL38/(1+0.03)^($A38-'A - Inputs'!$C$6)</f>
        <v>0</v>
      </c>
      <c r="AN38" s="398">
        <f>AL38/(1+0.07)^($A38-'A - Inputs'!$C$6)</f>
        <v>0</v>
      </c>
      <c r="AO38" s="2"/>
      <c r="AQ38" s="214" t="s">
        <v>438</v>
      </c>
      <c r="AR38" s="239">
        <v>35399</v>
      </c>
      <c r="AS38" s="214" t="s">
        <v>439</v>
      </c>
    </row>
    <row r="39" spans="1:45" ht="15" customHeight="1" x14ac:dyDescent="0.25">
      <c r="A39" s="396">
        <f t="shared" si="10"/>
        <v>2057</v>
      </c>
      <c r="B39" s="380">
        <f t="shared" si="11"/>
        <v>35</v>
      </c>
      <c r="C39" s="223">
        <f>IF(A39&gt;=BenefitStart,'A - Inputs'!M82,'A - Inputs'!L82)</f>
        <v>48</v>
      </c>
      <c r="D39" s="224">
        <f>IF(A39&gt;=BenefitStart,'A - Inputs'!O82,'A - Inputs'!N82)</f>
        <v>42</v>
      </c>
      <c r="E39" s="225">
        <f t="shared" si="37"/>
        <v>73812</v>
      </c>
      <c r="F39" s="226">
        <f t="shared" si="34"/>
        <v>43060</v>
      </c>
      <c r="G39" s="225">
        <f t="shared" si="35"/>
        <v>92821</v>
      </c>
      <c r="H39" s="226">
        <f t="shared" si="36"/>
        <v>72521</v>
      </c>
      <c r="I39" s="379">
        <f t="shared" si="38"/>
        <v>30752</v>
      </c>
      <c r="J39" s="226">
        <f t="shared" si="39"/>
        <v>20300</v>
      </c>
      <c r="K39" s="225">
        <f t="shared" si="40"/>
        <v>1476096</v>
      </c>
      <c r="L39" s="225">
        <f t="shared" si="41"/>
        <v>852600</v>
      </c>
      <c r="M39" s="226">
        <f t="shared" si="42"/>
        <v>2328696</v>
      </c>
      <c r="N39" s="225">
        <f t="shared" si="43"/>
        <v>2126332.3176000002</v>
      </c>
      <c r="O39" s="226">
        <f t="shared" si="44"/>
        <v>202363.68240000002</v>
      </c>
      <c r="P39" s="386">
        <f t="shared" si="45"/>
        <v>2.0200157017200002</v>
      </c>
      <c r="Q39" s="387">
        <f t="shared" si="46"/>
        <v>2.5515987811200003E-2</v>
      </c>
      <c r="R39" s="387">
        <f t="shared" si="47"/>
        <v>9.5684954292E-3</v>
      </c>
      <c r="S39" s="390">
        <f t="shared" si="48"/>
        <v>1091.8716450876</v>
      </c>
      <c r="T39" s="387">
        <f t="shared" si="20"/>
        <v>2.6026307567424003</v>
      </c>
      <c r="U39" s="451">
        <f t="shared" si="7"/>
        <v>1.7429583965112001</v>
      </c>
      <c r="V39" s="452">
        <f t="shared" si="21"/>
        <v>1.8617458780800001E-3</v>
      </c>
      <c r="W39" s="384">
        <f t="shared" si="49"/>
        <v>4.0877463844800004E-2</v>
      </c>
      <c r="X39" s="384">
        <f t="shared" si="8"/>
        <v>389.42576310623821</v>
      </c>
      <c r="Y39" s="450">
        <f t="shared" si="23"/>
        <v>9.0456566032800015E-2</v>
      </c>
      <c r="Z39" s="228">
        <v>18000</v>
      </c>
      <c r="AA39" s="228">
        <v>48200</v>
      </c>
      <c r="AB39" s="228">
        <v>852700</v>
      </c>
      <c r="AC39" s="228">
        <v>84</v>
      </c>
      <c r="AD39" s="229">
        <f t="shared" si="9"/>
        <v>1958</v>
      </c>
      <c r="AE39" s="429">
        <f t="shared" si="24"/>
        <v>67733.533768161607</v>
      </c>
      <c r="AF39" s="429">
        <f t="shared" si="25"/>
        <v>1319.6067638232962</v>
      </c>
      <c r="AG39" s="429">
        <f t="shared" si="50"/>
        <v>43015.269472939799</v>
      </c>
      <c r="AH39" s="429">
        <f t="shared" si="51"/>
        <v>124428.98228828241</v>
      </c>
      <c r="AI39" s="429">
        <f t="shared" si="28"/>
        <v>5273.0649779938421</v>
      </c>
      <c r="AJ39" s="430">
        <f t="shared" si="52"/>
        <v>241770.45727120095</v>
      </c>
      <c r="AK39" s="375">
        <f>'A - Inputs'!J82</f>
        <v>1</v>
      </c>
      <c r="AL39" s="398">
        <f>IF(OR($A39&lt;BenefitStart,B39&gt;'A - Inputs'!$C$11),0,AJ39*AK39)</f>
        <v>0</v>
      </c>
      <c r="AM39" s="398">
        <f>AL39/(1+0.03)^($A39-'A - Inputs'!$C$6)</f>
        <v>0</v>
      </c>
      <c r="AN39" s="398">
        <f>AL39/(1+0.07)^($A39-'A - Inputs'!$C$6)</f>
        <v>0</v>
      </c>
      <c r="AO39" s="2"/>
      <c r="AQ39" s="247" t="s">
        <v>440</v>
      </c>
      <c r="AR39" s="248">
        <v>180</v>
      </c>
      <c r="AS39" s="214" t="s">
        <v>439</v>
      </c>
    </row>
    <row r="40" spans="1:45" ht="15" customHeight="1" x14ac:dyDescent="0.25">
      <c r="A40" s="25" t="s">
        <v>80</v>
      </c>
      <c r="B40" s="27"/>
      <c r="C40" s="25"/>
      <c r="D40" s="27"/>
      <c r="E40" s="382"/>
      <c r="F40" s="382"/>
      <c r="G40" s="382"/>
      <c r="H40" s="382"/>
      <c r="I40" s="382"/>
      <c r="J40" s="383"/>
      <c r="K40" s="382"/>
      <c r="L40" s="382"/>
      <c r="M40" s="383"/>
      <c r="N40" s="382"/>
      <c r="O40" s="383"/>
      <c r="P40" s="388">
        <f t="shared" ref="P40:Y40" si="53">SUM(P10:P29)</f>
        <v>27.037946721654496</v>
      </c>
      <c r="Q40" s="388">
        <f t="shared" si="53"/>
        <v>0.34153195858932006</v>
      </c>
      <c r="R40" s="388">
        <f t="shared" si="53"/>
        <v>0.12807448447099501</v>
      </c>
      <c r="S40" s="388">
        <f t="shared" si="53"/>
        <v>14614.721727967984</v>
      </c>
      <c r="T40" s="388">
        <f t="shared" si="53"/>
        <v>34.836259776110637</v>
      </c>
      <c r="U40" s="388">
        <f t="shared" si="53"/>
        <v>23.329529677815568</v>
      </c>
      <c r="V40" s="388">
        <f t="shared" si="53"/>
        <v>2.491950226818801E-2</v>
      </c>
      <c r="W40" s="388">
        <f t="shared" si="53"/>
        <v>0.54714559327978007</v>
      </c>
      <c r="X40" s="388">
        <f t="shared" si="53"/>
        <v>5212.4708862117577</v>
      </c>
      <c r="Y40" s="388">
        <f t="shared" si="53"/>
        <v>1.2107627732478301</v>
      </c>
      <c r="Z40" s="6"/>
      <c r="AA40" s="6"/>
      <c r="AB40" s="6"/>
      <c r="AC40" s="6"/>
      <c r="AD40" s="21"/>
      <c r="AE40" s="305"/>
      <c r="AF40" s="305"/>
      <c r="AG40" s="305"/>
      <c r="AH40" s="305"/>
      <c r="AI40" s="305"/>
      <c r="AJ40" s="389"/>
      <c r="AK40" s="394"/>
      <c r="AL40" s="6">
        <f>SUM(AL4:AL39)</f>
        <v>2954840.0848110463</v>
      </c>
      <c r="AM40" s="6">
        <f>SUM(AM4:AM39)</f>
        <v>1635675.4142198055</v>
      </c>
      <c r="AN40" s="6">
        <f>SUM(AN4:AN39)</f>
        <v>793784.21779056813</v>
      </c>
      <c r="AO40"/>
      <c r="AQ40" s="214" t="s">
        <v>441</v>
      </c>
      <c r="AR40" s="239">
        <v>57736</v>
      </c>
      <c r="AS40" s="214" t="s">
        <v>439</v>
      </c>
    </row>
    <row r="41" spans="1:45" x14ac:dyDescent="0.25">
      <c r="AQ41" s="247" t="s">
        <v>442</v>
      </c>
      <c r="AR41" s="248">
        <v>16076</v>
      </c>
      <c r="AS41" s="214" t="s">
        <v>439</v>
      </c>
    </row>
    <row r="42" spans="1:45" x14ac:dyDescent="0.25">
      <c r="X42" s="449"/>
      <c r="Y42" s="449"/>
      <c r="AE42" s="306"/>
      <c r="AF42" s="306"/>
      <c r="AG42" s="306"/>
      <c r="AH42" s="306"/>
      <c r="AI42" s="306"/>
      <c r="AJ42" s="306"/>
      <c r="AK42" s="306"/>
      <c r="AQ42" s="214" t="s">
        <v>443</v>
      </c>
      <c r="AR42" s="239">
        <v>40891</v>
      </c>
      <c r="AS42" s="214" t="s">
        <v>439</v>
      </c>
    </row>
    <row r="43" spans="1:45" x14ac:dyDescent="0.25">
      <c r="AQ43" s="247" t="s">
        <v>444</v>
      </c>
      <c r="AR43" s="248">
        <v>14458</v>
      </c>
      <c r="AS43" s="214" t="s">
        <v>439</v>
      </c>
    </row>
    <row r="44" spans="1:45" x14ac:dyDescent="0.25">
      <c r="AQ44" s="214" t="s">
        <v>445</v>
      </c>
      <c r="AR44" s="239">
        <v>58343</v>
      </c>
      <c r="AS44" s="214" t="s">
        <v>439</v>
      </c>
    </row>
    <row r="45" spans="1:45" x14ac:dyDescent="0.25">
      <c r="AQ45" s="247" t="s">
        <v>446</v>
      </c>
      <c r="AR45" s="248">
        <v>34478</v>
      </c>
      <c r="AS45" s="214" t="s">
        <v>439</v>
      </c>
    </row>
    <row r="46" spans="1:45" x14ac:dyDescent="0.25">
      <c r="AQ46" s="214" t="s">
        <v>447</v>
      </c>
      <c r="AR46" s="239">
        <v>31733</v>
      </c>
      <c r="AS46" s="214" t="s">
        <v>439</v>
      </c>
    </row>
    <row r="47" spans="1:45" x14ac:dyDescent="0.25">
      <c r="AQ47" s="247" t="s">
        <v>448</v>
      </c>
      <c r="AR47" s="248">
        <v>6</v>
      </c>
      <c r="AS47" s="214" t="s">
        <v>439</v>
      </c>
    </row>
    <row r="48" spans="1:45" x14ac:dyDescent="0.25">
      <c r="AQ48" s="214" t="s">
        <v>449</v>
      </c>
      <c r="AR48" s="239">
        <v>40614</v>
      </c>
      <c r="AS48" s="214" t="s">
        <v>439</v>
      </c>
    </row>
    <row r="49" spans="43:46" x14ac:dyDescent="0.25">
      <c r="AQ49" s="247" t="s">
        <v>450</v>
      </c>
      <c r="AR49" s="248">
        <v>2446</v>
      </c>
      <c r="AS49" s="214" t="s">
        <v>439</v>
      </c>
    </row>
    <row r="50" spans="43:46" x14ac:dyDescent="0.25">
      <c r="AQ50" s="214" t="s">
        <v>451</v>
      </c>
      <c r="AR50" s="239">
        <v>37521</v>
      </c>
      <c r="AS50" s="214" t="s">
        <v>439</v>
      </c>
    </row>
    <row r="51" spans="43:46" x14ac:dyDescent="0.25">
      <c r="AQ51" s="247" t="s">
        <v>452</v>
      </c>
      <c r="AR51" s="248">
        <v>4091</v>
      </c>
      <c r="AS51" s="214" t="s">
        <v>439</v>
      </c>
    </row>
    <row r="52" spans="43:46" x14ac:dyDescent="0.25">
      <c r="AQ52" s="214" t="s">
        <v>453</v>
      </c>
      <c r="AR52" s="239">
        <v>49242</v>
      </c>
      <c r="AS52" s="214" t="s">
        <v>439</v>
      </c>
    </row>
    <row r="53" spans="43:46" x14ac:dyDescent="0.25">
      <c r="AQ53" s="247" t="s">
        <v>454</v>
      </c>
      <c r="AR53" s="248">
        <v>23279</v>
      </c>
      <c r="AS53" s="214" t="s">
        <v>439</v>
      </c>
    </row>
    <row r="54" spans="43:46" x14ac:dyDescent="0.25">
      <c r="AQ54" s="4" t="s">
        <v>635</v>
      </c>
    </row>
    <row r="57" spans="43:46" x14ac:dyDescent="0.25">
      <c r="AT57"/>
    </row>
    <row r="58" spans="43:46" x14ac:dyDescent="0.25">
      <c r="AT58"/>
    </row>
    <row r="59" spans="43:46" x14ac:dyDescent="0.25">
      <c r="AT59"/>
    </row>
    <row r="60" spans="43:46" x14ac:dyDescent="0.25">
      <c r="AT60"/>
    </row>
    <row r="61" spans="43:46" x14ac:dyDescent="0.25">
      <c r="AT61"/>
    </row>
    <row r="62" spans="43:46" x14ac:dyDescent="0.25">
      <c r="AT62"/>
    </row>
    <row r="63" spans="43:46" x14ac:dyDescent="0.25">
      <c r="AT63"/>
    </row>
    <row r="64" spans="43:46" x14ac:dyDescent="0.25">
      <c r="AT64"/>
    </row>
    <row r="65" spans="46:46" x14ac:dyDescent="0.25">
      <c r="AT65"/>
    </row>
    <row r="66" spans="46:46" x14ac:dyDescent="0.25">
      <c r="AT66"/>
    </row>
    <row r="67" spans="46:46" x14ac:dyDescent="0.25">
      <c r="AT67"/>
    </row>
    <row r="68" spans="46:46" x14ac:dyDescent="0.25">
      <c r="AT68"/>
    </row>
    <row r="69" spans="46:46" x14ac:dyDescent="0.25">
      <c r="AT69"/>
    </row>
    <row r="70" spans="46:46" x14ac:dyDescent="0.25">
      <c r="AT70"/>
    </row>
    <row r="71" spans="46:46" x14ac:dyDescent="0.25">
      <c r="AT71"/>
    </row>
  </sheetData>
  <mergeCells count="2">
    <mergeCell ref="A2:A3"/>
    <mergeCell ref="B2:B3"/>
  </mergeCells>
  <hyperlinks>
    <hyperlink ref="AU22" r:id="rId1" location=":~:text=The%20same%202013%20study%20found,SO2%20per%20mile%20%5B5%5D.&amp;text=The%20study%20as%20above%20found,VOC%20per%20mile%20%5B5%5D.&amp;text=Using%20the%20individual%20emission%20rates,377%20grams%20CO2%20per%20mile." display="https://engineering.unl.edu/downloads/files/GHG%20FOR%20WEBSITE.docx#:~:text=The%20same%202013%20study%20found,SO2%20per%20mile%20%5B5%5D.&amp;text=The%20study%20as%20above%20found,VOC%20per%20mile%20%5B5%5D.&amp;text=Using%20the%20individual%20emission%20rates,377%20grams%20CO2%20per%20mile." xr:uid="{B82DE5FA-61E7-4FB3-A156-CF681280B8E0}"/>
  </hyperlinks>
  <pageMargins left="0.7" right="0.7" top="0.75" bottom="0.75" header="0.3" footer="0.3"/>
  <pageSetup scale="61" orientation="landscape" r:id="rId2"/>
  <headerFooter>
    <oddHeader>&amp;L&amp;"Arial,Bold"FDOT - INFRA Grant for I-95&amp;R&amp;"Arial,Bold"&amp;A</oddHeader>
    <oddFooter>&amp;CPage J-&amp;P</oddFooter>
  </headerFooter>
  <colBreaks count="3" manualBreakCount="3">
    <brk id="15" max="1048575" man="1"/>
    <brk id="30" max="1048575" man="1"/>
    <brk id="41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3BB6F-D245-45E5-B87C-3ACCE59F7CE0}">
  <sheetPr codeName="Sheet14">
    <pageSetUpPr fitToPage="1"/>
  </sheetPr>
  <dimension ref="A1:S67"/>
  <sheetViews>
    <sheetView view="pageLayout" zoomScaleNormal="100" zoomScaleSheetLayoutView="70" workbookViewId="0">
      <selection activeCell="H66" sqref="H66"/>
    </sheetView>
  </sheetViews>
  <sheetFormatPr defaultRowHeight="12.75" x14ac:dyDescent="0.2"/>
  <cols>
    <col min="1" max="1" width="33.5703125" bestFit="1" customWidth="1"/>
    <col min="5" max="8" width="14.28515625" customWidth="1"/>
    <col min="9" max="9" width="12.85546875" customWidth="1"/>
    <col min="10" max="11" width="12.140625" customWidth="1"/>
  </cols>
  <sheetData>
    <row r="1" spans="1:7" s="352" customFormat="1" x14ac:dyDescent="0.2">
      <c r="A1" s="217" t="s">
        <v>620</v>
      </c>
      <c r="B1" s="217" t="s">
        <v>487</v>
      </c>
      <c r="D1" s="217" t="s">
        <v>459</v>
      </c>
    </row>
    <row r="2" spans="1:7" x14ac:dyDescent="0.2">
      <c r="A2" s="115" t="s">
        <v>617</v>
      </c>
      <c r="B2" s="317">
        <f>'G - Safety'!D3</f>
        <v>2.2450000000000001</v>
      </c>
      <c r="C2" s="115" t="s">
        <v>461</v>
      </c>
      <c r="D2" s="423">
        <v>156000</v>
      </c>
      <c r="E2" s="115" t="s">
        <v>466</v>
      </c>
      <c r="F2" s="115" t="s">
        <v>465</v>
      </c>
    </row>
    <row r="3" spans="1:7" x14ac:dyDescent="0.2">
      <c r="A3" s="115" t="s">
        <v>460</v>
      </c>
      <c r="B3" s="317">
        <f>'G - Safety'!D4</f>
        <v>0.38</v>
      </c>
      <c r="C3" s="115" t="s">
        <v>461</v>
      </c>
      <c r="D3" s="423">
        <v>135000</v>
      </c>
      <c r="E3" s="115" t="s">
        <v>466</v>
      </c>
      <c r="F3" t="s">
        <v>465</v>
      </c>
    </row>
    <row r="4" spans="1:7" x14ac:dyDescent="0.2">
      <c r="A4" s="115" t="s">
        <v>462</v>
      </c>
      <c r="B4" s="317">
        <f>'G - Safety'!D5</f>
        <v>1.8109999999999999</v>
      </c>
      <c r="C4" s="115" t="s">
        <v>461</v>
      </c>
      <c r="D4" s="423">
        <v>143008</v>
      </c>
      <c r="E4" s="115" t="s">
        <v>466</v>
      </c>
      <c r="F4" t="s">
        <v>465</v>
      </c>
    </row>
    <row r="5" spans="1:7" x14ac:dyDescent="0.2">
      <c r="A5" s="115" t="s">
        <v>463</v>
      </c>
      <c r="B5" s="317">
        <f>'G - Safety'!D6</f>
        <v>1.492</v>
      </c>
      <c r="C5" s="115" t="s">
        <v>461</v>
      </c>
      <c r="D5" s="423">
        <v>155000</v>
      </c>
      <c r="E5" s="115" t="s">
        <v>466</v>
      </c>
      <c r="F5" t="s">
        <v>465</v>
      </c>
    </row>
    <row r="6" spans="1:7" x14ac:dyDescent="0.2">
      <c r="A6" s="115" t="s">
        <v>464</v>
      </c>
      <c r="D6" s="424">
        <f>SUMPRODUCT(B2:B5,D2:D5)/SUM(B2:B5)</f>
        <v>150433.11201079623</v>
      </c>
      <c r="E6" s="115" t="s">
        <v>466</v>
      </c>
      <c r="F6" t="s">
        <v>465</v>
      </c>
    </row>
    <row r="7" spans="1:7" x14ac:dyDescent="0.2">
      <c r="A7" s="115" t="s">
        <v>467</v>
      </c>
      <c r="B7" s="318">
        <v>0.08</v>
      </c>
      <c r="F7" s="115" t="s">
        <v>465</v>
      </c>
    </row>
    <row r="8" spans="1:7" x14ac:dyDescent="0.2">
      <c r="A8" s="115" t="s">
        <v>468</v>
      </c>
      <c r="B8" s="254">
        <f>0.3978</f>
        <v>0.39779999999999999</v>
      </c>
      <c r="F8" s="115" t="s">
        <v>458</v>
      </c>
      <c r="G8" s="478" t="s">
        <v>457</v>
      </c>
    </row>
    <row r="9" spans="1:7" x14ac:dyDescent="0.2">
      <c r="A9" s="115" t="s">
        <v>469</v>
      </c>
      <c r="B9" s="254">
        <f>AVERAGE(0.2802)</f>
        <v>0.2802</v>
      </c>
      <c r="F9" s="115" t="s">
        <v>458</v>
      </c>
      <c r="G9" t="s">
        <v>457</v>
      </c>
    </row>
    <row r="10" spans="1:7" x14ac:dyDescent="0.2">
      <c r="A10" s="115" t="s">
        <v>470</v>
      </c>
      <c r="B10" s="425">
        <f>D6*B7/B8</f>
        <v>30253.01397904399</v>
      </c>
    </row>
    <row r="11" spans="1:7" x14ac:dyDescent="0.2">
      <c r="A11" s="115" t="s">
        <v>471</v>
      </c>
      <c r="B11" s="425">
        <f>D6*B7/B9</f>
        <v>42950.2104242102</v>
      </c>
    </row>
    <row r="12" spans="1:7" x14ac:dyDescent="0.2">
      <c r="A12" s="115" t="s">
        <v>479</v>
      </c>
      <c r="B12" s="425">
        <f>AVERAGE(B10:B11)</f>
        <v>36601.612201627097</v>
      </c>
    </row>
    <row r="13" spans="1:7" s="352" customFormat="1" x14ac:dyDescent="0.2">
      <c r="A13" s="115"/>
    </row>
    <row r="14" spans="1:7" x14ac:dyDescent="0.2">
      <c r="A14" s="217" t="s">
        <v>619</v>
      </c>
      <c r="D14" s="217" t="s">
        <v>459</v>
      </c>
    </row>
    <row r="15" spans="1:7" x14ac:dyDescent="0.2">
      <c r="A15" s="115" t="s">
        <v>472</v>
      </c>
      <c r="D15" s="423">
        <v>29000</v>
      </c>
      <c r="E15" s="115" t="s">
        <v>466</v>
      </c>
      <c r="F15" s="115" t="s">
        <v>465</v>
      </c>
    </row>
    <row r="16" spans="1:7" x14ac:dyDescent="0.2">
      <c r="A16" s="115" t="s">
        <v>473</v>
      </c>
      <c r="D16" s="423">
        <f>5100+6700</f>
        <v>11800</v>
      </c>
      <c r="E16" s="115" t="s">
        <v>466</v>
      </c>
      <c r="F16" t="s">
        <v>465</v>
      </c>
    </row>
    <row r="17" spans="1:19" x14ac:dyDescent="0.2">
      <c r="A17" s="115" t="s">
        <v>474</v>
      </c>
      <c r="D17" s="423">
        <v>5100</v>
      </c>
      <c r="E17" s="115" t="s">
        <v>466</v>
      </c>
      <c r="F17" t="s">
        <v>465</v>
      </c>
    </row>
    <row r="18" spans="1:19" x14ac:dyDescent="0.2">
      <c r="A18" s="115" t="s">
        <v>475</v>
      </c>
      <c r="D18" s="423">
        <v>4500</v>
      </c>
      <c r="E18" s="115" t="s">
        <v>466</v>
      </c>
      <c r="F18" t="s">
        <v>465</v>
      </c>
    </row>
    <row r="19" spans="1:19" x14ac:dyDescent="0.2">
      <c r="A19" s="115" t="s">
        <v>476</v>
      </c>
      <c r="D19" s="423">
        <f>5300+7100</f>
        <v>12400</v>
      </c>
      <c r="E19" s="115" t="s">
        <v>466</v>
      </c>
      <c r="F19" t="s">
        <v>465</v>
      </c>
    </row>
    <row r="20" spans="1:19" x14ac:dyDescent="0.2">
      <c r="A20" s="115" t="s">
        <v>477</v>
      </c>
      <c r="D20" s="423">
        <v>15000</v>
      </c>
      <c r="E20" s="115" t="s">
        <v>466</v>
      </c>
      <c r="F20" t="s">
        <v>465</v>
      </c>
    </row>
    <row r="21" spans="1:19" x14ac:dyDescent="0.2">
      <c r="A21" s="115" t="s">
        <v>478</v>
      </c>
      <c r="D21" s="425">
        <f>AVERAGE(D15:D20)</f>
        <v>12966.666666666666</v>
      </c>
    </row>
    <row r="22" spans="1:19" x14ac:dyDescent="0.2">
      <c r="A22" s="115" t="s">
        <v>470</v>
      </c>
      <c r="B22" s="425">
        <f>D21*B7/B8</f>
        <v>2607.6755488520193</v>
      </c>
    </row>
    <row r="23" spans="1:19" x14ac:dyDescent="0.2">
      <c r="A23" s="115" t="s">
        <v>471</v>
      </c>
      <c r="B23" s="425">
        <f>D21*B7/B9</f>
        <v>3702.1175350939802</v>
      </c>
    </row>
    <row r="24" spans="1:19" x14ac:dyDescent="0.2">
      <c r="A24" s="115"/>
    </row>
    <row r="25" spans="1:19" ht="24.75" x14ac:dyDescent="0.25">
      <c r="A25" s="160"/>
      <c r="B25" s="160"/>
      <c r="C25" s="147"/>
      <c r="D25" s="320"/>
      <c r="E25" s="498" t="s">
        <v>481</v>
      </c>
      <c r="F25" s="498" t="s">
        <v>482</v>
      </c>
      <c r="G25" s="498" t="s">
        <v>483</v>
      </c>
    </row>
    <row r="26" spans="1:19" s="426" customFormat="1" ht="15" customHeight="1" x14ac:dyDescent="0.25">
      <c r="A26" s="160"/>
      <c r="B26" s="160"/>
      <c r="C26" s="147"/>
      <c r="D26" s="432" t="s">
        <v>644</v>
      </c>
      <c r="E26" s="496">
        <f>323305.47*2</f>
        <v>646610.93999999994</v>
      </c>
      <c r="F26" s="497">
        <f>8606392.26*2</f>
        <v>17212784.52</v>
      </c>
      <c r="G26" s="497">
        <f>4106830*2</f>
        <v>8213660</v>
      </c>
      <c r="H26"/>
      <c r="I26" s="506"/>
      <c r="J26" s="506"/>
      <c r="K26" s="506"/>
    </row>
    <row r="27" spans="1:19" s="426" customFormat="1" ht="15" x14ac:dyDescent="0.25">
      <c r="A27" s="160"/>
      <c r="B27" s="160"/>
      <c r="C27" s="147"/>
      <c r="D27" s="320"/>
      <c r="I27" s="506"/>
      <c r="J27" s="506"/>
      <c r="K27" s="506"/>
    </row>
    <row r="28" spans="1:19" ht="15" x14ac:dyDescent="0.25">
      <c r="A28" s="353"/>
      <c r="B28" s="49"/>
      <c r="C28" s="49"/>
      <c r="D28" s="354"/>
      <c r="E28" s="355" t="s">
        <v>480</v>
      </c>
      <c r="F28" s="355"/>
      <c r="G28" s="355"/>
      <c r="H28" s="414"/>
      <c r="I28" s="355" t="s">
        <v>112</v>
      </c>
      <c r="J28" s="355"/>
      <c r="K28" s="355"/>
      <c r="L28" s="353"/>
      <c r="M28" s="353"/>
      <c r="N28" s="353"/>
      <c r="O28" s="353"/>
      <c r="P28" s="353"/>
      <c r="Q28" s="353"/>
      <c r="R28" s="353"/>
      <c r="S28" s="353"/>
    </row>
    <row r="29" spans="1:19" ht="60" x14ac:dyDescent="0.25">
      <c r="A29" s="353"/>
      <c r="B29" s="97" t="s">
        <v>45</v>
      </c>
      <c r="C29" s="97" t="s">
        <v>46</v>
      </c>
      <c r="D29" s="103" t="s">
        <v>113</v>
      </c>
      <c r="E29" s="97" t="s">
        <v>481</v>
      </c>
      <c r="F29" s="97" t="s">
        <v>482</v>
      </c>
      <c r="G29" s="97" t="s">
        <v>483</v>
      </c>
      <c r="H29" s="103" t="s">
        <v>514</v>
      </c>
      <c r="I29" s="356" t="s">
        <v>109</v>
      </c>
      <c r="J29" s="356" t="s">
        <v>52</v>
      </c>
      <c r="K29" s="356" t="s">
        <v>53</v>
      </c>
      <c r="L29" s="353"/>
      <c r="M29" s="353"/>
      <c r="N29" s="353"/>
      <c r="O29" s="353"/>
      <c r="P29" s="353"/>
      <c r="Q29" s="353"/>
      <c r="R29" s="353"/>
      <c r="S29" s="353"/>
    </row>
    <row r="30" spans="1:19" ht="15" x14ac:dyDescent="0.25">
      <c r="A30" s="353"/>
      <c r="B30" s="357">
        <f>'A - Inputs'!$C$7</f>
        <v>2022</v>
      </c>
      <c r="C30" s="438">
        <v>0</v>
      </c>
      <c r="D30" s="358">
        <f t="shared" ref="D30:D54" si="0">MAX(B30-_xlfn.SINGLE(BenefitStart)+1,0)</f>
        <v>0</v>
      </c>
      <c r="E30" s="96">
        <f>IF(OR($B30&lt;BenefitStart,$C30&gt;'A - Inputs'!$C$11),0,E$26)</f>
        <v>0</v>
      </c>
      <c r="F30" s="96">
        <f>IF(OR($B30&lt;BenefitStart,$C30&gt;'A - Inputs'!$C$11),0,F$26)</f>
        <v>0</v>
      </c>
      <c r="G30" s="96">
        <f>IF(OR($B30&lt;BenefitStart,$C30&gt;'A - Inputs'!$C$11),0,G$26)</f>
        <v>0</v>
      </c>
      <c r="H30" s="415">
        <f>'Wrong Way Detection_Backup'!AJ26</f>
        <v>0</v>
      </c>
      <c r="I30" s="96">
        <f t="shared" ref="I30:I65" si="1">SUM(E30:H30)</f>
        <v>0</v>
      </c>
      <c r="J30" s="96">
        <f>$I30/(1+0.03)^($B30-'A - Inputs'!$C$6)</f>
        <v>0</v>
      </c>
      <c r="K30" s="96">
        <f>$I30/(1+0.07)^($B30-'A - Inputs'!$C$6)</f>
        <v>0</v>
      </c>
      <c r="L30" s="353"/>
      <c r="M30" s="353"/>
      <c r="N30" s="353"/>
      <c r="O30" s="353"/>
      <c r="P30" s="353"/>
      <c r="Q30" s="353"/>
      <c r="R30" s="353"/>
      <c r="S30" s="353"/>
    </row>
    <row r="31" spans="1:19" ht="15" x14ac:dyDescent="0.25">
      <c r="A31" s="353"/>
      <c r="B31" s="67">
        <f>B30+1</f>
        <v>2023</v>
      </c>
      <c r="C31" s="67">
        <f>C30+1</f>
        <v>1</v>
      </c>
      <c r="D31" s="358">
        <f t="shared" si="0"/>
        <v>0</v>
      </c>
      <c r="E31" s="96">
        <f>IF(OR($B31&lt;BenefitStart,$C31&gt;'A - Inputs'!$C$11),0,E$26)</f>
        <v>0</v>
      </c>
      <c r="F31" s="96">
        <f>IF(OR($B31&lt;BenefitStart,$C31&gt;'A - Inputs'!$C$11),0,F$26)</f>
        <v>0</v>
      </c>
      <c r="G31" s="96">
        <f>IF(OR($B31&lt;BenefitStart,$C31&gt;'A - Inputs'!$C$11),0,G$26)</f>
        <v>0</v>
      </c>
      <c r="H31" s="415">
        <f>'Wrong Way Detection_Backup'!AJ27</f>
        <v>0</v>
      </c>
      <c r="I31" s="96">
        <f t="shared" si="1"/>
        <v>0</v>
      </c>
      <c r="J31" s="96">
        <f>$I31/(1+0.03)^($B31-'A - Inputs'!$C$6)</f>
        <v>0</v>
      </c>
      <c r="K31" s="96">
        <f>$I31/(1+0.07)^($B31-'A - Inputs'!$C$6)</f>
        <v>0</v>
      </c>
      <c r="L31" s="353"/>
      <c r="M31" s="353"/>
      <c r="N31" s="353"/>
      <c r="O31" s="353"/>
      <c r="P31" s="353"/>
      <c r="Q31" s="353"/>
      <c r="R31" s="353"/>
      <c r="S31" s="353"/>
    </row>
    <row r="32" spans="1:19" ht="15" x14ac:dyDescent="0.25">
      <c r="A32" s="353"/>
      <c r="B32" s="67">
        <f t="shared" ref="B32:C47" si="2">B31+1</f>
        <v>2024</v>
      </c>
      <c r="C32" s="67">
        <f t="shared" si="2"/>
        <v>2</v>
      </c>
      <c r="D32" s="358">
        <f t="shared" si="0"/>
        <v>0</v>
      </c>
      <c r="E32" s="96">
        <f>IF(OR($B32&lt;BenefitStart,$C32&gt;'A - Inputs'!$C$11),0,E$26)</f>
        <v>0</v>
      </c>
      <c r="F32" s="96">
        <f>IF(OR($B32&lt;BenefitStart,$C32&gt;'A - Inputs'!$C$11),0,F$26)</f>
        <v>0</v>
      </c>
      <c r="G32" s="96">
        <f>IF(OR($B32&lt;BenefitStart,$C32&gt;'A - Inputs'!$C$11),0,G$26)</f>
        <v>0</v>
      </c>
      <c r="H32" s="415">
        <f>'Wrong Way Detection_Backup'!AJ28</f>
        <v>0</v>
      </c>
      <c r="I32" s="96">
        <f t="shared" si="1"/>
        <v>0</v>
      </c>
      <c r="J32" s="96">
        <f>$I32/(1+0.03)^($B32-'A - Inputs'!$C$6)</f>
        <v>0</v>
      </c>
      <c r="K32" s="96">
        <f>$I32/(1+0.07)^($B32-'A - Inputs'!$C$6)</f>
        <v>0</v>
      </c>
      <c r="L32" s="353"/>
      <c r="M32" s="353"/>
      <c r="N32" s="353"/>
      <c r="O32" s="353"/>
      <c r="P32" s="353"/>
      <c r="Q32" s="353"/>
      <c r="R32" s="353"/>
      <c r="S32" s="353"/>
    </row>
    <row r="33" spans="1:19" ht="15" x14ac:dyDescent="0.25">
      <c r="A33" s="353"/>
      <c r="B33" s="67">
        <f t="shared" si="2"/>
        <v>2025</v>
      </c>
      <c r="C33" s="67">
        <f t="shared" si="2"/>
        <v>3</v>
      </c>
      <c r="D33" s="358">
        <f t="shared" si="0"/>
        <v>0</v>
      </c>
      <c r="E33" s="96">
        <f>IF(OR($B33&lt;BenefitStart,$C33&gt;'A - Inputs'!$C$11),0,E$26)</f>
        <v>0</v>
      </c>
      <c r="F33" s="96">
        <f>IF(OR($B33&lt;BenefitStart,$C33&gt;'A - Inputs'!$C$11),0,F$26)</f>
        <v>0</v>
      </c>
      <c r="G33" s="96">
        <f>IF(OR($B33&lt;BenefitStart,$C33&gt;'A - Inputs'!$C$11),0,G$26)</f>
        <v>0</v>
      </c>
      <c r="H33" s="415">
        <f>'Wrong Way Detection_Backup'!AJ29</f>
        <v>0</v>
      </c>
      <c r="I33" s="96">
        <f t="shared" si="1"/>
        <v>0</v>
      </c>
      <c r="J33" s="96">
        <f>$I33/(1+0.03)^($B33-'A - Inputs'!$C$6)</f>
        <v>0</v>
      </c>
      <c r="K33" s="96">
        <f>$I33/(1+0.07)^($B33-'A - Inputs'!$C$6)</f>
        <v>0</v>
      </c>
      <c r="L33" s="353"/>
      <c r="M33" s="353"/>
      <c r="N33" s="353"/>
      <c r="O33" s="353"/>
      <c r="P33" s="353"/>
      <c r="Q33" s="353"/>
      <c r="R33" s="353"/>
      <c r="S33" s="353"/>
    </row>
    <row r="34" spans="1:19" ht="15" x14ac:dyDescent="0.25">
      <c r="A34" s="353"/>
      <c r="B34" s="67">
        <f t="shared" si="2"/>
        <v>2026</v>
      </c>
      <c r="C34" s="67">
        <f t="shared" si="2"/>
        <v>4</v>
      </c>
      <c r="D34" s="358">
        <f t="shared" si="0"/>
        <v>0</v>
      </c>
      <c r="E34" s="96">
        <f>IF(OR($B34&lt;BenefitStart,$C34&gt;'A - Inputs'!$C$11),0,E$26)</f>
        <v>0</v>
      </c>
      <c r="F34" s="96">
        <f>IF(OR($B34&lt;BenefitStart,$C34&gt;'A - Inputs'!$C$11),0,F$26)</f>
        <v>0</v>
      </c>
      <c r="G34" s="96">
        <f>IF(OR($B34&lt;BenefitStart,$C34&gt;'A - Inputs'!$C$11),0,G$26)</f>
        <v>0</v>
      </c>
      <c r="H34" s="415">
        <f>'Wrong Way Detection_Backup'!AJ30</f>
        <v>0</v>
      </c>
      <c r="I34" s="96">
        <f t="shared" si="1"/>
        <v>0</v>
      </c>
      <c r="J34" s="96">
        <f>$I34/(1+0.03)^($B34-'A - Inputs'!$C$6)</f>
        <v>0</v>
      </c>
      <c r="K34" s="96">
        <f>$I34/(1+0.07)^($B34-'A - Inputs'!$C$6)</f>
        <v>0</v>
      </c>
      <c r="L34" s="353"/>
      <c r="M34" s="353"/>
      <c r="N34" s="353"/>
      <c r="O34" s="353"/>
      <c r="P34" s="353"/>
      <c r="Q34" s="353"/>
      <c r="R34" s="353"/>
      <c r="S34" s="353"/>
    </row>
    <row r="35" spans="1:19" ht="15" x14ac:dyDescent="0.25">
      <c r="A35" s="353"/>
      <c r="B35" s="67">
        <f t="shared" si="2"/>
        <v>2027</v>
      </c>
      <c r="C35" s="67">
        <f t="shared" si="2"/>
        <v>5</v>
      </c>
      <c r="D35" s="358">
        <f t="shared" si="0"/>
        <v>0</v>
      </c>
      <c r="E35" s="96">
        <f>IF(OR($B35&lt;BenefitStart,$C35&gt;'A - Inputs'!$C$11),0,E$26)</f>
        <v>0</v>
      </c>
      <c r="F35" s="96">
        <f>IF(OR($B35&lt;BenefitStart,$C35&gt;'A - Inputs'!$C$11),0,F$26)</f>
        <v>0</v>
      </c>
      <c r="G35" s="96">
        <f>IF(OR($B35&lt;BenefitStart,$C35&gt;'A - Inputs'!$C$11),0,G$26)</f>
        <v>0</v>
      </c>
      <c r="H35" s="415">
        <f>'Wrong Way Detection_Backup'!AJ31</f>
        <v>0</v>
      </c>
      <c r="I35" s="96">
        <f t="shared" si="1"/>
        <v>0</v>
      </c>
      <c r="J35" s="96">
        <f>$I35/(1+0.03)^($B35-'A - Inputs'!$C$6)</f>
        <v>0</v>
      </c>
      <c r="K35" s="96">
        <f>$I35/(1+0.07)^($B35-'A - Inputs'!$C$6)</f>
        <v>0</v>
      </c>
      <c r="L35" s="353"/>
      <c r="M35" s="353"/>
      <c r="N35" s="353"/>
      <c r="O35" s="353"/>
      <c r="P35" s="353"/>
      <c r="Q35" s="353"/>
      <c r="R35" s="353"/>
      <c r="S35" s="353"/>
    </row>
    <row r="36" spans="1:19" ht="15" x14ac:dyDescent="0.25">
      <c r="B36" s="66">
        <f t="shared" si="2"/>
        <v>2028</v>
      </c>
      <c r="C36" s="66">
        <f t="shared" si="2"/>
        <v>6</v>
      </c>
      <c r="D36" s="32">
        <f t="shared" si="0"/>
        <v>1</v>
      </c>
      <c r="E36" s="96">
        <f>IF(OR($B36&lt;BenefitStart,$C36&gt;'A - Inputs'!$C$11),0,E$26)</f>
        <v>646610.93999999994</v>
      </c>
      <c r="F36" s="413">
        <f>IF(OR($B36&lt;BenefitStart,$C36&gt;'A - Inputs'!$C$11),0,F$26)</f>
        <v>17212784.52</v>
      </c>
      <c r="G36" s="413">
        <f>IF(OR($B36&lt;BenefitStart,$C36&gt;'A - Inputs'!$C$11),0,G$26)</f>
        <v>8213660</v>
      </c>
      <c r="H36" s="415">
        <f>'Wrong Way Detection_Backup'!AJ32</f>
        <v>460982.9436491864</v>
      </c>
      <c r="I36" s="96">
        <f t="shared" si="1"/>
        <v>26534038.403649189</v>
      </c>
      <c r="J36" s="33">
        <f>$I36/(1+0.03)^($B36-'A - Inputs'!$C$6)</f>
        <v>20336131.009205118</v>
      </c>
      <c r="K36" s="33">
        <f>$I36/(1+0.07)^($B36-'A - Inputs'!$C$6)</f>
        <v>14432758.814768415</v>
      </c>
    </row>
    <row r="37" spans="1:19" ht="15" x14ac:dyDescent="0.25">
      <c r="B37" s="66">
        <f t="shared" si="2"/>
        <v>2029</v>
      </c>
      <c r="C37" s="66">
        <f t="shared" si="2"/>
        <v>7</v>
      </c>
      <c r="D37" s="32">
        <f t="shared" si="0"/>
        <v>2</v>
      </c>
      <c r="E37" s="96">
        <f>IF(OR($B37&lt;BenefitStart,$C37&gt;'A - Inputs'!$C$11),0,E$26)</f>
        <v>646610.93999999994</v>
      </c>
      <c r="F37" s="371">
        <f>IF(OR($B37&lt;BenefitStart,$C37&gt;'A - Inputs'!$C$11),0,F$26)</f>
        <v>17212784.52</v>
      </c>
      <c r="G37" s="371">
        <f>IF(OR($B37&lt;BenefitStart,$C37&gt;'A - Inputs'!$C$11),0,G$26)</f>
        <v>8213660</v>
      </c>
      <c r="H37" s="415">
        <f>'Wrong Way Detection_Backup'!AJ33</f>
        <v>460982.9436491864</v>
      </c>
      <c r="I37" s="96">
        <f t="shared" si="1"/>
        <v>26534038.403649189</v>
      </c>
      <c r="J37" s="33">
        <f>$I37/(1+0.03)^($B37-'A - Inputs'!$C$6)</f>
        <v>19743816.513791379</v>
      </c>
      <c r="K37" s="33">
        <f>$I37/(1+0.07)^($B37-'A - Inputs'!$C$6)</f>
        <v>13488559.639970483</v>
      </c>
    </row>
    <row r="38" spans="1:19" ht="15" x14ac:dyDescent="0.25">
      <c r="B38" s="66">
        <f t="shared" si="2"/>
        <v>2030</v>
      </c>
      <c r="C38" s="66">
        <f t="shared" si="2"/>
        <v>8</v>
      </c>
      <c r="D38" s="32">
        <f t="shared" si="0"/>
        <v>3</v>
      </c>
      <c r="E38" s="96">
        <f>IF(OR($B38&lt;BenefitStart,$C38&gt;'A - Inputs'!$C$11),0,E$26)</f>
        <v>646610.93999999994</v>
      </c>
      <c r="F38" s="371">
        <f>IF(OR($B38&lt;BenefitStart,$C38&gt;'A - Inputs'!$C$11),0,F$26)</f>
        <v>17212784.52</v>
      </c>
      <c r="G38" s="371">
        <f>IF(OR($B38&lt;BenefitStart,$C38&gt;'A - Inputs'!$C$11),0,G$26)</f>
        <v>8213660</v>
      </c>
      <c r="H38" s="415">
        <f>'Wrong Way Detection_Backup'!AJ34</f>
        <v>460982.9436491864</v>
      </c>
      <c r="I38" s="96">
        <f t="shared" si="1"/>
        <v>26534038.403649189</v>
      </c>
      <c r="J38" s="33">
        <f>$I38/(1+0.03)^($B38-'A - Inputs'!$C$6)</f>
        <v>19168753.896884833</v>
      </c>
      <c r="K38" s="33">
        <f>$I38/(1+0.07)^($B38-'A - Inputs'!$C$6)</f>
        <v>12606130.504645308</v>
      </c>
    </row>
    <row r="39" spans="1:19" ht="15" x14ac:dyDescent="0.25">
      <c r="B39" s="66">
        <f t="shared" si="2"/>
        <v>2031</v>
      </c>
      <c r="C39" s="66">
        <f t="shared" si="2"/>
        <v>9</v>
      </c>
      <c r="D39" s="32">
        <f t="shared" si="0"/>
        <v>4</v>
      </c>
      <c r="E39" s="96">
        <f>IF(OR($B39&lt;BenefitStart,$C39&gt;'A - Inputs'!$C$11),0,E$26)</f>
        <v>646610.93999999994</v>
      </c>
      <c r="F39" s="371">
        <f>IF(OR($B39&lt;BenefitStart,$C39&gt;'A - Inputs'!$C$11),0,F$26)</f>
        <v>17212784.52</v>
      </c>
      <c r="G39" s="371">
        <f>IF(OR($B39&lt;BenefitStart,$C39&gt;'A - Inputs'!$C$11),0,G$26)</f>
        <v>8213660</v>
      </c>
      <c r="H39" s="415">
        <f>'Wrong Way Detection_Backup'!AJ35</f>
        <v>460982.9436491864</v>
      </c>
      <c r="I39" s="96">
        <f t="shared" si="1"/>
        <v>26534038.403649189</v>
      </c>
      <c r="J39" s="33">
        <f>$I39/(1+0.03)^($B39-'A - Inputs'!$C$6)</f>
        <v>18610440.676587217</v>
      </c>
      <c r="K39" s="33">
        <f>$I39/(1+0.07)^($B39-'A - Inputs'!$C$6)</f>
        <v>11781430.378173187</v>
      </c>
    </row>
    <row r="40" spans="1:19" ht="15" x14ac:dyDescent="0.25">
      <c r="B40" s="66">
        <f t="shared" si="2"/>
        <v>2032</v>
      </c>
      <c r="C40" s="66">
        <f t="shared" si="2"/>
        <v>10</v>
      </c>
      <c r="D40" s="32">
        <f t="shared" si="0"/>
        <v>5</v>
      </c>
      <c r="E40" s="96">
        <f>IF(OR($B40&lt;BenefitStart,$C40&gt;'A - Inputs'!$C$11),0,E$26)</f>
        <v>646610.93999999994</v>
      </c>
      <c r="F40" s="371">
        <f>IF(OR($B40&lt;BenefitStart,$C40&gt;'A - Inputs'!$C$11),0,F$26)</f>
        <v>17212784.52</v>
      </c>
      <c r="G40" s="371">
        <f>IF(OR($B40&lt;BenefitStart,$C40&gt;'A - Inputs'!$C$11),0,G$26)</f>
        <v>8213660</v>
      </c>
      <c r="H40" s="415">
        <f>'Wrong Way Detection_Backup'!AJ36</f>
        <v>460982.9436491864</v>
      </c>
      <c r="I40" s="96">
        <f t="shared" si="1"/>
        <v>26534038.403649189</v>
      </c>
      <c r="J40" s="33">
        <f>$I40/(1+0.03)^($B40-'A - Inputs'!$C$6)</f>
        <v>18068389.006395359</v>
      </c>
      <c r="K40" s="33">
        <f>$I40/(1+0.07)^($B40-'A - Inputs'!$C$6)</f>
        <v>11010682.59642354</v>
      </c>
    </row>
    <row r="41" spans="1:19" ht="15" x14ac:dyDescent="0.25">
      <c r="B41" s="66">
        <f t="shared" si="2"/>
        <v>2033</v>
      </c>
      <c r="C41" s="66">
        <f t="shared" si="2"/>
        <v>11</v>
      </c>
      <c r="D41" s="32">
        <f t="shared" si="0"/>
        <v>6</v>
      </c>
      <c r="E41" s="96">
        <f>IF(OR($B41&lt;BenefitStart,$C41&gt;'A - Inputs'!$C$11),0,E$26)</f>
        <v>646610.93999999994</v>
      </c>
      <c r="F41" s="371">
        <f>IF(OR($B41&lt;BenefitStart,$C41&gt;'A - Inputs'!$C$11),0,F$26)</f>
        <v>17212784.52</v>
      </c>
      <c r="G41" s="371">
        <f>IF(OR($B41&lt;BenefitStart,$C41&gt;'A - Inputs'!$C$11),0,G$26)</f>
        <v>8213660</v>
      </c>
      <c r="H41" s="415">
        <f>'Wrong Way Detection_Backup'!AJ37</f>
        <v>460982.9436491864</v>
      </c>
      <c r="I41" s="96">
        <f t="shared" si="1"/>
        <v>26534038.403649189</v>
      </c>
      <c r="J41" s="33">
        <f>$I41/(1+0.03)^($B41-'A - Inputs'!$C$6)</f>
        <v>17542125.24892753</v>
      </c>
      <c r="K41" s="33">
        <f>$I41/(1+0.07)^($B41-'A - Inputs'!$C$6)</f>
        <v>10290357.566750972</v>
      </c>
    </row>
    <row r="42" spans="1:19" ht="15" x14ac:dyDescent="0.25">
      <c r="B42" s="66">
        <f t="shared" si="2"/>
        <v>2034</v>
      </c>
      <c r="C42" s="66">
        <f t="shared" si="2"/>
        <v>12</v>
      </c>
      <c r="D42" s="32">
        <f t="shared" si="0"/>
        <v>7</v>
      </c>
      <c r="E42" s="96">
        <f>IF(OR($B42&lt;BenefitStart,$C42&gt;'A - Inputs'!$C$11),0,E$26)</f>
        <v>646610.93999999994</v>
      </c>
      <c r="F42" s="371">
        <f>IF(OR($B42&lt;BenefitStart,$C42&gt;'A - Inputs'!$C$11),0,F$26)</f>
        <v>17212784.52</v>
      </c>
      <c r="G42" s="371">
        <f>IF(OR($B42&lt;BenefitStart,$C42&gt;'A - Inputs'!$C$11),0,G$26)</f>
        <v>8213660</v>
      </c>
      <c r="H42" s="415">
        <f>'Wrong Way Detection_Backup'!AJ38</f>
        <v>460982.9436491864</v>
      </c>
      <c r="I42" s="96">
        <f t="shared" si="1"/>
        <v>26534038.403649189</v>
      </c>
      <c r="J42" s="33">
        <f>$I42/(1+0.03)^($B42-'A - Inputs'!$C$6)</f>
        <v>17031189.562065564</v>
      </c>
      <c r="K42" s="33">
        <f>$I42/(1+0.07)^($B42-'A - Inputs'!$C$6)</f>
        <v>9617156.6044401601</v>
      </c>
    </row>
    <row r="43" spans="1:19" ht="15" x14ac:dyDescent="0.25">
      <c r="B43" s="66">
        <f t="shared" si="2"/>
        <v>2035</v>
      </c>
      <c r="C43" s="66">
        <f t="shared" si="2"/>
        <v>13</v>
      </c>
      <c r="D43" s="32">
        <f t="shared" si="0"/>
        <v>8</v>
      </c>
      <c r="E43" s="96">
        <f>IF(OR($B43&lt;BenefitStart,$C43&gt;'A - Inputs'!$C$11),0,E$26)</f>
        <v>646610.93999999994</v>
      </c>
      <c r="F43" s="371">
        <f>IF(OR($B43&lt;BenefitStart,$C43&gt;'A - Inputs'!$C$11),0,F$26)</f>
        <v>17212784.52</v>
      </c>
      <c r="G43" s="371">
        <f>IF(OR($B43&lt;BenefitStart,$C43&gt;'A - Inputs'!$C$11),0,G$26)</f>
        <v>8213660</v>
      </c>
      <c r="H43" s="415">
        <f>'Wrong Way Detection_Backup'!AJ39</f>
        <v>460982.9436491864</v>
      </c>
      <c r="I43" s="96">
        <f t="shared" si="1"/>
        <v>26534038.403649189</v>
      </c>
      <c r="J43" s="33">
        <f>$I43/(1+0.03)^($B43-'A - Inputs'!$C$6)</f>
        <v>16535135.497151034</v>
      </c>
      <c r="K43" s="33">
        <f>$I43/(1+0.07)^($B43-'A - Inputs'!$C$6)</f>
        <v>8987996.8265795894</v>
      </c>
    </row>
    <row r="44" spans="1:19" ht="15" x14ac:dyDescent="0.25">
      <c r="B44" s="66">
        <f t="shared" si="2"/>
        <v>2036</v>
      </c>
      <c r="C44" s="66">
        <f t="shared" si="2"/>
        <v>14</v>
      </c>
      <c r="D44" s="32">
        <f t="shared" si="0"/>
        <v>9</v>
      </c>
      <c r="E44" s="96">
        <f>IF(OR($B44&lt;BenefitStart,$C44&gt;'A - Inputs'!$C$11),0,E$26)</f>
        <v>646610.93999999994</v>
      </c>
      <c r="F44" s="371">
        <f>IF(OR($B44&lt;BenefitStart,$C44&gt;'A - Inputs'!$C$11),0,F$26)</f>
        <v>17212784.52</v>
      </c>
      <c r="G44" s="371">
        <f>IF(OR($B44&lt;BenefitStart,$C44&gt;'A - Inputs'!$C$11),0,G$26)</f>
        <v>8213660</v>
      </c>
      <c r="H44" s="415">
        <f>'Wrong Way Detection_Backup'!AJ40</f>
        <v>460982.9436491864</v>
      </c>
      <c r="I44" s="96">
        <f t="shared" si="1"/>
        <v>26534038.403649189</v>
      </c>
      <c r="J44" s="33">
        <f>$I44/(1+0.03)^($B44-'A - Inputs'!$C$6)</f>
        <v>16053529.608884498</v>
      </c>
      <c r="K44" s="33">
        <f>$I44/(1+0.07)^($B44-'A - Inputs'!$C$6)</f>
        <v>8399997.0341865327</v>
      </c>
    </row>
    <row r="45" spans="1:19" ht="15" x14ac:dyDescent="0.25">
      <c r="B45" s="66">
        <f t="shared" si="2"/>
        <v>2037</v>
      </c>
      <c r="C45" s="66">
        <f t="shared" si="2"/>
        <v>15</v>
      </c>
      <c r="D45" s="32">
        <f t="shared" si="0"/>
        <v>10</v>
      </c>
      <c r="E45" s="96">
        <f>IF(OR($B45&lt;BenefitStart,$C45&gt;'A - Inputs'!$C$11),0,E$26)</f>
        <v>646610.93999999994</v>
      </c>
      <c r="F45" s="371">
        <f>IF(OR($B45&lt;BenefitStart,$C45&gt;'A - Inputs'!$C$11),0,F$26)</f>
        <v>17212784.52</v>
      </c>
      <c r="G45" s="371">
        <f>IF(OR($B45&lt;BenefitStart,$C45&gt;'A - Inputs'!$C$11),0,G$26)</f>
        <v>8213660</v>
      </c>
      <c r="H45" s="415">
        <f>'Wrong Way Detection_Backup'!AJ41</f>
        <v>460982.9436491864</v>
      </c>
      <c r="I45" s="96">
        <f t="shared" si="1"/>
        <v>26534038.403649189</v>
      </c>
      <c r="J45" s="33">
        <f>$I45/(1+0.03)^($B45-'A - Inputs'!$C$6)</f>
        <v>15585951.076586893</v>
      </c>
      <c r="K45" s="33">
        <f>$I45/(1+0.07)^($B45-'A - Inputs'!$C$6)</f>
        <v>7850464.5179313384</v>
      </c>
    </row>
    <row r="46" spans="1:19" ht="15" x14ac:dyDescent="0.25">
      <c r="B46" s="66">
        <f t="shared" si="2"/>
        <v>2038</v>
      </c>
      <c r="C46" s="66">
        <f t="shared" si="2"/>
        <v>16</v>
      </c>
      <c r="D46" s="32">
        <f t="shared" si="0"/>
        <v>11</v>
      </c>
      <c r="E46" s="96">
        <f>IF(OR($B46&lt;BenefitStart,$C46&gt;'A - Inputs'!$C$11),0,E$26)</f>
        <v>646610.93999999994</v>
      </c>
      <c r="F46" s="371">
        <f>IF(OR($B46&lt;BenefitStart,$C46&gt;'A - Inputs'!$C$11),0,F$26)</f>
        <v>17212784.52</v>
      </c>
      <c r="G46" s="371">
        <f>IF(OR($B46&lt;BenefitStart,$C46&gt;'A - Inputs'!$C$11),0,G$26)</f>
        <v>8213660</v>
      </c>
      <c r="H46" s="415">
        <f>'Wrong Way Detection_Backup'!AJ42</f>
        <v>460982.9436491864</v>
      </c>
      <c r="I46" s="96">
        <f t="shared" si="1"/>
        <v>26534038.403649189</v>
      </c>
      <c r="J46" s="33">
        <f>$I46/(1+0.03)^($B46-'A - Inputs'!$C$6)</f>
        <v>15131991.336492129</v>
      </c>
      <c r="K46" s="33">
        <f>$I46/(1+0.07)^($B46-'A - Inputs'!$C$6)</f>
        <v>7336882.727038634</v>
      </c>
    </row>
    <row r="47" spans="1:19" ht="15" x14ac:dyDescent="0.25">
      <c r="B47" s="66">
        <f t="shared" si="2"/>
        <v>2039</v>
      </c>
      <c r="C47" s="66">
        <f t="shared" si="2"/>
        <v>17</v>
      </c>
      <c r="D47" s="32">
        <f t="shared" si="0"/>
        <v>12</v>
      </c>
      <c r="E47" s="96">
        <f>IF(OR($B47&lt;BenefitStart,$C47&gt;'A - Inputs'!$C$11),0,E$26)</f>
        <v>646610.93999999994</v>
      </c>
      <c r="F47" s="371">
        <f>IF(OR($B47&lt;BenefitStart,$C47&gt;'A - Inputs'!$C$11),0,F$26)</f>
        <v>17212784.52</v>
      </c>
      <c r="G47" s="371">
        <f>IF(OR($B47&lt;BenefitStart,$C47&gt;'A - Inputs'!$C$11),0,G$26)</f>
        <v>8213660</v>
      </c>
      <c r="H47" s="415">
        <f>'Wrong Way Detection_Backup'!AJ43</f>
        <v>460982.9436491864</v>
      </c>
      <c r="I47" s="96">
        <f t="shared" si="1"/>
        <v>26534038.403649189</v>
      </c>
      <c r="J47" s="33">
        <f>$I47/(1+0.03)^($B47-'A - Inputs'!$C$6)</f>
        <v>14691253.72474964</v>
      </c>
      <c r="K47" s="33">
        <f>$I47/(1+0.07)^($B47-'A - Inputs'!$C$6)</f>
        <v>6856899.7448959202</v>
      </c>
    </row>
    <row r="48" spans="1:19" ht="15" x14ac:dyDescent="0.25">
      <c r="B48" s="66">
        <f t="shared" ref="B48:C54" si="3">B47+1</f>
        <v>2040</v>
      </c>
      <c r="C48" s="66">
        <f t="shared" si="3"/>
        <v>18</v>
      </c>
      <c r="D48" s="32">
        <f t="shared" si="0"/>
        <v>13</v>
      </c>
      <c r="E48" s="96">
        <f>IF(OR($B48&lt;BenefitStart,$C48&gt;'A - Inputs'!$C$11),0,E$26)</f>
        <v>646610.93999999994</v>
      </c>
      <c r="F48" s="371">
        <f>IF(OR($B48&lt;BenefitStart,$C48&gt;'A - Inputs'!$C$11),0,F$26)</f>
        <v>17212784.52</v>
      </c>
      <c r="G48" s="371">
        <f>IF(OR($B48&lt;BenefitStart,$C48&gt;'A - Inputs'!$C$11),0,G$26)</f>
        <v>8213660</v>
      </c>
      <c r="H48" s="415">
        <f>'Wrong Way Detection_Backup'!AJ44</f>
        <v>460982.9436491864</v>
      </c>
      <c r="I48" s="96">
        <f t="shared" si="1"/>
        <v>26534038.403649189</v>
      </c>
      <c r="J48" s="33">
        <f>$I48/(1+0.03)^($B48-'A - Inputs'!$C$6)</f>
        <v>14263353.130824896</v>
      </c>
      <c r="K48" s="33">
        <f>$I48/(1+0.07)^($B48-'A - Inputs'!$C$6)</f>
        <v>6408317.5185943171</v>
      </c>
    </row>
    <row r="49" spans="2:11" ht="15" x14ac:dyDescent="0.25">
      <c r="B49" s="66">
        <f t="shared" si="3"/>
        <v>2041</v>
      </c>
      <c r="C49" s="66">
        <f t="shared" si="3"/>
        <v>19</v>
      </c>
      <c r="D49" s="32">
        <f t="shared" si="0"/>
        <v>14</v>
      </c>
      <c r="E49" s="96">
        <f>IF(OR($B49&lt;BenefitStart,$C49&gt;'A - Inputs'!$C$11),0,E$26)</f>
        <v>646610.93999999994</v>
      </c>
      <c r="F49" s="371">
        <f>IF(OR($B49&lt;BenefitStart,$C49&gt;'A - Inputs'!$C$11),0,F$26)</f>
        <v>17212784.52</v>
      </c>
      <c r="G49" s="371">
        <f>IF(OR($B49&lt;BenefitStart,$C49&gt;'A - Inputs'!$C$11),0,G$26)</f>
        <v>8213660</v>
      </c>
      <c r="H49" s="415">
        <f>'Wrong Way Detection_Backup'!AJ45</f>
        <v>460982.9436491864</v>
      </c>
      <c r="I49" s="96">
        <f t="shared" si="1"/>
        <v>26534038.403649189</v>
      </c>
      <c r="J49" s="33">
        <f>$I49/(1+0.03)^($B49-'A - Inputs'!$C$6)</f>
        <v>13847915.660995042</v>
      </c>
      <c r="K49" s="33">
        <f>$I49/(1+0.07)^($B49-'A - Inputs'!$C$6)</f>
        <v>5989081.7930788016</v>
      </c>
    </row>
    <row r="50" spans="2:11" ht="15" x14ac:dyDescent="0.25">
      <c r="B50" s="66">
        <f t="shared" si="3"/>
        <v>2042</v>
      </c>
      <c r="C50" s="66">
        <f t="shared" si="3"/>
        <v>20</v>
      </c>
      <c r="D50" s="32">
        <f t="shared" si="0"/>
        <v>15</v>
      </c>
      <c r="E50" s="96">
        <f>IF(OR($B50&lt;BenefitStart,$C50&gt;'A - Inputs'!$C$11),0,E$26)</f>
        <v>646610.93999999994</v>
      </c>
      <c r="F50" s="371">
        <f>IF(OR($B50&lt;BenefitStart,$C50&gt;'A - Inputs'!$C$11),0,F$26)</f>
        <v>17212784.52</v>
      </c>
      <c r="G50" s="371">
        <f>IF(OR($B50&lt;BenefitStart,$C50&gt;'A - Inputs'!$C$11),0,G$26)</f>
        <v>8213660</v>
      </c>
      <c r="H50" s="415">
        <f>'Wrong Way Detection_Backup'!AJ46</f>
        <v>460982.9436491864</v>
      </c>
      <c r="I50" s="96">
        <f t="shared" si="1"/>
        <v>26534038.403649189</v>
      </c>
      <c r="J50" s="33">
        <f>$I50/(1+0.03)^($B50-'A - Inputs'!$C$6)</f>
        <v>13444578.311645672</v>
      </c>
      <c r="K50" s="33">
        <f>$I50/(1+0.07)^($B50-'A - Inputs'!$C$6)</f>
        <v>5597272.703811964</v>
      </c>
    </row>
    <row r="51" spans="2:11" ht="15" x14ac:dyDescent="0.25">
      <c r="B51" s="66">
        <f t="shared" si="3"/>
        <v>2043</v>
      </c>
      <c r="C51" s="66">
        <f t="shared" si="3"/>
        <v>21</v>
      </c>
      <c r="D51" s="32">
        <f t="shared" si="0"/>
        <v>16</v>
      </c>
      <c r="E51" s="96">
        <f>IF(OR($B51&lt;BenefitStart,$C51&gt;'A - Inputs'!$C$11),0,E$26)</f>
        <v>646610.93999999994</v>
      </c>
      <c r="F51" s="371">
        <f>IF(OR($B51&lt;BenefitStart,$C51&gt;'A - Inputs'!$C$11),0,F$26)</f>
        <v>17212784.52</v>
      </c>
      <c r="G51" s="371">
        <f>IF(OR($B51&lt;BenefitStart,$C51&gt;'A - Inputs'!$C$11),0,G$26)</f>
        <v>8213660</v>
      </c>
      <c r="H51" s="415">
        <f>'Wrong Way Detection_Backup'!AJ47</f>
        <v>460982.9436491864</v>
      </c>
      <c r="I51" s="96">
        <f t="shared" si="1"/>
        <v>26534038.403649189</v>
      </c>
      <c r="J51" s="33">
        <f>$I51/(1+0.03)^($B51-'A - Inputs'!$C$6)</f>
        <v>13052988.652083177</v>
      </c>
      <c r="K51" s="33">
        <f>$I51/(1+0.07)^($B51-'A - Inputs'!$C$6)</f>
        <v>5231095.9848709935</v>
      </c>
    </row>
    <row r="52" spans="2:11" ht="15" x14ac:dyDescent="0.25">
      <c r="B52" s="66">
        <f t="shared" si="3"/>
        <v>2044</v>
      </c>
      <c r="C52" s="66">
        <f t="shared" si="3"/>
        <v>22</v>
      </c>
      <c r="D52" s="32">
        <f t="shared" si="0"/>
        <v>17</v>
      </c>
      <c r="E52" s="96">
        <f>IF(OR($B52&lt;BenefitStart,$C52&gt;'A - Inputs'!$C$11),0,E$26)</f>
        <v>646610.93999999994</v>
      </c>
      <c r="F52" s="371">
        <f>IF(OR($B52&lt;BenefitStart,$C52&gt;'A - Inputs'!$C$11),0,F$26)</f>
        <v>17212784.52</v>
      </c>
      <c r="G52" s="371">
        <f>IF(OR($B52&lt;BenefitStart,$C52&gt;'A - Inputs'!$C$11),0,G$26)</f>
        <v>8213660</v>
      </c>
      <c r="H52" s="415">
        <f>'Wrong Way Detection_Backup'!AJ48</f>
        <v>460982.9436491864</v>
      </c>
      <c r="I52" s="96">
        <f t="shared" si="1"/>
        <v>26534038.403649189</v>
      </c>
      <c r="J52" s="33">
        <f>$I52/(1+0.03)^($B52-'A - Inputs'!$C$6)</f>
        <v>12672804.516585611</v>
      </c>
      <c r="K52" s="33">
        <f>$I52/(1+0.07)^($B52-'A - Inputs'!$C$6)</f>
        <v>4888874.7522158818</v>
      </c>
    </row>
    <row r="53" spans="2:11" ht="15" x14ac:dyDescent="0.25">
      <c r="B53" s="66">
        <f t="shared" si="3"/>
        <v>2045</v>
      </c>
      <c r="C53" s="66">
        <f t="shared" si="3"/>
        <v>23</v>
      </c>
      <c r="D53" s="32">
        <f t="shared" si="0"/>
        <v>18</v>
      </c>
      <c r="E53" s="96">
        <f>IF(OR($B53&lt;BenefitStart,$C53&gt;'A - Inputs'!$C$11),0,E$26)</f>
        <v>646610.93999999994</v>
      </c>
      <c r="F53" s="371">
        <f>IF(OR($B53&lt;BenefitStart,$C53&gt;'A - Inputs'!$C$11),0,F$26)</f>
        <v>17212784.52</v>
      </c>
      <c r="G53" s="371">
        <f>IF(OR($B53&lt;BenefitStart,$C53&gt;'A - Inputs'!$C$11),0,G$26)</f>
        <v>8213660</v>
      </c>
      <c r="H53" s="415">
        <f>'Wrong Way Detection_Backup'!AJ49</f>
        <v>460982.9436491864</v>
      </c>
      <c r="I53" s="96">
        <f t="shared" si="1"/>
        <v>26534038.403649189</v>
      </c>
      <c r="J53" s="33">
        <f>$I53/(1+0.03)^($B53-'A - Inputs'!$C$6)</f>
        <v>12303693.705422921</v>
      </c>
      <c r="K53" s="33">
        <f>$I53/(1+0.07)^($B53-'A - Inputs'!$C$6)</f>
        <v>4569041.8245008243</v>
      </c>
    </row>
    <row r="54" spans="2:11" ht="15" x14ac:dyDescent="0.25">
      <c r="B54" s="66">
        <f t="shared" si="3"/>
        <v>2046</v>
      </c>
      <c r="C54" s="66">
        <f t="shared" si="3"/>
        <v>24</v>
      </c>
      <c r="D54" s="32">
        <f t="shared" si="0"/>
        <v>19</v>
      </c>
      <c r="E54" s="96">
        <f>IF(OR($B54&lt;BenefitStart,$C54&gt;'A - Inputs'!$C$11),0,E$26)</f>
        <v>646610.93999999994</v>
      </c>
      <c r="F54" s="371">
        <f>IF(OR($B54&lt;BenefitStart,$C54&gt;'A - Inputs'!$C$11),0,F$26)</f>
        <v>17212784.52</v>
      </c>
      <c r="G54" s="371">
        <f>IF(OR($B54&lt;BenefitStart,$C54&gt;'A - Inputs'!$C$11),0,G$26)</f>
        <v>8213660</v>
      </c>
      <c r="H54" s="415">
        <f>'Wrong Way Detection_Backup'!AJ50</f>
        <v>460982.9436491864</v>
      </c>
      <c r="I54" s="96">
        <f t="shared" si="1"/>
        <v>26534038.403649189</v>
      </c>
      <c r="J54" s="33">
        <f>$I54/(1+0.03)^($B54-'A - Inputs'!$C$6)</f>
        <v>11945333.694585361</v>
      </c>
      <c r="K54" s="33">
        <f>$I54/(1+0.07)^($B54-'A - Inputs'!$C$6)</f>
        <v>4270132.5462624524</v>
      </c>
    </row>
    <row r="55" spans="2:11" s="426" customFormat="1" ht="15" x14ac:dyDescent="0.25">
      <c r="B55" s="66">
        <f t="shared" ref="B55:C55" si="4">B54+1</f>
        <v>2047</v>
      </c>
      <c r="C55" s="66">
        <f t="shared" si="4"/>
        <v>25</v>
      </c>
      <c r="D55" s="32">
        <f t="shared" ref="D55:D65" si="5">MAX(B55-_xlfn.SINGLE(BenefitStart)+1,0)</f>
        <v>20</v>
      </c>
      <c r="E55" s="96">
        <f>IF(OR($B55&lt;BenefitStart,$C55&gt;'A - Inputs'!$C$11),0,E$26)</f>
        <v>646610.93999999994</v>
      </c>
      <c r="F55" s="371">
        <f>IF(OR($B55&lt;BenefitStart,$C55&gt;'A - Inputs'!$C$11),0,F$26)</f>
        <v>17212784.52</v>
      </c>
      <c r="G55" s="371">
        <f>IF(OR($B55&lt;BenefitStart,$C55&gt;'A - Inputs'!$C$11),0,G$26)</f>
        <v>8213660</v>
      </c>
      <c r="H55" s="415">
        <f>'Wrong Way Detection_Backup'!AJ51</f>
        <v>460982.9436491864</v>
      </c>
      <c r="I55" s="96">
        <f t="shared" si="1"/>
        <v>26534038.403649189</v>
      </c>
      <c r="J55" s="33">
        <f>$I55/(1+0.03)^($B55-'A - Inputs'!$C$6)</f>
        <v>11597411.35396637</v>
      </c>
      <c r="K55" s="33">
        <f>$I55/(1+0.07)^($B55-'A - Inputs'!$C$6)</f>
        <v>3990778.0806191149</v>
      </c>
    </row>
    <row r="56" spans="2:11" s="426" customFormat="1" ht="15" x14ac:dyDescent="0.25">
      <c r="B56" s="66">
        <f t="shared" ref="B56:C56" si="6">B55+1</f>
        <v>2048</v>
      </c>
      <c r="C56" s="66">
        <f t="shared" si="6"/>
        <v>26</v>
      </c>
      <c r="D56" s="32">
        <f t="shared" si="5"/>
        <v>21</v>
      </c>
      <c r="E56" s="96">
        <f>IF(OR($B56&lt;BenefitStart,$C56&gt;'A - Inputs'!$C$11),0,E$26)</f>
        <v>0</v>
      </c>
      <c r="F56" s="371">
        <f>IF(OR($B56&lt;BenefitStart,$C56&gt;'A - Inputs'!$C$11),0,F$26)</f>
        <v>0</v>
      </c>
      <c r="G56" s="371">
        <f>IF(OR($B56&lt;BenefitStart,$C56&gt;'A - Inputs'!$C$11),0,G$26)</f>
        <v>0</v>
      </c>
      <c r="H56" s="415">
        <f>'Wrong Way Detection_Backup'!AJ52</f>
        <v>0</v>
      </c>
      <c r="I56" s="96">
        <f t="shared" si="1"/>
        <v>0</v>
      </c>
      <c r="J56" s="33">
        <f>$I56/(1+0.03)^($B56-'A - Inputs'!$C$6)</f>
        <v>0</v>
      </c>
      <c r="K56" s="33">
        <f>$I56/(1+0.07)^($B56-'A - Inputs'!$C$6)</f>
        <v>0</v>
      </c>
    </row>
    <row r="57" spans="2:11" s="426" customFormat="1" ht="15" x14ac:dyDescent="0.25">
      <c r="B57" s="66">
        <f t="shared" ref="B57:C57" si="7">B56+1</f>
        <v>2049</v>
      </c>
      <c r="C57" s="66">
        <f t="shared" si="7"/>
        <v>27</v>
      </c>
      <c r="D57" s="32">
        <f t="shared" si="5"/>
        <v>22</v>
      </c>
      <c r="E57" s="96">
        <f>IF(OR($B57&lt;BenefitStart,$C57&gt;'A - Inputs'!$C$11),0,E$26)</f>
        <v>0</v>
      </c>
      <c r="F57" s="371">
        <f>IF(OR($B57&lt;BenefitStart,$C57&gt;'A - Inputs'!$C$11),0,F$26)</f>
        <v>0</v>
      </c>
      <c r="G57" s="371">
        <f>IF(OR($B57&lt;BenefitStart,$C57&gt;'A - Inputs'!$C$11),0,G$26)</f>
        <v>0</v>
      </c>
      <c r="H57" s="415">
        <f>'Wrong Way Detection_Backup'!AJ53</f>
        <v>0</v>
      </c>
      <c r="I57" s="96">
        <f t="shared" si="1"/>
        <v>0</v>
      </c>
      <c r="J57" s="33">
        <f>$I57/(1+0.03)^($B57-'A - Inputs'!$C$6)</f>
        <v>0</v>
      </c>
      <c r="K57" s="33">
        <f>$I57/(1+0.07)^($B57-'A - Inputs'!$C$6)</f>
        <v>0</v>
      </c>
    </row>
    <row r="58" spans="2:11" s="426" customFormat="1" ht="15" x14ac:dyDescent="0.25">
      <c r="B58" s="66">
        <f t="shared" ref="B58:C58" si="8">B57+1</f>
        <v>2050</v>
      </c>
      <c r="C58" s="66">
        <f t="shared" si="8"/>
        <v>28</v>
      </c>
      <c r="D58" s="32">
        <f t="shared" si="5"/>
        <v>23</v>
      </c>
      <c r="E58" s="96">
        <f>IF(OR($B58&lt;BenefitStart,$C58&gt;'A - Inputs'!$C$11),0,E$26)</f>
        <v>0</v>
      </c>
      <c r="F58" s="371">
        <f>IF(OR($B58&lt;BenefitStart,$C58&gt;'A - Inputs'!$C$11),0,F$26)</f>
        <v>0</v>
      </c>
      <c r="G58" s="371">
        <f>IF(OR($B58&lt;BenefitStart,$C58&gt;'A - Inputs'!$C$11),0,G$26)</f>
        <v>0</v>
      </c>
      <c r="H58" s="415">
        <f>'Wrong Way Detection_Backup'!AJ54</f>
        <v>0</v>
      </c>
      <c r="I58" s="96">
        <f t="shared" si="1"/>
        <v>0</v>
      </c>
      <c r="J58" s="33">
        <f>$I58/(1+0.03)^($B58-'A - Inputs'!$C$6)</f>
        <v>0</v>
      </c>
      <c r="K58" s="33">
        <f>$I58/(1+0.07)^($B58-'A - Inputs'!$C$6)</f>
        <v>0</v>
      </c>
    </row>
    <row r="59" spans="2:11" s="426" customFormat="1" ht="15" x14ac:dyDescent="0.25">
      <c r="B59" s="66">
        <f t="shared" ref="B59:C59" si="9">B58+1</f>
        <v>2051</v>
      </c>
      <c r="C59" s="66">
        <f t="shared" si="9"/>
        <v>29</v>
      </c>
      <c r="D59" s="32">
        <f t="shared" si="5"/>
        <v>24</v>
      </c>
      <c r="E59" s="96">
        <f>IF(OR($B59&lt;BenefitStart,$C59&gt;'A - Inputs'!$C$11),0,E$26)</f>
        <v>0</v>
      </c>
      <c r="F59" s="371">
        <f>IF(OR($B59&lt;BenefitStart,$C59&gt;'A - Inputs'!$C$11),0,F$26)</f>
        <v>0</v>
      </c>
      <c r="G59" s="371">
        <f>IF(OR($B59&lt;BenefitStart,$C59&gt;'A - Inputs'!$C$11),0,G$26)</f>
        <v>0</v>
      </c>
      <c r="H59" s="415">
        <f>'Wrong Way Detection_Backup'!AJ55</f>
        <v>0</v>
      </c>
      <c r="I59" s="96">
        <f t="shared" si="1"/>
        <v>0</v>
      </c>
      <c r="J59" s="33">
        <f>$I59/(1+0.03)^($B59-'A - Inputs'!$C$6)</f>
        <v>0</v>
      </c>
      <c r="K59" s="33">
        <f>$I59/(1+0.07)^($B59-'A - Inputs'!$C$6)</f>
        <v>0</v>
      </c>
    </row>
    <row r="60" spans="2:11" s="426" customFormat="1" ht="15" x14ac:dyDescent="0.25">
      <c r="B60" s="66">
        <f t="shared" ref="B60:C60" si="10">B59+1</f>
        <v>2052</v>
      </c>
      <c r="C60" s="66">
        <f t="shared" si="10"/>
        <v>30</v>
      </c>
      <c r="D60" s="32">
        <f t="shared" si="5"/>
        <v>25</v>
      </c>
      <c r="E60" s="96">
        <f>IF(OR($B60&lt;BenefitStart,$C60&gt;'A - Inputs'!$C$11),0,E$26)</f>
        <v>0</v>
      </c>
      <c r="F60" s="371">
        <f>IF(OR($B60&lt;BenefitStart,$C60&gt;'A - Inputs'!$C$11),0,F$26)</f>
        <v>0</v>
      </c>
      <c r="G60" s="371">
        <f>IF(OR($B60&lt;BenefitStart,$C60&gt;'A - Inputs'!$C$11),0,G$26)</f>
        <v>0</v>
      </c>
      <c r="H60" s="415">
        <f>'Wrong Way Detection_Backup'!AJ56</f>
        <v>0</v>
      </c>
      <c r="I60" s="96">
        <f t="shared" si="1"/>
        <v>0</v>
      </c>
      <c r="J60" s="33">
        <f>$I60/(1+0.03)^($B60-'A - Inputs'!$C$6)</f>
        <v>0</v>
      </c>
      <c r="K60" s="33">
        <f>$I60/(1+0.07)^($B60-'A - Inputs'!$C$6)</f>
        <v>0</v>
      </c>
    </row>
    <row r="61" spans="2:11" s="426" customFormat="1" ht="15" x14ac:dyDescent="0.25">
      <c r="B61" s="66">
        <f t="shared" ref="B61:C61" si="11">B60+1</f>
        <v>2053</v>
      </c>
      <c r="C61" s="66">
        <f t="shared" si="11"/>
        <v>31</v>
      </c>
      <c r="D61" s="32">
        <f t="shared" si="5"/>
        <v>26</v>
      </c>
      <c r="E61" s="96">
        <f>IF(OR($B61&lt;BenefitStart,$C61&gt;'A - Inputs'!$C$11),0,E$26)</f>
        <v>0</v>
      </c>
      <c r="F61" s="371">
        <f>IF(OR($B61&lt;BenefitStart,$C61&gt;'A - Inputs'!$C$11),0,F$26)</f>
        <v>0</v>
      </c>
      <c r="G61" s="371">
        <f>IF(OR($B61&lt;BenefitStart,$C61&gt;'A - Inputs'!$C$11),0,G$26)</f>
        <v>0</v>
      </c>
      <c r="H61" s="415">
        <f>'Wrong Way Detection_Backup'!AJ57</f>
        <v>0</v>
      </c>
      <c r="I61" s="96">
        <f t="shared" si="1"/>
        <v>0</v>
      </c>
      <c r="J61" s="33">
        <f>$I61/(1+0.03)^($B61-'A - Inputs'!$C$6)</f>
        <v>0</v>
      </c>
      <c r="K61" s="33">
        <f>$I61/(1+0.07)^($B61-'A - Inputs'!$C$6)</f>
        <v>0</v>
      </c>
    </row>
    <row r="62" spans="2:11" s="426" customFormat="1" ht="15" x14ac:dyDescent="0.25">
      <c r="B62" s="66">
        <f t="shared" ref="B62:C62" si="12">B61+1</f>
        <v>2054</v>
      </c>
      <c r="C62" s="66">
        <f t="shared" si="12"/>
        <v>32</v>
      </c>
      <c r="D62" s="32">
        <f t="shared" si="5"/>
        <v>27</v>
      </c>
      <c r="E62" s="96">
        <f>IF(OR($B62&lt;BenefitStart,$C62&gt;'A - Inputs'!$C$11),0,E$26)</f>
        <v>0</v>
      </c>
      <c r="F62" s="371">
        <f>IF(OR($B62&lt;BenefitStart,$C62&gt;'A - Inputs'!$C$11),0,F$26)</f>
        <v>0</v>
      </c>
      <c r="G62" s="371">
        <f>IF(OR($B62&lt;BenefitStart,$C62&gt;'A - Inputs'!$C$11),0,G$26)</f>
        <v>0</v>
      </c>
      <c r="H62" s="415">
        <f>'Wrong Way Detection_Backup'!AJ58</f>
        <v>0</v>
      </c>
      <c r="I62" s="96">
        <f t="shared" si="1"/>
        <v>0</v>
      </c>
      <c r="J62" s="33">
        <f>$I62/(1+0.03)^($B62-'A - Inputs'!$C$6)</f>
        <v>0</v>
      </c>
      <c r="K62" s="33">
        <f>$I62/(1+0.07)^($B62-'A - Inputs'!$C$6)</f>
        <v>0</v>
      </c>
    </row>
    <row r="63" spans="2:11" s="426" customFormat="1" ht="15" x14ac:dyDescent="0.25">
      <c r="B63" s="66">
        <f t="shared" ref="B63:C63" si="13">B62+1</f>
        <v>2055</v>
      </c>
      <c r="C63" s="66">
        <f t="shared" si="13"/>
        <v>33</v>
      </c>
      <c r="D63" s="32">
        <f t="shared" si="5"/>
        <v>28</v>
      </c>
      <c r="E63" s="96">
        <f>IF(OR($B63&lt;BenefitStart,$C63&gt;'A - Inputs'!$C$11),0,E$26)</f>
        <v>0</v>
      </c>
      <c r="F63" s="371">
        <f>IF(OR($B63&lt;BenefitStart,$C63&gt;'A - Inputs'!$C$11),0,F$26)</f>
        <v>0</v>
      </c>
      <c r="G63" s="371">
        <f>IF(OR($B63&lt;BenefitStart,$C63&gt;'A - Inputs'!$C$11),0,G$26)</f>
        <v>0</v>
      </c>
      <c r="H63" s="415">
        <f>'Wrong Way Detection_Backup'!AJ59</f>
        <v>0</v>
      </c>
      <c r="I63" s="96">
        <f t="shared" si="1"/>
        <v>0</v>
      </c>
      <c r="J63" s="33">
        <f>$I63/(1+0.03)^($B63-'A - Inputs'!$C$6)</f>
        <v>0</v>
      </c>
      <c r="K63" s="33">
        <f>$I63/(1+0.07)^($B63-'A - Inputs'!$C$6)</f>
        <v>0</v>
      </c>
    </row>
    <row r="64" spans="2:11" s="426" customFormat="1" ht="15" x14ac:dyDescent="0.25">
      <c r="B64" s="66">
        <f t="shared" ref="B64:C64" si="14">B63+1</f>
        <v>2056</v>
      </c>
      <c r="C64" s="66">
        <f t="shared" si="14"/>
        <v>34</v>
      </c>
      <c r="D64" s="32">
        <f t="shared" si="5"/>
        <v>29</v>
      </c>
      <c r="E64" s="96">
        <f>IF(OR($B64&lt;BenefitStart,$C64&gt;'A - Inputs'!$C$11),0,E$26)</f>
        <v>0</v>
      </c>
      <c r="F64" s="371">
        <f>IF(OR($B64&lt;BenefitStart,$C64&gt;'A - Inputs'!$C$11),0,F$26)</f>
        <v>0</v>
      </c>
      <c r="G64" s="371">
        <f>IF(OR($B64&lt;BenefitStart,$C64&gt;'A - Inputs'!$C$11),0,G$26)</f>
        <v>0</v>
      </c>
      <c r="H64" s="415">
        <f>'Wrong Way Detection_Backup'!AJ60</f>
        <v>0</v>
      </c>
      <c r="I64" s="96">
        <f t="shared" si="1"/>
        <v>0</v>
      </c>
      <c r="J64" s="33">
        <f>$I64/(1+0.03)^($B64-'A - Inputs'!$C$6)</f>
        <v>0</v>
      </c>
      <c r="K64" s="33">
        <f>$I64/(1+0.07)^($B64-'A - Inputs'!$C$6)</f>
        <v>0</v>
      </c>
    </row>
    <row r="65" spans="2:11" s="426" customFormat="1" ht="15" x14ac:dyDescent="0.25">
      <c r="B65" s="66">
        <f t="shared" ref="B65:C65" si="15">B64+1</f>
        <v>2057</v>
      </c>
      <c r="C65" s="66">
        <f t="shared" si="15"/>
        <v>35</v>
      </c>
      <c r="D65" s="32">
        <f t="shared" si="5"/>
        <v>30</v>
      </c>
      <c r="E65" s="96">
        <f>IF(OR($B65&lt;BenefitStart,$C65&gt;'A - Inputs'!$C$11),0,E$26)</f>
        <v>0</v>
      </c>
      <c r="F65" s="371">
        <f>IF(OR($B65&lt;BenefitStart,$C65&gt;'A - Inputs'!$C$11),0,F$26)</f>
        <v>0</v>
      </c>
      <c r="G65" s="371">
        <f>IF(OR($B65&lt;BenefitStart,$C65&gt;'A - Inputs'!$C$11),0,G$26)</f>
        <v>0</v>
      </c>
      <c r="H65" s="415">
        <f>'Wrong Way Detection_Backup'!AJ61</f>
        <v>0</v>
      </c>
      <c r="I65" s="96">
        <f t="shared" si="1"/>
        <v>0</v>
      </c>
      <c r="J65" s="33">
        <f>$I65/(1+0.03)^($B65-'A - Inputs'!$C$6)</f>
        <v>0</v>
      </c>
      <c r="K65" s="33">
        <f>$I65/(1+0.07)^($B65-'A - Inputs'!$C$6)</f>
        <v>0</v>
      </c>
    </row>
    <row r="66" spans="2:11" ht="15" x14ac:dyDescent="0.25">
      <c r="B66" s="100"/>
      <c r="C66" s="100"/>
      <c r="D66" s="104"/>
      <c r="E66" s="260">
        <f t="shared" ref="E66:F66" si="16">SUM(E30:E65)</f>
        <v>12932218.799999993</v>
      </c>
      <c r="F66" s="412">
        <f t="shared" si="16"/>
        <v>344255690.39999998</v>
      </c>
      <c r="G66" s="412">
        <f>SUM(G30:G65)</f>
        <v>164273200</v>
      </c>
      <c r="H66" s="46">
        <f>SUM(H30:H65)</f>
        <v>9219658.8729837295</v>
      </c>
      <c r="I66" s="45">
        <f>SUM(I30:I65)</f>
        <v>530680768.07298392</v>
      </c>
      <c r="J66" s="45">
        <f>SUM(J30:J65)</f>
        <v>311626786.18383026</v>
      </c>
      <c r="K66" s="45">
        <f>SUM(K30:K65)</f>
        <v>163603912.15975848</v>
      </c>
    </row>
    <row r="67" spans="2:11" x14ac:dyDescent="0.2">
      <c r="B67" s="115" t="s">
        <v>695</v>
      </c>
    </row>
  </sheetData>
  <pageMargins left="0.7" right="0.7" top="0.75" bottom="0.75" header="0.3" footer="0.3"/>
  <pageSetup scale="75" orientation="portrait" r:id="rId1"/>
  <headerFooter>
    <oddHeader>&amp;L&amp;"Arial,Bold"FDOT - INFRA Grant for I-95&amp;R&amp;"Arial,Bold"&amp;A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021D8-B007-4C5B-9544-FA2D14F9741E}">
  <sheetPr codeName="Sheet11"/>
  <dimension ref="A3:V48"/>
  <sheetViews>
    <sheetView view="pageLayout" zoomScaleNormal="80" workbookViewId="0">
      <selection activeCell="E5" sqref="E5"/>
    </sheetView>
  </sheetViews>
  <sheetFormatPr defaultColWidth="8.7109375" defaultRowHeight="15" x14ac:dyDescent="0.25"/>
  <cols>
    <col min="1" max="1" width="21" style="31" customWidth="1"/>
    <col min="2" max="2" width="13.140625" style="31" bestFit="1" customWidth="1"/>
    <col min="3" max="5" width="13.140625" style="31" customWidth="1"/>
    <col min="6" max="15" width="18.140625" style="31" customWidth="1"/>
    <col min="16" max="16" width="11.5703125" style="31" bestFit="1" customWidth="1"/>
    <col min="17" max="16384" width="8.7109375" style="31"/>
  </cols>
  <sheetData>
    <row r="3" spans="1:22" ht="31.5" customHeight="1" x14ac:dyDescent="0.25">
      <c r="A3" s="453"/>
      <c r="B3" s="457"/>
      <c r="C3" s="517" t="s">
        <v>683</v>
      </c>
      <c r="D3" s="518"/>
      <c r="E3" s="519"/>
      <c r="F3" s="520" t="s">
        <v>666</v>
      </c>
      <c r="G3" s="521"/>
      <c r="H3" s="522"/>
      <c r="I3" s="520" t="s">
        <v>667</v>
      </c>
      <c r="J3" s="521"/>
      <c r="K3" s="522"/>
      <c r="P3" s="55"/>
      <c r="Q3" s="55"/>
      <c r="R3" s="455"/>
    </row>
    <row r="4" spans="1:22" ht="25.5" x14ac:dyDescent="0.25">
      <c r="A4" s="453"/>
      <c r="B4" s="458" t="s">
        <v>656</v>
      </c>
      <c r="C4" s="458" t="s">
        <v>684</v>
      </c>
      <c r="D4" s="458" t="s">
        <v>685</v>
      </c>
      <c r="E4" s="458" t="s">
        <v>686</v>
      </c>
      <c r="F4" s="458" t="s">
        <v>657</v>
      </c>
      <c r="G4" s="458" t="s">
        <v>658</v>
      </c>
      <c r="H4" s="458" t="s">
        <v>659</v>
      </c>
      <c r="I4" s="458" t="s">
        <v>660</v>
      </c>
      <c r="J4" s="458" t="s">
        <v>661</v>
      </c>
      <c r="K4" s="458" t="s">
        <v>662</v>
      </c>
      <c r="P4" s="63"/>
      <c r="Q4" s="63"/>
    </row>
    <row r="5" spans="1:22" ht="25.5" x14ac:dyDescent="0.25">
      <c r="A5" s="453"/>
      <c r="B5" s="458" t="s">
        <v>689</v>
      </c>
      <c r="C5" s="491">
        <v>75000000</v>
      </c>
      <c r="D5" s="528">
        <f>'D - Cost Estimate'!G3</f>
        <v>0.02</v>
      </c>
      <c r="E5" s="492">
        <f>C5/(1+D5)^(2023-2019)</f>
        <v>69288406.951988563</v>
      </c>
      <c r="F5" s="494">
        <v>2.1625999999999999</v>
      </c>
      <c r="G5" s="494">
        <v>0.78900000000000003</v>
      </c>
      <c r="H5" s="494">
        <v>17.308499999999999</v>
      </c>
      <c r="I5" s="493">
        <f>F5*E5</f>
        <v>149843108.87437046</v>
      </c>
      <c r="J5" s="493">
        <f>G5*E5</f>
        <v>54668553.085118979</v>
      </c>
      <c r="K5" s="495">
        <f>(E5/1000000)*H5</f>
        <v>1199.2783917284939</v>
      </c>
      <c r="L5" s="501"/>
      <c r="P5" s="63"/>
      <c r="Q5" s="63"/>
    </row>
    <row r="6" spans="1:22" x14ac:dyDescent="0.25">
      <c r="A6" s="453"/>
      <c r="B6" s="453"/>
      <c r="C6" s="502"/>
      <c r="D6" s="502"/>
      <c r="E6" s="453"/>
      <c r="F6" s="453"/>
      <c r="G6" s="453"/>
      <c r="H6" s="453"/>
      <c r="I6" s="453"/>
      <c r="J6" s="453"/>
      <c r="K6" s="454"/>
      <c r="L6" s="453"/>
      <c r="M6" s="453"/>
      <c r="R6" s="63"/>
      <c r="S6" s="63"/>
    </row>
    <row r="7" spans="1:22" x14ac:dyDescent="0.25">
      <c r="A7" s="453"/>
      <c r="B7" s="453"/>
      <c r="C7" s="502"/>
      <c r="D7" s="502"/>
      <c r="E7" s="453"/>
      <c r="F7" s="453"/>
      <c r="G7" s="453"/>
      <c r="H7" s="453"/>
      <c r="I7" s="453"/>
      <c r="J7" s="453"/>
      <c r="K7" s="453"/>
      <c r="L7" s="453"/>
      <c r="M7" s="454"/>
      <c r="S7" s="63"/>
      <c r="T7" s="63"/>
    </row>
    <row r="8" spans="1:22" ht="31.5" customHeight="1" x14ac:dyDescent="0.25">
      <c r="A8" s="453"/>
      <c r="B8" s="559" t="s">
        <v>665</v>
      </c>
      <c r="C8" s="559"/>
      <c r="D8" s="559"/>
      <c r="E8" s="559"/>
      <c r="F8" s="559"/>
      <c r="G8" s="559"/>
      <c r="H8" s="559"/>
      <c r="I8" s="559"/>
      <c r="J8" s="559"/>
      <c r="K8" s="559"/>
      <c r="L8" s="459"/>
      <c r="M8" s="459"/>
      <c r="N8" s="459"/>
      <c r="T8" s="63"/>
      <c r="U8" s="63"/>
    </row>
    <row r="9" spans="1:22" x14ac:dyDescent="0.25">
      <c r="T9" s="63"/>
      <c r="U9" s="63"/>
    </row>
    <row r="10" spans="1:22" x14ac:dyDescent="0.25">
      <c r="C10" s="525"/>
      <c r="F10" s="525"/>
      <c r="G10" s="8" t="s">
        <v>166</v>
      </c>
      <c r="H10" s="8"/>
      <c r="I10" s="8"/>
      <c r="T10" s="24"/>
      <c r="U10" s="24"/>
      <c r="V10" s="24"/>
    </row>
    <row r="11" spans="1:22" ht="30" x14ac:dyDescent="0.25">
      <c r="B11" s="34" t="s">
        <v>45</v>
      </c>
      <c r="C11" s="36" t="s">
        <v>46</v>
      </c>
      <c r="D11" s="34" t="s">
        <v>687</v>
      </c>
      <c r="E11" s="490" t="s">
        <v>670</v>
      </c>
      <c r="F11" s="526" t="s">
        <v>658</v>
      </c>
      <c r="G11" s="397" t="s">
        <v>80</v>
      </c>
      <c r="H11" s="397" t="s">
        <v>52</v>
      </c>
      <c r="I11" s="397" t="s">
        <v>53</v>
      </c>
      <c r="K11" s="31" t="s">
        <v>688</v>
      </c>
      <c r="O11"/>
      <c r="P11"/>
      <c r="Q11"/>
    </row>
    <row r="12" spans="1:22" x14ac:dyDescent="0.25">
      <c r="B12" s="40">
        <f>'A - Inputs'!$C$7</f>
        <v>2022</v>
      </c>
      <c r="C12" s="434">
        <v>0</v>
      </c>
      <c r="D12" s="524">
        <f>IFERROR(VLOOKUP(B12,$K$12:$L$17,2,FALSE),0)</f>
        <v>0</v>
      </c>
      <c r="E12" s="401">
        <f>$I$5*D12</f>
        <v>0</v>
      </c>
      <c r="F12" s="527">
        <f>$J$5*D12</f>
        <v>0</v>
      </c>
      <c r="G12" s="33">
        <f>SUM(E12:F12)</f>
        <v>0</v>
      </c>
      <c r="H12" s="33">
        <f>G12/(1+0.03)^($B12-'A - Inputs'!$C$6)</f>
        <v>0</v>
      </c>
      <c r="I12" s="39">
        <f>G12/(1+0.07)^($B12-'A - Inputs'!$C$6)</f>
        <v>0</v>
      </c>
      <c r="K12" s="31">
        <v>2022</v>
      </c>
      <c r="L12" s="473">
        <f>'D - Cost Estimate'!L14</f>
        <v>0</v>
      </c>
      <c r="O12"/>
      <c r="P12"/>
      <c r="Q12"/>
    </row>
    <row r="13" spans="1:22" x14ac:dyDescent="0.25">
      <c r="B13" s="161">
        <f t="shared" ref="B13:C28" si="0">B12+1</f>
        <v>2023</v>
      </c>
      <c r="C13" s="183">
        <f t="shared" si="0"/>
        <v>1</v>
      </c>
      <c r="D13" s="524">
        <f t="shared" ref="D13:D47" si="1">IFERROR(VLOOKUP(B13,$K$12:$L$17,2,FALSE),0)</f>
        <v>0.1</v>
      </c>
      <c r="E13" s="401">
        <f t="shared" ref="E13:E47" si="2">$I$5*D13</f>
        <v>14984310.887437046</v>
      </c>
      <c r="F13" s="527">
        <f t="shared" ref="F13:F47" si="3">$J$5*D13</f>
        <v>5466855.3085118979</v>
      </c>
      <c r="G13" s="33">
        <f t="shared" ref="G13:G47" si="4">SUM(E13:F13)</f>
        <v>20451166.195948943</v>
      </c>
      <c r="H13" s="33">
        <f>G13/(1+0.03)^($B13-'A - Inputs'!$C$6)</f>
        <v>18170596.279871807</v>
      </c>
      <c r="I13" s="39">
        <f>G13/(1+0.07)^($B13-'A - Inputs'!$C$6)</f>
        <v>15602096.771677649</v>
      </c>
      <c r="K13" s="31">
        <v>2023</v>
      </c>
      <c r="L13" s="473">
        <f>'D - Cost Estimate'!L15</f>
        <v>0.1</v>
      </c>
      <c r="N13"/>
      <c r="O13"/>
      <c r="P13"/>
      <c r="Q13"/>
    </row>
    <row r="14" spans="1:22" x14ac:dyDescent="0.25">
      <c r="B14" s="161">
        <f t="shared" si="0"/>
        <v>2024</v>
      </c>
      <c r="C14" s="183">
        <f t="shared" si="0"/>
        <v>2</v>
      </c>
      <c r="D14" s="524">
        <f t="shared" si="1"/>
        <v>0.22</v>
      </c>
      <c r="E14" s="401">
        <f t="shared" si="2"/>
        <v>32965483.952361502</v>
      </c>
      <c r="F14" s="527">
        <f t="shared" si="3"/>
        <v>12027081.678726176</v>
      </c>
      <c r="G14" s="33">
        <f t="shared" si="4"/>
        <v>44992565.631087676</v>
      </c>
      <c r="H14" s="33">
        <f>G14/(1+0.03)^($B14-'A - Inputs'!$C$6)</f>
        <v>38810982.345357262</v>
      </c>
      <c r="I14" s="39">
        <f>G14/(1+0.07)^($B14-'A - Inputs'!$C$6)</f>
        <v>32079077.474477407</v>
      </c>
      <c r="K14" s="31">
        <v>2024</v>
      </c>
      <c r="L14" s="473">
        <f>'D - Cost Estimate'!L16</f>
        <v>0.22</v>
      </c>
    </row>
    <row r="15" spans="1:22" x14ac:dyDescent="0.25">
      <c r="B15" s="161">
        <f t="shared" si="0"/>
        <v>2025</v>
      </c>
      <c r="C15" s="183">
        <f t="shared" si="0"/>
        <v>3</v>
      </c>
      <c r="D15" s="524">
        <f t="shared" si="1"/>
        <v>0.26</v>
      </c>
      <c r="E15" s="401">
        <f t="shared" si="2"/>
        <v>38959208.307336323</v>
      </c>
      <c r="F15" s="527">
        <f t="shared" si="3"/>
        <v>14213823.802130936</v>
      </c>
      <c r="G15" s="33">
        <f t="shared" si="4"/>
        <v>53173032.109467261</v>
      </c>
      <c r="H15" s="33">
        <f>G15/(1+0.03)^($B15-'A - Inputs'!$C$6)</f>
        <v>44531577.271813281</v>
      </c>
      <c r="I15" s="39">
        <f>G15/(1+0.07)^($B15-'A - Inputs'!$C$6)</f>
        <v>35431436.462889239</v>
      </c>
      <c r="K15" s="31">
        <v>2025</v>
      </c>
      <c r="L15" s="473">
        <f>'D - Cost Estimate'!L17</f>
        <v>0.26</v>
      </c>
    </row>
    <row r="16" spans="1:22" x14ac:dyDescent="0.25">
      <c r="B16" s="161">
        <f t="shared" si="0"/>
        <v>2026</v>
      </c>
      <c r="C16" s="183">
        <f t="shared" si="0"/>
        <v>4</v>
      </c>
      <c r="D16" s="524">
        <f t="shared" si="1"/>
        <v>0.24</v>
      </c>
      <c r="E16" s="401">
        <f t="shared" si="2"/>
        <v>35962346.129848905</v>
      </c>
      <c r="F16" s="527">
        <f t="shared" si="3"/>
        <v>13120452.740428554</v>
      </c>
      <c r="G16" s="33">
        <f t="shared" si="4"/>
        <v>49082798.870277457</v>
      </c>
      <c r="H16" s="33">
        <f>G16/(1+0.03)^($B16-'A - Inputs'!$C$6)</f>
        <v>39908807.114395753</v>
      </c>
      <c r="I16" s="39">
        <f>G16/(1+0.07)^($B16-'A - Inputs'!$C$6)</f>
        <v>30566300.327438585</v>
      </c>
      <c r="K16" s="31">
        <v>2026</v>
      </c>
      <c r="L16" s="473">
        <f>'D - Cost Estimate'!L18</f>
        <v>0.24</v>
      </c>
    </row>
    <row r="17" spans="2:12" x14ac:dyDescent="0.25">
      <c r="B17" s="161">
        <f t="shared" si="0"/>
        <v>2027</v>
      </c>
      <c r="C17" s="183">
        <f t="shared" si="0"/>
        <v>5</v>
      </c>
      <c r="D17" s="524">
        <f t="shared" si="1"/>
        <v>0.18</v>
      </c>
      <c r="E17" s="401">
        <f t="shared" si="2"/>
        <v>26971759.597386681</v>
      </c>
      <c r="F17" s="527">
        <f t="shared" si="3"/>
        <v>9840339.5553214159</v>
      </c>
      <c r="G17" s="33">
        <f t="shared" si="4"/>
        <v>36812099.152708098</v>
      </c>
      <c r="H17" s="33">
        <f>G17/(1+0.03)^($B17-'A - Inputs'!$C$6)</f>
        <v>29059811.005627982</v>
      </c>
      <c r="I17" s="39">
        <f>G17/(1+0.07)^($B17-'A - Inputs'!$C$6)</f>
        <v>21424976.865027051</v>
      </c>
      <c r="K17" s="31">
        <v>2027</v>
      </c>
      <c r="L17" s="473">
        <f>'D - Cost Estimate'!L19</f>
        <v>0.18</v>
      </c>
    </row>
    <row r="18" spans="2:12" x14ac:dyDescent="0.25">
      <c r="B18" s="161">
        <f t="shared" si="0"/>
        <v>2028</v>
      </c>
      <c r="C18" s="183">
        <f t="shared" si="0"/>
        <v>6</v>
      </c>
      <c r="D18" s="524">
        <f t="shared" si="1"/>
        <v>0</v>
      </c>
      <c r="E18" s="401">
        <f t="shared" si="2"/>
        <v>0</v>
      </c>
      <c r="F18" s="527">
        <f t="shared" si="3"/>
        <v>0</v>
      </c>
      <c r="G18" s="33">
        <f t="shared" si="4"/>
        <v>0</v>
      </c>
      <c r="H18" s="33">
        <f>G18/(1+0.03)^($B18-'A - Inputs'!$C$6)</f>
        <v>0</v>
      </c>
      <c r="I18" s="39">
        <f>G18/(1+0.07)^($B18-'A - Inputs'!$C$6)</f>
        <v>0</v>
      </c>
      <c r="K18" s="60" t="s">
        <v>80</v>
      </c>
      <c r="L18" s="62"/>
    </row>
    <row r="19" spans="2:12" x14ac:dyDescent="0.25">
      <c r="B19" s="161">
        <f t="shared" si="0"/>
        <v>2029</v>
      </c>
      <c r="C19" s="183">
        <f t="shared" si="0"/>
        <v>7</v>
      </c>
      <c r="D19" s="524">
        <f t="shared" si="1"/>
        <v>0</v>
      </c>
      <c r="E19" s="401">
        <f t="shared" si="2"/>
        <v>0</v>
      </c>
      <c r="F19" s="527">
        <f t="shared" si="3"/>
        <v>0</v>
      </c>
      <c r="G19" s="33">
        <f t="shared" si="4"/>
        <v>0</v>
      </c>
      <c r="H19" s="33">
        <f>G19/(1+0.03)^($B19-'A - Inputs'!$C$6)</f>
        <v>0</v>
      </c>
      <c r="I19" s="39">
        <f>G19/(1+0.07)^($B19-'A - Inputs'!$C$6)</f>
        <v>0</v>
      </c>
    </row>
    <row r="20" spans="2:12" x14ac:dyDescent="0.25">
      <c r="B20" s="161">
        <f t="shared" si="0"/>
        <v>2030</v>
      </c>
      <c r="C20" s="183">
        <f t="shared" si="0"/>
        <v>8</v>
      </c>
      <c r="D20" s="524">
        <f t="shared" si="1"/>
        <v>0</v>
      </c>
      <c r="E20" s="401">
        <f t="shared" si="2"/>
        <v>0</v>
      </c>
      <c r="F20" s="527">
        <f t="shared" si="3"/>
        <v>0</v>
      </c>
      <c r="G20" s="33">
        <f t="shared" si="4"/>
        <v>0</v>
      </c>
      <c r="H20" s="33">
        <f>G20/(1+0.03)^($B20-'A - Inputs'!$C$6)</f>
        <v>0</v>
      </c>
      <c r="I20" s="39">
        <f>G20/(1+0.07)^($B20-'A - Inputs'!$C$6)</f>
        <v>0</v>
      </c>
    </row>
    <row r="21" spans="2:12" x14ac:dyDescent="0.25">
      <c r="B21" s="161">
        <f t="shared" si="0"/>
        <v>2031</v>
      </c>
      <c r="C21" s="183">
        <f t="shared" si="0"/>
        <v>9</v>
      </c>
      <c r="D21" s="524">
        <f t="shared" si="1"/>
        <v>0</v>
      </c>
      <c r="E21" s="401">
        <f t="shared" si="2"/>
        <v>0</v>
      </c>
      <c r="F21" s="527">
        <f t="shared" si="3"/>
        <v>0</v>
      </c>
      <c r="G21" s="33">
        <f t="shared" si="4"/>
        <v>0</v>
      </c>
      <c r="H21" s="33">
        <f>G21/(1+0.03)^($B21-'A - Inputs'!$C$6)</f>
        <v>0</v>
      </c>
      <c r="I21" s="39">
        <f>G21/(1+0.07)^($B21-'A - Inputs'!$C$6)</f>
        <v>0</v>
      </c>
    </row>
    <row r="22" spans="2:12" x14ac:dyDescent="0.25">
      <c r="B22" s="161">
        <f t="shared" si="0"/>
        <v>2032</v>
      </c>
      <c r="C22" s="183">
        <f t="shared" si="0"/>
        <v>10</v>
      </c>
      <c r="D22" s="524">
        <f t="shared" si="1"/>
        <v>0</v>
      </c>
      <c r="E22" s="401">
        <f t="shared" si="2"/>
        <v>0</v>
      </c>
      <c r="F22" s="527">
        <f t="shared" si="3"/>
        <v>0</v>
      </c>
      <c r="G22" s="33">
        <f t="shared" si="4"/>
        <v>0</v>
      </c>
      <c r="H22" s="33">
        <f>G22/(1+0.03)^($B22-'A - Inputs'!$C$6)</f>
        <v>0</v>
      </c>
      <c r="I22" s="39">
        <f>G22/(1+0.07)^($B22-'A - Inputs'!$C$6)</f>
        <v>0</v>
      </c>
    </row>
    <row r="23" spans="2:12" x14ac:dyDescent="0.25">
      <c r="B23" s="161">
        <f t="shared" si="0"/>
        <v>2033</v>
      </c>
      <c r="C23" s="183">
        <f t="shared" si="0"/>
        <v>11</v>
      </c>
      <c r="D23" s="524">
        <f t="shared" si="1"/>
        <v>0</v>
      </c>
      <c r="E23" s="401">
        <f t="shared" si="2"/>
        <v>0</v>
      </c>
      <c r="F23" s="527">
        <f t="shared" si="3"/>
        <v>0</v>
      </c>
      <c r="G23" s="33">
        <f t="shared" si="4"/>
        <v>0</v>
      </c>
      <c r="H23" s="33">
        <f>G23/(1+0.03)^($B23-'A - Inputs'!$C$6)</f>
        <v>0</v>
      </c>
      <c r="I23" s="39">
        <f>G23/(1+0.07)^($B23-'A - Inputs'!$C$6)</f>
        <v>0</v>
      </c>
    </row>
    <row r="24" spans="2:12" x14ac:dyDescent="0.25">
      <c r="B24" s="161">
        <f t="shared" si="0"/>
        <v>2034</v>
      </c>
      <c r="C24" s="183">
        <f t="shared" si="0"/>
        <v>12</v>
      </c>
      <c r="D24" s="524">
        <f t="shared" si="1"/>
        <v>0</v>
      </c>
      <c r="E24" s="401">
        <f t="shared" si="2"/>
        <v>0</v>
      </c>
      <c r="F24" s="527">
        <f t="shared" si="3"/>
        <v>0</v>
      </c>
      <c r="G24" s="33">
        <f t="shared" si="4"/>
        <v>0</v>
      </c>
      <c r="H24" s="33">
        <f>G24/(1+0.03)^($B24-'A - Inputs'!$C$6)</f>
        <v>0</v>
      </c>
      <c r="I24" s="39">
        <f>G24/(1+0.07)^($B24-'A - Inputs'!$C$6)</f>
        <v>0</v>
      </c>
    </row>
    <row r="25" spans="2:12" x14ac:dyDescent="0.25">
      <c r="B25" s="161">
        <f t="shared" si="0"/>
        <v>2035</v>
      </c>
      <c r="C25" s="183">
        <f t="shared" si="0"/>
        <v>13</v>
      </c>
      <c r="D25" s="524">
        <f t="shared" si="1"/>
        <v>0</v>
      </c>
      <c r="E25" s="401">
        <f t="shared" si="2"/>
        <v>0</v>
      </c>
      <c r="F25" s="527">
        <f t="shared" si="3"/>
        <v>0</v>
      </c>
      <c r="G25" s="33">
        <f t="shared" si="4"/>
        <v>0</v>
      </c>
      <c r="H25" s="33">
        <f>G25/(1+0.03)^($B25-'A - Inputs'!$C$6)</f>
        <v>0</v>
      </c>
      <c r="I25" s="39">
        <f>G25/(1+0.07)^($B25-'A - Inputs'!$C$6)</f>
        <v>0</v>
      </c>
    </row>
    <row r="26" spans="2:12" x14ac:dyDescent="0.25">
      <c r="B26" s="161">
        <f t="shared" si="0"/>
        <v>2036</v>
      </c>
      <c r="C26" s="183">
        <f t="shared" si="0"/>
        <v>14</v>
      </c>
      <c r="D26" s="524">
        <f t="shared" si="1"/>
        <v>0</v>
      </c>
      <c r="E26" s="401">
        <f t="shared" si="2"/>
        <v>0</v>
      </c>
      <c r="F26" s="527">
        <f t="shared" si="3"/>
        <v>0</v>
      </c>
      <c r="G26" s="33">
        <f t="shared" si="4"/>
        <v>0</v>
      </c>
      <c r="H26" s="33">
        <f>G26/(1+0.03)^($B26-'A - Inputs'!$C$6)</f>
        <v>0</v>
      </c>
      <c r="I26" s="39">
        <f>G26/(1+0.07)^($B26-'A - Inputs'!$C$6)</f>
        <v>0</v>
      </c>
    </row>
    <row r="27" spans="2:12" x14ac:dyDescent="0.25">
      <c r="B27" s="161">
        <f t="shared" si="0"/>
        <v>2037</v>
      </c>
      <c r="C27" s="183">
        <f t="shared" si="0"/>
        <v>15</v>
      </c>
      <c r="D27" s="524">
        <f t="shared" si="1"/>
        <v>0</v>
      </c>
      <c r="E27" s="401">
        <f t="shared" si="2"/>
        <v>0</v>
      </c>
      <c r="F27" s="527">
        <f t="shared" si="3"/>
        <v>0</v>
      </c>
      <c r="G27" s="33">
        <f t="shared" si="4"/>
        <v>0</v>
      </c>
      <c r="H27" s="33">
        <f>G27/(1+0.03)^($B27-'A - Inputs'!$C$6)</f>
        <v>0</v>
      </c>
      <c r="I27" s="39">
        <f>G27/(1+0.07)^($B27-'A - Inputs'!$C$6)</f>
        <v>0</v>
      </c>
    </row>
    <row r="28" spans="2:12" x14ac:dyDescent="0.25">
      <c r="B28" s="161">
        <f t="shared" si="0"/>
        <v>2038</v>
      </c>
      <c r="C28" s="183">
        <f t="shared" si="0"/>
        <v>16</v>
      </c>
      <c r="D28" s="524">
        <f t="shared" si="1"/>
        <v>0</v>
      </c>
      <c r="E28" s="401">
        <f t="shared" si="2"/>
        <v>0</v>
      </c>
      <c r="F28" s="527">
        <f t="shared" si="3"/>
        <v>0</v>
      </c>
      <c r="G28" s="33">
        <f t="shared" si="4"/>
        <v>0</v>
      </c>
      <c r="H28" s="33">
        <f>G28/(1+0.03)^($B28-'A - Inputs'!$C$6)</f>
        <v>0</v>
      </c>
      <c r="I28" s="39">
        <f>G28/(1+0.07)^($B28-'A - Inputs'!$C$6)</f>
        <v>0</v>
      </c>
    </row>
    <row r="29" spans="2:12" x14ac:dyDescent="0.25">
      <c r="B29" s="161">
        <f t="shared" ref="B29:C40" si="5">B28+1</f>
        <v>2039</v>
      </c>
      <c r="C29" s="183">
        <f t="shared" si="5"/>
        <v>17</v>
      </c>
      <c r="D29" s="524">
        <f t="shared" si="1"/>
        <v>0</v>
      </c>
      <c r="E29" s="401">
        <f t="shared" si="2"/>
        <v>0</v>
      </c>
      <c r="F29" s="527">
        <f t="shared" si="3"/>
        <v>0</v>
      </c>
      <c r="G29" s="33">
        <f t="shared" si="4"/>
        <v>0</v>
      </c>
      <c r="H29" s="33">
        <f>G29/(1+0.03)^($B29-'A - Inputs'!$C$6)</f>
        <v>0</v>
      </c>
      <c r="I29" s="39">
        <f>G29/(1+0.07)^($B29-'A - Inputs'!$C$6)</f>
        <v>0</v>
      </c>
    </row>
    <row r="30" spans="2:12" x14ac:dyDescent="0.25">
      <c r="B30" s="161">
        <f t="shared" si="5"/>
        <v>2040</v>
      </c>
      <c r="C30" s="183">
        <f t="shared" si="5"/>
        <v>18</v>
      </c>
      <c r="D30" s="524">
        <f t="shared" si="1"/>
        <v>0</v>
      </c>
      <c r="E30" s="401">
        <f t="shared" si="2"/>
        <v>0</v>
      </c>
      <c r="F30" s="527">
        <f t="shared" si="3"/>
        <v>0</v>
      </c>
      <c r="G30" s="33">
        <f t="shared" si="4"/>
        <v>0</v>
      </c>
      <c r="H30" s="33">
        <f>G30/(1+0.03)^($B30-'A - Inputs'!$C$6)</f>
        <v>0</v>
      </c>
      <c r="I30" s="39">
        <f>G30/(1+0.07)^($B30-'A - Inputs'!$C$6)</f>
        <v>0</v>
      </c>
    </row>
    <row r="31" spans="2:12" x14ac:dyDescent="0.25">
      <c r="B31" s="161">
        <f t="shared" si="5"/>
        <v>2041</v>
      </c>
      <c r="C31" s="183">
        <f t="shared" si="5"/>
        <v>19</v>
      </c>
      <c r="D31" s="524">
        <f t="shared" si="1"/>
        <v>0</v>
      </c>
      <c r="E31" s="401">
        <f t="shared" si="2"/>
        <v>0</v>
      </c>
      <c r="F31" s="527">
        <f t="shared" si="3"/>
        <v>0</v>
      </c>
      <c r="G31" s="33">
        <f t="shared" si="4"/>
        <v>0</v>
      </c>
      <c r="H31" s="33">
        <f>G31/(1+0.03)^($B31-'A - Inputs'!$C$6)</f>
        <v>0</v>
      </c>
      <c r="I31" s="39">
        <f>G31/(1+0.07)^($B31-'A - Inputs'!$C$6)</f>
        <v>0</v>
      </c>
    </row>
    <row r="32" spans="2:12" x14ac:dyDescent="0.25">
      <c r="B32" s="161">
        <f t="shared" si="5"/>
        <v>2042</v>
      </c>
      <c r="C32" s="183">
        <f t="shared" si="5"/>
        <v>20</v>
      </c>
      <c r="D32" s="524">
        <f t="shared" si="1"/>
        <v>0</v>
      </c>
      <c r="E32" s="401">
        <f t="shared" si="2"/>
        <v>0</v>
      </c>
      <c r="F32" s="527">
        <f t="shared" si="3"/>
        <v>0</v>
      </c>
      <c r="G32" s="33">
        <f t="shared" si="4"/>
        <v>0</v>
      </c>
      <c r="H32" s="33">
        <f>G32/(1+0.03)^($B32-'A - Inputs'!$C$6)</f>
        <v>0</v>
      </c>
      <c r="I32" s="39">
        <f>G32/(1+0.07)^($B32-'A - Inputs'!$C$6)</f>
        <v>0</v>
      </c>
    </row>
    <row r="33" spans="2:9" x14ac:dyDescent="0.25">
      <c r="B33" s="161">
        <f t="shared" si="5"/>
        <v>2043</v>
      </c>
      <c r="C33" s="183">
        <f t="shared" si="5"/>
        <v>21</v>
      </c>
      <c r="D33" s="524">
        <f t="shared" si="1"/>
        <v>0</v>
      </c>
      <c r="E33" s="401">
        <f t="shared" si="2"/>
        <v>0</v>
      </c>
      <c r="F33" s="527">
        <f t="shared" si="3"/>
        <v>0</v>
      </c>
      <c r="G33" s="33">
        <f t="shared" si="4"/>
        <v>0</v>
      </c>
      <c r="H33" s="33">
        <f>G33/(1+0.03)^($B33-'A - Inputs'!$C$6)</f>
        <v>0</v>
      </c>
      <c r="I33" s="39">
        <f>G33/(1+0.07)^($B33-'A - Inputs'!$C$6)</f>
        <v>0</v>
      </c>
    </row>
    <row r="34" spans="2:9" x14ac:dyDescent="0.25">
      <c r="B34" s="161">
        <f t="shared" si="5"/>
        <v>2044</v>
      </c>
      <c r="C34" s="183">
        <f t="shared" si="5"/>
        <v>22</v>
      </c>
      <c r="D34" s="524">
        <f t="shared" si="1"/>
        <v>0</v>
      </c>
      <c r="E34" s="401">
        <f t="shared" si="2"/>
        <v>0</v>
      </c>
      <c r="F34" s="527">
        <f t="shared" si="3"/>
        <v>0</v>
      </c>
      <c r="G34" s="33">
        <f t="shared" si="4"/>
        <v>0</v>
      </c>
      <c r="H34" s="33">
        <f>G34/(1+0.03)^($B34-'A - Inputs'!$C$6)</f>
        <v>0</v>
      </c>
      <c r="I34" s="39">
        <f>G34/(1+0.07)^($B34-'A - Inputs'!$C$6)</f>
        <v>0</v>
      </c>
    </row>
    <row r="35" spans="2:9" x14ac:dyDescent="0.25">
      <c r="B35" s="161">
        <f t="shared" si="5"/>
        <v>2045</v>
      </c>
      <c r="C35" s="183">
        <f t="shared" si="5"/>
        <v>23</v>
      </c>
      <c r="D35" s="524">
        <f t="shared" si="1"/>
        <v>0</v>
      </c>
      <c r="E35" s="401">
        <f t="shared" si="2"/>
        <v>0</v>
      </c>
      <c r="F35" s="527">
        <f t="shared" si="3"/>
        <v>0</v>
      </c>
      <c r="G35" s="33">
        <f t="shared" si="4"/>
        <v>0</v>
      </c>
      <c r="H35" s="33">
        <f>G35/(1+0.03)^($B35-'A - Inputs'!$C$6)</f>
        <v>0</v>
      </c>
      <c r="I35" s="39">
        <f>G35/(1+0.07)^($B35-'A - Inputs'!$C$6)</f>
        <v>0</v>
      </c>
    </row>
    <row r="36" spans="2:9" x14ac:dyDescent="0.25">
      <c r="B36" s="161">
        <f t="shared" si="5"/>
        <v>2046</v>
      </c>
      <c r="C36" s="183">
        <f t="shared" si="5"/>
        <v>24</v>
      </c>
      <c r="D36" s="524">
        <f t="shared" si="1"/>
        <v>0</v>
      </c>
      <c r="E36" s="401">
        <f t="shared" si="2"/>
        <v>0</v>
      </c>
      <c r="F36" s="527">
        <f t="shared" si="3"/>
        <v>0</v>
      </c>
      <c r="G36" s="33">
        <f t="shared" si="4"/>
        <v>0</v>
      </c>
      <c r="H36" s="33">
        <f>G36/(1+0.03)^($B36-'A - Inputs'!$C$6)</f>
        <v>0</v>
      </c>
      <c r="I36" s="39">
        <f>G36/(1+0.07)^($B36-'A - Inputs'!$C$6)</f>
        <v>0</v>
      </c>
    </row>
    <row r="37" spans="2:9" x14ac:dyDescent="0.25">
      <c r="B37" s="161">
        <f t="shared" si="5"/>
        <v>2047</v>
      </c>
      <c r="C37" s="183">
        <f t="shared" si="5"/>
        <v>25</v>
      </c>
      <c r="D37" s="524">
        <f t="shared" si="1"/>
        <v>0</v>
      </c>
      <c r="E37" s="401">
        <f t="shared" si="2"/>
        <v>0</v>
      </c>
      <c r="F37" s="527">
        <f t="shared" si="3"/>
        <v>0</v>
      </c>
      <c r="G37" s="33">
        <f t="shared" si="4"/>
        <v>0</v>
      </c>
      <c r="H37" s="33">
        <f>G37/(1+0.03)^($B37-'A - Inputs'!$C$6)</f>
        <v>0</v>
      </c>
      <c r="I37" s="39">
        <f>G37/(1+0.07)^($B37-'A - Inputs'!$C$6)</f>
        <v>0</v>
      </c>
    </row>
    <row r="38" spans="2:9" x14ac:dyDescent="0.25">
      <c r="B38" s="161">
        <f t="shared" si="5"/>
        <v>2048</v>
      </c>
      <c r="C38" s="183">
        <f t="shared" si="5"/>
        <v>26</v>
      </c>
      <c r="D38" s="524">
        <f t="shared" si="1"/>
        <v>0</v>
      </c>
      <c r="E38" s="401">
        <f t="shared" si="2"/>
        <v>0</v>
      </c>
      <c r="F38" s="527">
        <f t="shared" si="3"/>
        <v>0</v>
      </c>
      <c r="G38" s="33">
        <f t="shared" si="4"/>
        <v>0</v>
      </c>
      <c r="H38" s="33">
        <f>G38/(1+0.03)^($B38-'A - Inputs'!$C$6)</f>
        <v>0</v>
      </c>
      <c r="I38" s="39">
        <f>G38/(1+0.07)^($B38-'A - Inputs'!$C$6)</f>
        <v>0</v>
      </c>
    </row>
    <row r="39" spans="2:9" x14ac:dyDescent="0.25">
      <c r="B39" s="161">
        <f t="shared" si="5"/>
        <v>2049</v>
      </c>
      <c r="C39" s="183">
        <f t="shared" si="5"/>
        <v>27</v>
      </c>
      <c r="D39" s="524">
        <f t="shared" si="1"/>
        <v>0</v>
      </c>
      <c r="E39" s="401">
        <f t="shared" si="2"/>
        <v>0</v>
      </c>
      <c r="F39" s="527">
        <f t="shared" si="3"/>
        <v>0</v>
      </c>
      <c r="G39" s="33">
        <f t="shared" si="4"/>
        <v>0</v>
      </c>
      <c r="H39" s="33">
        <f>G39/(1+0.03)^($B39-'A - Inputs'!$C$6)</f>
        <v>0</v>
      </c>
      <c r="I39" s="39">
        <f>G39/(1+0.07)^($B39-'A - Inputs'!$C$6)</f>
        <v>0</v>
      </c>
    </row>
    <row r="40" spans="2:9" x14ac:dyDescent="0.25">
      <c r="B40" s="161">
        <f t="shared" si="5"/>
        <v>2050</v>
      </c>
      <c r="C40" s="183">
        <f t="shared" si="5"/>
        <v>28</v>
      </c>
      <c r="D40" s="524">
        <f t="shared" si="1"/>
        <v>0</v>
      </c>
      <c r="E40" s="401">
        <f t="shared" si="2"/>
        <v>0</v>
      </c>
      <c r="F40" s="527">
        <f t="shared" si="3"/>
        <v>0</v>
      </c>
      <c r="G40" s="33">
        <f t="shared" si="4"/>
        <v>0</v>
      </c>
      <c r="H40" s="33">
        <f>G40/(1+0.03)^($B40-'A - Inputs'!$C$6)</f>
        <v>0</v>
      </c>
      <c r="I40" s="39">
        <f>G40/(1+0.07)^($B40-'A - Inputs'!$C$6)</f>
        <v>0</v>
      </c>
    </row>
    <row r="41" spans="2:9" x14ac:dyDescent="0.25">
      <c r="B41" s="161">
        <f t="shared" ref="B41:C41" si="6">B40+1</f>
        <v>2051</v>
      </c>
      <c r="C41" s="183">
        <f t="shared" si="6"/>
        <v>29</v>
      </c>
      <c r="D41" s="524">
        <f t="shared" si="1"/>
        <v>0</v>
      </c>
      <c r="E41" s="401">
        <f t="shared" si="2"/>
        <v>0</v>
      </c>
      <c r="F41" s="527">
        <f t="shared" si="3"/>
        <v>0</v>
      </c>
      <c r="G41" s="33">
        <f t="shared" si="4"/>
        <v>0</v>
      </c>
      <c r="H41" s="33">
        <f>G41/(1+0.03)^($B41-'A - Inputs'!$C$6)</f>
        <v>0</v>
      </c>
      <c r="I41" s="39">
        <f>G41/(1+0.07)^($B41-'A - Inputs'!$C$6)</f>
        <v>0</v>
      </c>
    </row>
    <row r="42" spans="2:9" x14ac:dyDescent="0.25">
      <c r="B42" s="161">
        <f t="shared" ref="B42:C42" si="7">B41+1</f>
        <v>2052</v>
      </c>
      <c r="C42" s="183">
        <f t="shared" si="7"/>
        <v>30</v>
      </c>
      <c r="D42" s="524">
        <f t="shared" si="1"/>
        <v>0</v>
      </c>
      <c r="E42" s="401">
        <f t="shared" si="2"/>
        <v>0</v>
      </c>
      <c r="F42" s="527">
        <f t="shared" si="3"/>
        <v>0</v>
      </c>
      <c r="G42" s="33">
        <f t="shared" si="4"/>
        <v>0</v>
      </c>
      <c r="H42" s="33">
        <f>G42/(1+0.03)^($B42-'A - Inputs'!$C$6)</f>
        <v>0</v>
      </c>
      <c r="I42" s="39">
        <f>G42/(1+0.07)^($B42-'A - Inputs'!$C$6)</f>
        <v>0</v>
      </c>
    </row>
    <row r="43" spans="2:9" x14ac:dyDescent="0.25">
      <c r="B43" s="161">
        <f t="shared" ref="B43:C43" si="8">B42+1</f>
        <v>2053</v>
      </c>
      <c r="C43" s="183">
        <f t="shared" si="8"/>
        <v>31</v>
      </c>
      <c r="D43" s="524">
        <f t="shared" si="1"/>
        <v>0</v>
      </c>
      <c r="E43" s="401">
        <f t="shared" si="2"/>
        <v>0</v>
      </c>
      <c r="F43" s="527">
        <f t="shared" si="3"/>
        <v>0</v>
      </c>
      <c r="G43" s="33">
        <f t="shared" si="4"/>
        <v>0</v>
      </c>
      <c r="H43" s="33">
        <f>G43/(1+0.03)^($B43-'A - Inputs'!$C$6)</f>
        <v>0</v>
      </c>
      <c r="I43" s="39">
        <f>G43/(1+0.07)^($B43-'A - Inputs'!$C$6)</f>
        <v>0</v>
      </c>
    </row>
    <row r="44" spans="2:9" x14ac:dyDescent="0.25">
      <c r="B44" s="161">
        <f t="shared" ref="B44:C44" si="9">B43+1</f>
        <v>2054</v>
      </c>
      <c r="C44" s="183">
        <f t="shared" si="9"/>
        <v>32</v>
      </c>
      <c r="D44" s="524">
        <f t="shared" si="1"/>
        <v>0</v>
      </c>
      <c r="E44" s="401">
        <f t="shared" si="2"/>
        <v>0</v>
      </c>
      <c r="F44" s="527">
        <f t="shared" si="3"/>
        <v>0</v>
      </c>
      <c r="G44" s="33">
        <f t="shared" si="4"/>
        <v>0</v>
      </c>
      <c r="H44" s="33">
        <f>G44/(1+0.03)^($B44-'A - Inputs'!$C$6)</f>
        <v>0</v>
      </c>
      <c r="I44" s="39">
        <f>G44/(1+0.07)^($B44-'A - Inputs'!$C$6)</f>
        <v>0</v>
      </c>
    </row>
    <row r="45" spans="2:9" x14ac:dyDescent="0.25">
      <c r="B45" s="161">
        <f t="shared" ref="B45:C45" si="10">B44+1</f>
        <v>2055</v>
      </c>
      <c r="C45" s="183">
        <f t="shared" si="10"/>
        <v>33</v>
      </c>
      <c r="D45" s="524">
        <f t="shared" si="1"/>
        <v>0</v>
      </c>
      <c r="E45" s="401">
        <f t="shared" si="2"/>
        <v>0</v>
      </c>
      <c r="F45" s="527">
        <f t="shared" si="3"/>
        <v>0</v>
      </c>
      <c r="G45" s="33">
        <f t="shared" si="4"/>
        <v>0</v>
      </c>
      <c r="H45" s="33">
        <f>G45/(1+0.03)^($B45-'A - Inputs'!$C$6)</f>
        <v>0</v>
      </c>
      <c r="I45" s="39">
        <f>G45/(1+0.07)^($B45-'A - Inputs'!$C$6)</f>
        <v>0</v>
      </c>
    </row>
    <row r="46" spans="2:9" x14ac:dyDescent="0.25">
      <c r="B46" s="161">
        <f t="shared" ref="B46:C46" si="11">B45+1</f>
        <v>2056</v>
      </c>
      <c r="C46" s="183">
        <f t="shared" si="11"/>
        <v>34</v>
      </c>
      <c r="D46" s="524">
        <f t="shared" si="1"/>
        <v>0</v>
      </c>
      <c r="E46" s="401">
        <f t="shared" si="2"/>
        <v>0</v>
      </c>
      <c r="F46" s="527">
        <f t="shared" si="3"/>
        <v>0</v>
      </c>
      <c r="G46" s="33">
        <f t="shared" si="4"/>
        <v>0</v>
      </c>
      <c r="H46" s="33">
        <f>G46/(1+0.03)^($B46-'A - Inputs'!$C$6)</f>
        <v>0</v>
      </c>
      <c r="I46" s="39">
        <f>G46/(1+0.07)^($B46-'A - Inputs'!$C$6)</f>
        <v>0</v>
      </c>
    </row>
    <row r="47" spans="2:9" x14ac:dyDescent="0.25">
      <c r="B47" s="161">
        <f t="shared" ref="B47:C47" si="12">B46+1</f>
        <v>2057</v>
      </c>
      <c r="C47" s="183">
        <f t="shared" si="12"/>
        <v>35</v>
      </c>
      <c r="D47" s="524">
        <f t="shared" si="1"/>
        <v>0</v>
      </c>
      <c r="E47" s="401">
        <f t="shared" si="2"/>
        <v>0</v>
      </c>
      <c r="F47" s="527">
        <f t="shared" si="3"/>
        <v>0</v>
      </c>
      <c r="G47" s="33">
        <f t="shared" si="4"/>
        <v>0</v>
      </c>
      <c r="H47" s="33">
        <f>G47/(1+0.03)^($B47-'A - Inputs'!$C$6)</f>
        <v>0</v>
      </c>
      <c r="I47" s="39">
        <f>G47/(1+0.07)^($B47-'A - Inputs'!$C$6)</f>
        <v>0</v>
      </c>
    </row>
    <row r="48" spans="2:9" x14ac:dyDescent="0.25">
      <c r="B48" s="41" t="s">
        <v>80</v>
      </c>
      <c r="C48" s="42"/>
      <c r="D48" s="523"/>
      <c r="E48" s="41"/>
      <c r="F48" s="42"/>
      <c r="G48" s="45">
        <f>SUM(G12:G47)</f>
        <v>204511661.95948946</v>
      </c>
      <c r="H48" s="45">
        <f>SUM(H12:H47)</f>
        <v>170481774.01706609</v>
      </c>
      <c r="I48" s="46">
        <f>SUM(I12:I47)</f>
        <v>135103887.90150991</v>
      </c>
    </row>
  </sheetData>
  <mergeCells count="1">
    <mergeCell ref="B8:K8"/>
  </mergeCells>
  <pageMargins left="0.7" right="0.7" top="0.75" bottom="0.75" header="0.3" footer="0.3"/>
  <pageSetup scale="68" orientation="landscape" r:id="rId1"/>
  <headerFooter>
    <oddHeader>&amp;L&amp;"Arial,Bold"FDOT - INFRA Grant for I-95&amp;R&amp;"Arial,Bold"&amp;A</oddHeader>
    <oddFooter>&amp;CPage K-&amp;P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87165-0C0A-4C55-8B0D-F4D811BF603A}">
  <sheetPr>
    <tabColor rgb="FFDCE6F1"/>
  </sheetPr>
  <dimension ref="A1:AL105"/>
  <sheetViews>
    <sheetView view="pageLayout" zoomScaleNormal="100" workbookViewId="0"/>
  </sheetViews>
  <sheetFormatPr defaultColWidth="8.7109375" defaultRowHeight="15" outlineLevelRow="1" outlineLevelCol="1" x14ac:dyDescent="0.25"/>
  <cols>
    <col min="1" max="1" width="3.140625" style="281" bestFit="1" customWidth="1"/>
    <col min="2" max="2" width="20.5703125" style="281" bestFit="1" customWidth="1"/>
    <col min="3" max="3" width="32.42578125" style="281" customWidth="1"/>
    <col min="4" max="4" width="9" style="281" bestFit="1" customWidth="1"/>
    <col min="5" max="5" width="7.42578125" style="281" customWidth="1"/>
    <col min="6" max="6" width="9.140625" style="281" bestFit="1" customWidth="1"/>
    <col min="7" max="7" width="11.85546875" style="281" bestFit="1" customWidth="1"/>
    <col min="8" max="8" width="13" style="281" bestFit="1" customWidth="1"/>
    <col min="9" max="9" width="12" style="281" bestFit="1" customWidth="1"/>
    <col min="10" max="10" width="12.42578125" style="282" bestFit="1" customWidth="1"/>
    <col min="11" max="11" width="14.28515625" style="281" customWidth="1"/>
    <col min="12" max="12" width="13" style="281" bestFit="1" customWidth="1"/>
    <col min="13" max="13" width="11" style="281" customWidth="1" outlineLevel="1"/>
    <col min="14" max="14" width="14.7109375" style="281" customWidth="1" outlineLevel="1"/>
    <col min="15" max="15" width="13" style="281" bestFit="1" customWidth="1" outlineLevel="1"/>
    <col min="16" max="19" width="10.140625" style="281" customWidth="1" outlineLevel="1"/>
    <col min="20" max="20" width="11" style="281" bestFit="1" customWidth="1"/>
    <col min="21" max="21" width="11.42578125" style="281" bestFit="1" customWidth="1"/>
    <col min="22" max="22" width="11.85546875" style="281" bestFit="1" customWidth="1"/>
    <col min="23" max="23" width="12.85546875" style="281" bestFit="1" customWidth="1"/>
    <col min="24" max="24" width="11" style="281" bestFit="1" customWidth="1"/>
    <col min="25" max="25" width="11.85546875" style="281" bestFit="1" customWidth="1"/>
    <col min="26" max="26" width="11.85546875" style="281" customWidth="1"/>
    <col min="27" max="27" width="14.5703125" style="281" bestFit="1" customWidth="1"/>
    <col min="28" max="29" width="11" style="281" bestFit="1" customWidth="1"/>
    <col min="30" max="30" width="12" style="281" bestFit="1" customWidth="1"/>
    <col min="31" max="31" width="11" style="281" bestFit="1" customWidth="1"/>
    <col min="32" max="32" width="15" style="281" bestFit="1" customWidth="1"/>
    <col min="33" max="33" width="11" style="281" bestFit="1" customWidth="1"/>
    <col min="34" max="34" width="16.140625" style="281" bestFit="1" customWidth="1"/>
    <col min="35" max="35" width="13.140625" style="281" customWidth="1"/>
    <col min="36" max="36" width="13.140625" style="281" bestFit="1" customWidth="1"/>
    <col min="37" max="38" width="13.7109375" style="281" customWidth="1"/>
    <col min="39" max="16384" width="8.7109375" style="281"/>
  </cols>
  <sheetData>
    <row r="1" spans="1:26" outlineLevel="1" x14ac:dyDescent="0.25">
      <c r="E1" s="262" t="s">
        <v>114</v>
      </c>
      <c r="F1" s="263"/>
      <c r="G1" s="264"/>
      <c r="H1" s="265" t="s">
        <v>495</v>
      </c>
      <c r="I1" s="266"/>
      <c r="J1" s="267"/>
      <c r="L1" s="29" t="s">
        <v>116</v>
      </c>
      <c r="M1" s="29"/>
      <c r="N1" s="29"/>
      <c r="O1" s="29"/>
      <c r="P1" s="268"/>
      <c r="Q1" s="199"/>
      <c r="R1" s="199"/>
    </row>
    <row r="2" spans="1:26" s="282" customFormat="1" ht="30" outlineLevel="1" x14ac:dyDescent="0.25">
      <c r="A2" s="47" t="s">
        <v>117</v>
      </c>
      <c r="B2" s="47" t="s">
        <v>118</v>
      </c>
      <c r="C2" s="47" t="s">
        <v>119</v>
      </c>
      <c r="D2" s="48" t="s">
        <v>120</v>
      </c>
      <c r="E2" s="12" t="s">
        <v>121</v>
      </c>
      <c r="F2" s="13" t="s">
        <v>47</v>
      </c>
      <c r="G2" s="13"/>
      <c r="H2" s="12" t="s">
        <v>496</v>
      </c>
      <c r="I2" s="13" t="s">
        <v>497</v>
      </c>
      <c r="J2" s="14" t="s">
        <v>498</v>
      </c>
      <c r="L2" s="30" t="s">
        <v>127</v>
      </c>
      <c r="M2" s="30" t="s">
        <v>128</v>
      </c>
      <c r="N2" s="30" t="s">
        <v>129</v>
      </c>
      <c r="O2" s="162" t="s">
        <v>417</v>
      </c>
      <c r="P2" s="269"/>
      <c r="Q2" s="269"/>
      <c r="R2" s="270"/>
    </row>
    <row r="3" spans="1:26" ht="15" customHeight="1" outlineLevel="1" x14ac:dyDescent="0.25">
      <c r="A3" s="281">
        <v>1</v>
      </c>
      <c r="B3" s="283" t="s">
        <v>130</v>
      </c>
      <c r="C3" s="284" t="s">
        <v>131</v>
      </c>
      <c r="D3" s="360">
        <f>'G - Safety'!D3</f>
        <v>2.2450000000000001</v>
      </c>
      <c r="E3" s="361">
        <f>'G - Safety'!E3</f>
        <v>58.5</v>
      </c>
      <c r="F3" s="361">
        <f>'G - Safety'!F3</f>
        <v>44.6</v>
      </c>
      <c r="G3" s="271"/>
      <c r="H3" s="362">
        <v>0.18</v>
      </c>
      <c r="I3" s="362">
        <v>0.51</v>
      </c>
      <c r="J3" s="363">
        <v>0.3</v>
      </c>
      <c r="L3" s="31" t="s">
        <v>126</v>
      </c>
      <c r="M3" s="31" t="s">
        <v>132</v>
      </c>
      <c r="N3" s="31" t="s">
        <v>133</v>
      </c>
      <c r="O3" s="99">
        <f>'G - Safety'!R3</f>
        <v>3700</v>
      </c>
      <c r="Q3" s="272"/>
      <c r="R3" s="273"/>
      <c r="S3" s="287"/>
      <c r="Z3" s="288"/>
    </row>
    <row r="4" spans="1:26" ht="30" customHeight="1" outlineLevel="1" x14ac:dyDescent="0.25">
      <c r="A4" s="281">
        <f>A3+1</f>
        <v>2</v>
      </c>
      <c r="B4" s="283" t="s">
        <v>130</v>
      </c>
      <c r="C4" s="284" t="s">
        <v>135</v>
      </c>
      <c r="D4" s="360">
        <f>'G - Safety'!D4</f>
        <v>0.38</v>
      </c>
      <c r="E4" s="361">
        <f>'G - Safety'!E4</f>
        <v>26.2</v>
      </c>
      <c r="F4" s="361">
        <f>'G - Safety'!F4</f>
        <v>18.600000000000001</v>
      </c>
      <c r="G4" s="274"/>
      <c r="H4" s="285">
        <f>$H$3</f>
        <v>0.18</v>
      </c>
      <c r="I4" s="285">
        <f>$I$3</f>
        <v>0.51</v>
      </c>
      <c r="J4" s="286">
        <f>$J$3</f>
        <v>0.3</v>
      </c>
      <c r="L4" s="31"/>
      <c r="M4" s="31"/>
      <c r="N4" s="31"/>
      <c r="O4" s="99"/>
      <c r="Q4" s="272"/>
      <c r="R4" s="273"/>
      <c r="S4" s="287"/>
      <c r="Z4" s="288"/>
    </row>
    <row r="5" spans="1:26" s="9" customFormat="1" ht="30" customHeight="1" outlineLevel="1" x14ac:dyDescent="0.25">
      <c r="A5" s="281">
        <f t="shared" ref="A5:A9" si="0">A4+1</f>
        <v>3</v>
      </c>
      <c r="B5" s="157" t="s">
        <v>130</v>
      </c>
      <c r="C5" s="10" t="s">
        <v>136</v>
      </c>
      <c r="D5" s="360">
        <f>'G - Safety'!D5</f>
        <v>1.8109999999999999</v>
      </c>
      <c r="E5" s="361">
        <f>'G - Safety'!E5</f>
        <v>104.3</v>
      </c>
      <c r="F5" s="361">
        <f>'G - Safety'!F5</f>
        <v>69.900000000000006</v>
      </c>
      <c r="G5" s="271"/>
      <c r="H5" s="285">
        <f t="shared" ref="H5:H9" si="1">$H$3</f>
        <v>0.18</v>
      </c>
      <c r="I5" s="285">
        <f t="shared" ref="I5:I9" si="2">$I$3</f>
        <v>0.51</v>
      </c>
      <c r="J5" s="286">
        <f t="shared" ref="J5:J9" si="3">$J$3</f>
        <v>0.3</v>
      </c>
      <c r="L5" s="31" t="s">
        <v>125</v>
      </c>
      <c r="M5" s="31" t="s">
        <v>137</v>
      </c>
      <c r="N5" s="31" t="s">
        <v>138</v>
      </c>
      <c r="O5" s="99">
        <f>'G - Safety'!R5</f>
        <v>72500</v>
      </c>
      <c r="Q5" s="272"/>
      <c r="R5" s="273"/>
      <c r="Y5" s="23"/>
      <c r="Z5" s="288"/>
    </row>
    <row r="6" spans="1:26" s="9" customFormat="1" ht="30" customHeight="1" outlineLevel="1" x14ac:dyDescent="0.25">
      <c r="A6" s="281">
        <f t="shared" si="0"/>
        <v>4</v>
      </c>
      <c r="B6" s="157" t="s">
        <v>130</v>
      </c>
      <c r="C6" s="10" t="s">
        <v>139</v>
      </c>
      <c r="D6" s="360">
        <f>'G - Safety'!D6</f>
        <v>1.492</v>
      </c>
      <c r="E6" s="361">
        <f>'G - Safety'!E6</f>
        <v>52.2</v>
      </c>
      <c r="F6" s="361">
        <f>'G - Safety'!F6</f>
        <v>35</v>
      </c>
      <c r="G6" s="274"/>
      <c r="H6" s="285">
        <f t="shared" si="1"/>
        <v>0.18</v>
      </c>
      <c r="I6" s="285">
        <f t="shared" si="2"/>
        <v>0.51</v>
      </c>
      <c r="J6" s="286">
        <f t="shared" si="3"/>
        <v>0.3</v>
      </c>
      <c r="L6" s="31" t="s">
        <v>124</v>
      </c>
      <c r="M6" s="31" t="s">
        <v>140</v>
      </c>
      <c r="N6" s="31" t="s">
        <v>141</v>
      </c>
      <c r="O6" s="99">
        <f>'G - Safety'!R6</f>
        <v>142000</v>
      </c>
      <c r="Q6" s="272"/>
      <c r="R6" s="273"/>
      <c r="Y6" s="23"/>
      <c r="Z6" s="288"/>
    </row>
    <row r="7" spans="1:26" ht="30" outlineLevel="1" x14ac:dyDescent="0.25">
      <c r="A7" s="281">
        <f t="shared" si="0"/>
        <v>5</v>
      </c>
      <c r="B7" s="283" t="s">
        <v>142</v>
      </c>
      <c r="C7" s="284" t="s">
        <v>143</v>
      </c>
      <c r="D7" s="114"/>
      <c r="E7" s="361">
        <f>'G - Safety'!E7</f>
        <v>28.6</v>
      </c>
      <c r="F7" s="361">
        <f>'G - Safety'!F7</f>
        <v>18.100000000000001</v>
      </c>
      <c r="G7" s="276"/>
      <c r="H7" s="285">
        <f t="shared" si="1"/>
        <v>0.18</v>
      </c>
      <c r="I7" s="285">
        <f t="shared" si="2"/>
        <v>0.51</v>
      </c>
      <c r="J7" s="286">
        <f t="shared" si="3"/>
        <v>0.3</v>
      </c>
      <c r="L7" s="31" t="s">
        <v>123</v>
      </c>
      <c r="M7" s="31" t="s">
        <v>144</v>
      </c>
      <c r="N7" s="31" t="s">
        <v>145</v>
      </c>
      <c r="O7" s="99">
        <f>'G - Safety'!R7</f>
        <v>521300</v>
      </c>
      <c r="Q7" s="272"/>
      <c r="R7" s="273"/>
      <c r="Z7" s="288"/>
    </row>
    <row r="8" spans="1:26" ht="30" outlineLevel="1" x14ac:dyDescent="0.25">
      <c r="A8" s="281">
        <f t="shared" si="0"/>
        <v>6</v>
      </c>
      <c r="B8" s="283" t="s">
        <v>147</v>
      </c>
      <c r="C8" s="284" t="s">
        <v>148</v>
      </c>
      <c r="D8" s="113"/>
      <c r="E8" s="361">
        <f>'G - Safety'!E8</f>
        <v>8.8000000000000007</v>
      </c>
      <c r="F8" s="361">
        <f>'G - Safety'!F8</f>
        <v>13.3</v>
      </c>
      <c r="G8" s="271"/>
      <c r="H8" s="285">
        <f t="shared" si="1"/>
        <v>0.18</v>
      </c>
      <c r="I8" s="285">
        <f t="shared" si="2"/>
        <v>0.51</v>
      </c>
      <c r="J8" s="286">
        <f t="shared" si="3"/>
        <v>0.3</v>
      </c>
      <c r="L8" s="31" t="s">
        <v>122</v>
      </c>
      <c r="M8" s="31" t="s">
        <v>149</v>
      </c>
      <c r="N8" s="31" t="s">
        <v>150</v>
      </c>
      <c r="O8" s="99">
        <f>'G - Safety'!R8</f>
        <v>10900000</v>
      </c>
      <c r="Q8" s="66"/>
      <c r="R8" s="273"/>
      <c r="Z8" s="288"/>
    </row>
    <row r="9" spans="1:26" ht="30" outlineLevel="1" x14ac:dyDescent="0.25">
      <c r="A9" s="281">
        <f t="shared" si="0"/>
        <v>7</v>
      </c>
      <c r="B9" s="283" t="s">
        <v>151</v>
      </c>
      <c r="C9" s="284" t="s">
        <v>152</v>
      </c>
      <c r="D9" s="113"/>
      <c r="E9" s="361">
        <f>'G - Safety'!E9</f>
        <v>52</v>
      </c>
      <c r="F9" s="361">
        <f>'G - Safety'!F9</f>
        <v>32.9</v>
      </c>
      <c r="G9" s="276"/>
      <c r="H9" s="285">
        <f t="shared" si="1"/>
        <v>0.18</v>
      </c>
      <c r="I9" s="285">
        <f t="shared" si="2"/>
        <v>0.51</v>
      </c>
      <c r="J9" s="286">
        <f t="shared" si="3"/>
        <v>0.3</v>
      </c>
      <c r="L9" s="31" t="s">
        <v>153</v>
      </c>
      <c r="M9" s="31" t="s">
        <v>154</v>
      </c>
      <c r="N9" s="31" t="s">
        <v>155</v>
      </c>
      <c r="O9" s="99">
        <f>'G - Safety'!R9</f>
        <v>150200</v>
      </c>
      <c r="Q9" s="66"/>
      <c r="R9" s="66"/>
      <c r="Z9" s="288"/>
    </row>
    <row r="10" spans="1:26" ht="15.6" customHeight="1" outlineLevel="1" x14ac:dyDescent="0.25">
      <c r="G10" s="316" t="s">
        <v>417</v>
      </c>
      <c r="H10" s="169">
        <f>O8</f>
        <v>10900000</v>
      </c>
      <c r="I10" s="169">
        <f>AVERAGE(O5:O7)</f>
        <v>245266.66666666666</v>
      </c>
      <c r="J10" s="169">
        <f>O3</f>
        <v>3700</v>
      </c>
      <c r="O10" s="169"/>
      <c r="P10" s="169"/>
      <c r="Q10" s="282"/>
      <c r="T10" s="282"/>
    </row>
    <row r="11" spans="1:26" ht="15.6" customHeight="1" outlineLevel="1" x14ac:dyDescent="0.25">
      <c r="H11" s="282"/>
      <c r="J11" s="281"/>
      <c r="K11" s="289"/>
      <c r="L11" s="170"/>
      <c r="M11" s="170"/>
      <c r="N11" s="170"/>
      <c r="O11" s="170"/>
      <c r="P11" s="170"/>
      <c r="Q11" s="282"/>
      <c r="V11" s="31"/>
      <c r="W11" s="33"/>
    </row>
    <row r="12" spans="1:26" s="290" customFormat="1" ht="45" customHeight="1" x14ac:dyDescent="0.25">
      <c r="G12" s="172" t="str">
        <f>C3</f>
        <v>Butler Blvd (JTB) to Bowden Rd</v>
      </c>
      <c r="H12" s="172" t="str">
        <f>C4</f>
        <v>Bowden Rd to University Blvd</v>
      </c>
      <c r="I12" s="172" t="str">
        <f>C5</f>
        <v>University Blvd to Emerson St</v>
      </c>
      <c r="J12" s="172" t="str">
        <f>C6</f>
        <v>Emerson St to Atlantic Blvd</v>
      </c>
      <c r="K12" s="172" t="str">
        <f>C7</f>
        <v>Interchange at Butler Blvd at Belfort Rd</v>
      </c>
      <c r="L12" s="172" t="str">
        <f>C8</f>
        <v>Interchange at I-95 and University Blvd</v>
      </c>
      <c r="M12" s="172" t="str">
        <f>C9</f>
        <v xml:space="preserve">Interchange at I-95 and Emerson Street </v>
      </c>
    </row>
    <row r="13" spans="1:26" ht="21" customHeight="1" x14ac:dyDescent="0.25">
      <c r="F13" s="147" t="s">
        <v>484</v>
      </c>
      <c r="G13" s="169">
        <f>SUMPRODUCT($H$10:$J$10,H3:J3)</f>
        <v>2088196</v>
      </c>
      <c r="H13" s="169">
        <f>SUMPRODUCT($H$10:$J$10,H3:J3)</f>
        <v>2088196</v>
      </c>
      <c r="I13" s="169">
        <f>SUMPRODUCT($H$10:$J$10,H3:J3)</f>
        <v>2088196</v>
      </c>
      <c r="J13" s="169">
        <f>SUMPRODUCT($H$10:$J$10,H3:J3)</f>
        <v>2088196</v>
      </c>
      <c r="K13" s="169">
        <f>SUMPRODUCT($H$10:$J$10,H3:J3)</f>
        <v>2088196</v>
      </c>
      <c r="L13" s="169">
        <f>SUMPRODUCT($H$10:$J$10,H3:J3)</f>
        <v>2088196</v>
      </c>
      <c r="M13" s="169">
        <f>SUMPRODUCT($H$10:$J$10,H3:J3)</f>
        <v>2088196</v>
      </c>
    </row>
    <row r="14" spans="1:26" ht="15.6" customHeight="1" x14ac:dyDescent="0.25">
      <c r="B14" s="64"/>
      <c r="F14" s="147" t="s">
        <v>499</v>
      </c>
      <c r="G14" s="291">
        <f>G15/G16</f>
        <v>1.7774279348191785E-3</v>
      </c>
      <c r="H14" s="173"/>
      <c r="I14" s="173"/>
      <c r="J14" s="173"/>
      <c r="K14" s="173"/>
      <c r="L14" s="173"/>
      <c r="M14" s="173"/>
    </row>
    <row r="15" spans="1:26" ht="15.6" customHeight="1" x14ac:dyDescent="0.25">
      <c r="F15" s="147" t="s">
        <v>503</v>
      </c>
      <c r="G15" s="292">
        <v>280</v>
      </c>
      <c r="H15" s="277"/>
      <c r="I15" s="277"/>
      <c r="J15" s="277"/>
      <c r="K15" s="277"/>
      <c r="L15" s="277"/>
      <c r="M15" s="277"/>
    </row>
    <row r="16" spans="1:26" x14ac:dyDescent="0.25">
      <c r="F16" s="147" t="s">
        <v>504</v>
      </c>
      <c r="G16" s="293">
        <v>157531</v>
      </c>
      <c r="H16" s="294"/>
      <c r="I16" s="294"/>
      <c r="J16" s="294"/>
      <c r="K16" s="294"/>
      <c r="L16" s="294"/>
    </row>
    <row r="17" spans="4:38" x14ac:dyDescent="0.25">
      <c r="F17" s="278"/>
      <c r="J17" s="281"/>
    </row>
    <row r="18" spans="4:38" x14ac:dyDescent="0.25">
      <c r="F18" s="148" t="s">
        <v>156</v>
      </c>
      <c r="G18" s="282"/>
      <c r="J18" s="281"/>
      <c r="L18" s="282"/>
    </row>
    <row r="19" spans="4:38" x14ac:dyDescent="0.25">
      <c r="F19" s="149" t="s">
        <v>500</v>
      </c>
      <c r="G19" s="295" t="s">
        <v>505</v>
      </c>
      <c r="J19" s="281"/>
      <c r="L19" s="282"/>
    </row>
    <row r="20" spans="4:38" x14ac:dyDescent="0.25">
      <c r="F20" s="149" t="s">
        <v>501</v>
      </c>
      <c r="G20" s="295" t="s">
        <v>506</v>
      </c>
      <c r="J20" s="281"/>
      <c r="L20" s="282"/>
    </row>
    <row r="21" spans="4:38" x14ac:dyDescent="0.25">
      <c r="F21" s="149" t="s">
        <v>159</v>
      </c>
      <c r="G21" s="146" t="s">
        <v>160</v>
      </c>
      <c r="J21" s="281"/>
      <c r="L21" s="282"/>
    </row>
    <row r="22" spans="4:38" x14ac:dyDescent="0.25">
      <c r="F22" s="149" t="s">
        <v>161</v>
      </c>
      <c r="G22" s="295" t="s">
        <v>206</v>
      </c>
      <c r="J22" s="281"/>
      <c r="L22" s="282"/>
    </row>
    <row r="23" spans="4:38" x14ac:dyDescent="0.25">
      <c r="I23" s="282"/>
      <c r="J23" s="281"/>
      <c r="Y23" s="282"/>
      <c r="Z23" s="282"/>
    </row>
    <row r="24" spans="4:38" x14ac:dyDescent="0.25">
      <c r="E24" s="296"/>
      <c r="F24" s="8" t="s">
        <v>507</v>
      </c>
      <c r="G24" s="8"/>
      <c r="H24" s="8"/>
      <c r="I24" s="8"/>
      <c r="J24" s="8"/>
      <c r="K24" s="8"/>
      <c r="L24" s="11"/>
      <c r="M24" s="8" t="s">
        <v>502</v>
      </c>
      <c r="N24" s="8"/>
      <c r="O24" s="8"/>
      <c r="P24" s="8"/>
      <c r="Q24" s="8"/>
      <c r="R24" s="8"/>
      <c r="S24" s="11"/>
      <c r="T24" s="8" t="s">
        <v>164</v>
      </c>
      <c r="U24" s="8"/>
      <c r="V24" s="297"/>
      <c r="W24" s="297"/>
      <c r="X24" s="297"/>
      <c r="Y24" s="297"/>
      <c r="Z24" s="297"/>
      <c r="AA24" s="298"/>
      <c r="AB24" s="8" t="s">
        <v>165</v>
      </c>
      <c r="AC24" s="297"/>
      <c r="AD24" s="297"/>
      <c r="AE24" s="297"/>
      <c r="AF24" s="298"/>
      <c r="AG24" s="298"/>
      <c r="AH24" s="299"/>
      <c r="AI24" s="297"/>
      <c r="AJ24" s="8" t="s">
        <v>166</v>
      </c>
      <c r="AK24" s="8"/>
      <c r="AL24" s="11"/>
    </row>
    <row r="25" spans="4:38" ht="75" x14ac:dyDescent="0.25">
      <c r="D25" s="172" t="s">
        <v>45</v>
      </c>
      <c r="E25" s="179" t="s">
        <v>46</v>
      </c>
      <c r="F25" s="172" t="str">
        <f>C3</f>
        <v>Butler Blvd (JTB) to Bowden Rd</v>
      </c>
      <c r="G25" s="172" t="str">
        <f>C4</f>
        <v>Bowden Rd to University Blvd</v>
      </c>
      <c r="H25" s="172" t="str">
        <f>C5</f>
        <v>University Blvd to Emerson St</v>
      </c>
      <c r="I25" s="172" t="str">
        <f>C6</f>
        <v>Emerson St to Atlantic Blvd</v>
      </c>
      <c r="J25" s="172" t="str">
        <f>C7</f>
        <v>Interchange at Butler Blvd at Belfort Rd</v>
      </c>
      <c r="K25" s="172" t="str">
        <f>C8</f>
        <v>Interchange at I-95 and University Blvd</v>
      </c>
      <c r="L25" s="180" t="str">
        <f>C9</f>
        <v xml:space="preserve">Interchange at I-95 and Emerson Street </v>
      </c>
      <c r="M25" s="279" t="str">
        <f>F25</f>
        <v>Butler Blvd (JTB) to Bowden Rd</v>
      </c>
      <c r="N25" s="279" t="str">
        <f t="shared" ref="N25:S25" si="4">G25</f>
        <v>Bowden Rd to University Blvd</v>
      </c>
      <c r="O25" s="279" t="str">
        <f t="shared" si="4"/>
        <v>University Blvd to Emerson St</v>
      </c>
      <c r="P25" s="279" t="str">
        <f t="shared" si="4"/>
        <v>Emerson St to Atlantic Blvd</v>
      </c>
      <c r="Q25" s="279" t="str">
        <f t="shared" si="4"/>
        <v>Interchange at Butler Blvd at Belfort Rd</v>
      </c>
      <c r="R25" s="279" t="str">
        <f t="shared" si="4"/>
        <v>Interchange at I-95 and University Blvd</v>
      </c>
      <c r="S25" s="181" t="str">
        <f t="shared" si="4"/>
        <v xml:space="preserve">Interchange at I-95 and Emerson Street </v>
      </c>
      <c r="T25" s="172" t="str">
        <f>M25</f>
        <v>Butler Blvd (JTB) to Bowden Rd</v>
      </c>
      <c r="U25" s="172" t="str">
        <f t="shared" ref="U25:Z25" si="5">N25</f>
        <v>Bowden Rd to University Blvd</v>
      </c>
      <c r="V25" s="172" t="str">
        <f t="shared" si="5"/>
        <v>University Blvd to Emerson St</v>
      </c>
      <c r="W25" s="172" t="str">
        <f t="shared" si="5"/>
        <v>Emerson St to Atlantic Blvd</v>
      </c>
      <c r="X25" s="172" t="str">
        <f t="shared" si="5"/>
        <v>Interchange at Butler Blvd at Belfort Rd</v>
      </c>
      <c r="Y25" s="172" t="str">
        <f t="shared" si="5"/>
        <v>Interchange at I-95 and University Blvd</v>
      </c>
      <c r="Z25" s="180" t="str">
        <f t="shared" si="5"/>
        <v xml:space="preserve">Interchange at I-95 and Emerson Street </v>
      </c>
      <c r="AA25" s="179" t="s">
        <v>80</v>
      </c>
      <c r="AB25" s="172" t="str">
        <f>C3</f>
        <v>Butler Blvd (JTB) to Bowden Rd</v>
      </c>
      <c r="AC25" s="172" t="str">
        <f t="shared" ref="AC25:AH25" si="6">U25</f>
        <v>Bowden Rd to University Blvd</v>
      </c>
      <c r="AD25" s="172" t="str">
        <f t="shared" si="6"/>
        <v>University Blvd to Emerson St</v>
      </c>
      <c r="AE25" s="172" t="str">
        <f t="shared" si="6"/>
        <v>Emerson St to Atlantic Blvd</v>
      </c>
      <c r="AF25" s="172" t="str">
        <f t="shared" si="6"/>
        <v>Interchange at Butler Blvd at Belfort Rd</v>
      </c>
      <c r="AG25" s="172" t="str">
        <f t="shared" si="6"/>
        <v>Interchange at I-95 and University Blvd</v>
      </c>
      <c r="AH25" s="180" t="str">
        <f t="shared" si="6"/>
        <v xml:space="preserve">Interchange at I-95 and Emerson Street </v>
      </c>
      <c r="AI25" s="182" t="s">
        <v>80</v>
      </c>
      <c r="AJ25" s="37" t="s">
        <v>80</v>
      </c>
      <c r="AK25" s="37" t="s">
        <v>52</v>
      </c>
      <c r="AL25" s="38" t="s">
        <v>53</v>
      </c>
    </row>
    <row r="26" spans="4:38" x14ac:dyDescent="0.25">
      <c r="D26" s="40">
        <f>'A - Inputs'!$C$7</f>
        <v>2022</v>
      </c>
      <c r="E26" s="434">
        <v>0</v>
      </c>
      <c r="F26" s="433">
        <f>'G - Safety'!G23*$G$14</f>
        <v>0</v>
      </c>
      <c r="G26" s="433">
        <f>'G - Safety'!H23*$G$14</f>
        <v>0</v>
      </c>
      <c r="H26" s="433">
        <f>'G - Safety'!I23*$G$14</f>
        <v>0</v>
      </c>
      <c r="I26" s="433">
        <f>'G - Safety'!J23*$G$14</f>
        <v>0</v>
      </c>
      <c r="J26" s="433">
        <f>'G - Safety'!K23*$G$14</f>
        <v>0</v>
      </c>
      <c r="K26" s="433">
        <f>'G - Safety'!L23*$G$14</f>
        <v>0</v>
      </c>
      <c r="L26" s="433">
        <f>'G - Safety'!M23*$G$14</f>
        <v>0</v>
      </c>
      <c r="M26" s="416">
        <f>'G - Safety'!N23*$G$14</f>
        <v>0</v>
      </c>
      <c r="N26" s="417">
        <f>'G - Safety'!O23*$G$14</f>
        <v>0</v>
      </c>
      <c r="O26" s="417">
        <f>'G - Safety'!P23*$G$14</f>
        <v>0</v>
      </c>
      <c r="P26" s="417">
        <f>'G - Safety'!Q23*$G$14</f>
        <v>0</v>
      </c>
      <c r="Q26" s="417">
        <f>'G - Safety'!R23*$G$14</f>
        <v>0</v>
      </c>
      <c r="R26" s="417">
        <f>'G - Safety'!S23*$G$14</f>
        <v>0</v>
      </c>
      <c r="S26" s="418">
        <f>'G - Safety'!T23*$G$14</f>
        <v>0</v>
      </c>
      <c r="T26" s="419">
        <f t="shared" ref="T26:T54" si="7">F26*$G$13</f>
        <v>0</v>
      </c>
      <c r="U26" s="419">
        <f t="shared" ref="U26:U54" si="8">G26*$H$13</f>
        <v>0</v>
      </c>
      <c r="V26" s="419">
        <f t="shared" ref="V26:V54" si="9">H26*$I$13</f>
        <v>0</v>
      </c>
      <c r="W26" s="419">
        <f t="shared" ref="W26:W54" si="10">I26*$J$13</f>
        <v>0</v>
      </c>
      <c r="X26" s="419">
        <f t="shared" ref="X26:X54" si="11">J26*$K$13</f>
        <v>0</v>
      </c>
      <c r="Y26" s="419">
        <f t="shared" ref="Y26:Y54" si="12">K26*$L$13</f>
        <v>0</v>
      </c>
      <c r="Z26" s="420">
        <f t="shared" ref="Z26:Z54" si="13">L26*$M$13</f>
        <v>0</v>
      </c>
      <c r="AA26" s="420">
        <f t="shared" ref="AA26:AA54" si="14">SUM(T26:Z26)</f>
        <v>0</v>
      </c>
      <c r="AB26" s="419">
        <f t="shared" ref="AB26:AB32" si="15">M26*$G$13</f>
        <v>0</v>
      </c>
      <c r="AC26" s="419">
        <f t="shared" ref="AC26:AC31" si="16">N26*$H$13</f>
        <v>0</v>
      </c>
      <c r="AD26" s="419">
        <f t="shared" ref="AD26:AD31" si="17">O26*$I$13</f>
        <v>0</v>
      </c>
      <c r="AE26" s="419">
        <f t="shared" ref="AE26:AE31" si="18">P26*$J$13</f>
        <v>0</v>
      </c>
      <c r="AF26" s="419">
        <f t="shared" ref="AF26:AF31" si="19">Q26*$K$13</f>
        <v>0</v>
      </c>
      <c r="AG26" s="419">
        <f t="shared" ref="AG26:AG31" si="20">R26*$L$13</f>
        <v>0</v>
      </c>
      <c r="AH26" s="420">
        <f t="shared" ref="AH26:AH31" si="21">S26*$M$13</f>
        <v>0</v>
      </c>
      <c r="AI26" s="421">
        <f t="shared" ref="AI26:AI54" si="22">SUM(AB26:AH26)</f>
        <v>0</v>
      </c>
      <c r="AJ26" s="96">
        <f t="shared" ref="AJ26:AJ54" si="23">AA26-AI26</f>
        <v>0</v>
      </c>
      <c r="AK26" s="96">
        <f>AJ26/(1+0.03)^($D26-'A - Inputs'!$C$6)</f>
        <v>0</v>
      </c>
      <c r="AL26" s="407">
        <f>AJ26/(1+0.07)^($D26-'A - Inputs'!$C$6)</f>
        <v>0</v>
      </c>
    </row>
    <row r="27" spans="4:38" x14ac:dyDescent="0.25">
      <c r="D27" s="282">
        <f t="shared" ref="D27:E42" si="24">D26+1</f>
        <v>2023</v>
      </c>
      <c r="E27" s="300">
        <f t="shared" si="24"/>
        <v>1</v>
      </c>
      <c r="F27" s="433">
        <f>'G - Safety'!G24*$G$14</f>
        <v>0</v>
      </c>
      <c r="G27" s="433">
        <f>'G - Safety'!H24*$G$14</f>
        <v>0</v>
      </c>
      <c r="H27" s="433">
        <f>'G - Safety'!I24*$G$14</f>
        <v>0</v>
      </c>
      <c r="I27" s="433">
        <f>'G - Safety'!J24*$G$14</f>
        <v>0</v>
      </c>
      <c r="J27" s="433">
        <f>'G - Safety'!K24*$G$14</f>
        <v>0</v>
      </c>
      <c r="K27" s="433">
        <f>'G - Safety'!L24*$G$14</f>
        <v>0</v>
      </c>
      <c r="L27" s="433">
        <f>'G - Safety'!M24*$G$14</f>
        <v>0</v>
      </c>
      <c r="M27" s="416">
        <f>'G - Safety'!N24*$G$14</f>
        <v>0</v>
      </c>
      <c r="N27" s="417">
        <f>'G - Safety'!O24*$G$14</f>
        <v>0</v>
      </c>
      <c r="O27" s="417">
        <f>'G - Safety'!P24*$G$14</f>
        <v>0</v>
      </c>
      <c r="P27" s="417">
        <f>'G - Safety'!Q24*$G$14</f>
        <v>0</v>
      </c>
      <c r="Q27" s="417">
        <f>'G - Safety'!R24*$G$14</f>
        <v>0</v>
      </c>
      <c r="R27" s="417">
        <f>'G - Safety'!S24*$G$14</f>
        <v>0</v>
      </c>
      <c r="S27" s="418">
        <f>'G - Safety'!T24*$G$14</f>
        <v>0</v>
      </c>
      <c r="T27" s="419">
        <f t="shared" si="7"/>
        <v>0</v>
      </c>
      <c r="U27" s="419">
        <f t="shared" si="8"/>
        <v>0</v>
      </c>
      <c r="V27" s="419">
        <f t="shared" si="9"/>
        <v>0</v>
      </c>
      <c r="W27" s="419">
        <f t="shared" si="10"/>
        <v>0</v>
      </c>
      <c r="X27" s="419">
        <f t="shared" si="11"/>
        <v>0</v>
      </c>
      <c r="Y27" s="419">
        <f t="shared" si="12"/>
        <v>0</v>
      </c>
      <c r="Z27" s="420">
        <f t="shared" si="13"/>
        <v>0</v>
      </c>
      <c r="AA27" s="420">
        <f t="shared" si="14"/>
        <v>0</v>
      </c>
      <c r="AB27" s="419">
        <f t="shared" si="15"/>
        <v>0</v>
      </c>
      <c r="AC27" s="419">
        <f t="shared" si="16"/>
        <v>0</v>
      </c>
      <c r="AD27" s="419">
        <f t="shared" si="17"/>
        <v>0</v>
      </c>
      <c r="AE27" s="419">
        <f t="shared" si="18"/>
        <v>0</v>
      </c>
      <c r="AF27" s="419">
        <f t="shared" si="19"/>
        <v>0</v>
      </c>
      <c r="AG27" s="419">
        <f t="shared" si="20"/>
        <v>0</v>
      </c>
      <c r="AH27" s="420">
        <f t="shared" si="21"/>
        <v>0</v>
      </c>
      <c r="AI27" s="421">
        <f t="shared" si="22"/>
        <v>0</v>
      </c>
      <c r="AJ27" s="96">
        <f t="shared" si="23"/>
        <v>0</v>
      </c>
      <c r="AK27" s="96">
        <f>AJ27/(1+0.03)^($D27-'A - Inputs'!$C$6)</f>
        <v>0</v>
      </c>
      <c r="AL27" s="407">
        <f>AJ27/(1+0.07)^($D27-'A - Inputs'!$C$6)</f>
        <v>0</v>
      </c>
    </row>
    <row r="28" spans="4:38" x14ac:dyDescent="0.25">
      <c r="D28" s="282">
        <f t="shared" si="24"/>
        <v>2024</v>
      </c>
      <c r="E28" s="300">
        <f t="shared" ref="E28" si="25">E27+1</f>
        <v>2</v>
      </c>
      <c r="F28" s="433">
        <f>'G - Safety'!G25*$G$14</f>
        <v>0</v>
      </c>
      <c r="G28" s="433">
        <f>'G - Safety'!H25*$G$14</f>
        <v>0</v>
      </c>
      <c r="H28" s="433">
        <f>'G - Safety'!I25*$G$14</f>
        <v>0</v>
      </c>
      <c r="I28" s="433">
        <f>'G - Safety'!J25*$G$14</f>
        <v>0</v>
      </c>
      <c r="J28" s="433">
        <f>'G - Safety'!K25*$G$14</f>
        <v>0</v>
      </c>
      <c r="K28" s="433">
        <f>'G - Safety'!L25*$G$14</f>
        <v>0</v>
      </c>
      <c r="L28" s="433">
        <f>'G - Safety'!M25*$G$14</f>
        <v>0</v>
      </c>
      <c r="M28" s="416">
        <f>'G - Safety'!N25*$G$14</f>
        <v>0</v>
      </c>
      <c r="N28" s="417">
        <f>'G - Safety'!O25*$G$14</f>
        <v>0</v>
      </c>
      <c r="O28" s="417">
        <f>'G - Safety'!P25*$G$14</f>
        <v>0</v>
      </c>
      <c r="P28" s="417">
        <f>'G - Safety'!Q25*$G$14</f>
        <v>0</v>
      </c>
      <c r="Q28" s="417">
        <f>'G - Safety'!R25*$G$14</f>
        <v>0</v>
      </c>
      <c r="R28" s="417">
        <f>'G - Safety'!S25*$G$14</f>
        <v>0</v>
      </c>
      <c r="S28" s="418">
        <f>'G - Safety'!T25*$G$14</f>
        <v>0</v>
      </c>
      <c r="T28" s="419">
        <f t="shared" si="7"/>
        <v>0</v>
      </c>
      <c r="U28" s="419">
        <f t="shared" si="8"/>
        <v>0</v>
      </c>
      <c r="V28" s="419">
        <f t="shared" si="9"/>
        <v>0</v>
      </c>
      <c r="W28" s="419">
        <f t="shared" si="10"/>
        <v>0</v>
      </c>
      <c r="X28" s="419">
        <f t="shared" si="11"/>
        <v>0</v>
      </c>
      <c r="Y28" s="419">
        <f t="shared" si="12"/>
        <v>0</v>
      </c>
      <c r="Z28" s="420">
        <f t="shared" si="13"/>
        <v>0</v>
      </c>
      <c r="AA28" s="420">
        <f t="shared" si="14"/>
        <v>0</v>
      </c>
      <c r="AB28" s="419">
        <f t="shared" si="15"/>
        <v>0</v>
      </c>
      <c r="AC28" s="419">
        <f t="shared" si="16"/>
        <v>0</v>
      </c>
      <c r="AD28" s="419">
        <f t="shared" si="17"/>
        <v>0</v>
      </c>
      <c r="AE28" s="419">
        <f t="shared" si="18"/>
        <v>0</v>
      </c>
      <c r="AF28" s="419">
        <f t="shared" si="19"/>
        <v>0</v>
      </c>
      <c r="AG28" s="419">
        <f t="shared" si="20"/>
        <v>0</v>
      </c>
      <c r="AH28" s="420">
        <f t="shared" si="21"/>
        <v>0</v>
      </c>
      <c r="AI28" s="421">
        <f t="shared" si="22"/>
        <v>0</v>
      </c>
      <c r="AJ28" s="96">
        <f t="shared" si="23"/>
        <v>0</v>
      </c>
      <c r="AK28" s="96">
        <f>AJ28/(1+0.03)^($D28-'A - Inputs'!$C$6)</f>
        <v>0</v>
      </c>
      <c r="AL28" s="407">
        <f>AJ28/(1+0.07)^($D28-'A - Inputs'!$C$6)</f>
        <v>0</v>
      </c>
    </row>
    <row r="29" spans="4:38" x14ac:dyDescent="0.25">
      <c r="D29" s="282">
        <f t="shared" si="24"/>
        <v>2025</v>
      </c>
      <c r="E29" s="300">
        <f t="shared" ref="E29" si="26">E28+1</f>
        <v>3</v>
      </c>
      <c r="F29" s="433">
        <f>'G - Safety'!G26*$G$14</f>
        <v>0</v>
      </c>
      <c r="G29" s="433">
        <f>'G - Safety'!H26*$G$14</f>
        <v>0</v>
      </c>
      <c r="H29" s="433">
        <f>'G - Safety'!I26*$G$14</f>
        <v>0</v>
      </c>
      <c r="I29" s="433">
        <f>'G - Safety'!J26*$G$14</f>
        <v>0</v>
      </c>
      <c r="J29" s="433">
        <f>'G - Safety'!K26*$G$14</f>
        <v>0</v>
      </c>
      <c r="K29" s="433">
        <f>'G - Safety'!L26*$G$14</f>
        <v>0</v>
      </c>
      <c r="L29" s="433">
        <f>'G - Safety'!M26*$G$14</f>
        <v>0</v>
      </c>
      <c r="M29" s="416">
        <f>'G - Safety'!N26*$G$14</f>
        <v>0</v>
      </c>
      <c r="N29" s="417">
        <f>'G - Safety'!O26*$G$14</f>
        <v>0</v>
      </c>
      <c r="O29" s="417">
        <f>'G - Safety'!P26*$G$14</f>
        <v>0</v>
      </c>
      <c r="P29" s="417">
        <f>'G - Safety'!Q26*$G$14</f>
        <v>0</v>
      </c>
      <c r="Q29" s="417">
        <f>'G - Safety'!R26*$G$14</f>
        <v>0</v>
      </c>
      <c r="R29" s="417">
        <f>'G - Safety'!S26*$G$14</f>
        <v>0</v>
      </c>
      <c r="S29" s="418">
        <f>'G - Safety'!T26*$G$14</f>
        <v>0</v>
      </c>
      <c r="T29" s="419">
        <f t="shared" si="7"/>
        <v>0</v>
      </c>
      <c r="U29" s="419">
        <f t="shared" si="8"/>
        <v>0</v>
      </c>
      <c r="V29" s="419">
        <f t="shared" si="9"/>
        <v>0</v>
      </c>
      <c r="W29" s="419">
        <f t="shared" si="10"/>
        <v>0</v>
      </c>
      <c r="X29" s="419">
        <f t="shared" si="11"/>
        <v>0</v>
      </c>
      <c r="Y29" s="419">
        <f t="shared" si="12"/>
        <v>0</v>
      </c>
      <c r="Z29" s="420">
        <f t="shared" si="13"/>
        <v>0</v>
      </c>
      <c r="AA29" s="420">
        <f t="shared" si="14"/>
        <v>0</v>
      </c>
      <c r="AB29" s="419">
        <f t="shared" si="15"/>
        <v>0</v>
      </c>
      <c r="AC29" s="419">
        <f t="shared" si="16"/>
        <v>0</v>
      </c>
      <c r="AD29" s="419">
        <f t="shared" si="17"/>
        <v>0</v>
      </c>
      <c r="AE29" s="419">
        <f t="shared" si="18"/>
        <v>0</v>
      </c>
      <c r="AF29" s="419">
        <f t="shared" si="19"/>
        <v>0</v>
      </c>
      <c r="AG29" s="419">
        <f t="shared" si="20"/>
        <v>0</v>
      </c>
      <c r="AH29" s="420">
        <f t="shared" si="21"/>
        <v>0</v>
      </c>
      <c r="AI29" s="421">
        <f t="shared" si="22"/>
        <v>0</v>
      </c>
      <c r="AJ29" s="96">
        <f t="shared" si="23"/>
        <v>0</v>
      </c>
      <c r="AK29" s="96">
        <f>AJ29/(1+0.03)^($D29-'A - Inputs'!$C$6)</f>
        <v>0</v>
      </c>
      <c r="AL29" s="407">
        <f>AJ29/(1+0.07)^($D29-'A - Inputs'!$C$6)</f>
        <v>0</v>
      </c>
    </row>
    <row r="30" spans="4:38" x14ac:dyDescent="0.25">
      <c r="D30" s="282">
        <f t="shared" si="24"/>
        <v>2026</v>
      </c>
      <c r="E30" s="300">
        <f t="shared" ref="E30" si="27">E29+1</f>
        <v>4</v>
      </c>
      <c r="F30" s="433">
        <f>'G - Safety'!G27*$G$14</f>
        <v>0</v>
      </c>
      <c r="G30" s="433">
        <f>'G - Safety'!H27*$G$14</f>
        <v>0</v>
      </c>
      <c r="H30" s="433">
        <f>'G - Safety'!I27*$G$14</f>
        <v>0</v>
      </c>
      <c r="I30" s="433">
        <f>'G - Safety'!J27*$G$14</f>
        <v>0</v>
      </c>
      <c r="J30" s="433">
        <f>'G - Safety'!K27*$G$14</f>
        <v>0</v>
      </c>
      <c r="K30" s="433">
        <f>'G - Safety'!L27*$G$14</f>
        <v>0</v>
      </c>
      <c r="L30" s="433">
        <f>'G - Safety'!M27*$G$14</f>
        <v>0</v>
      </c>
      <c r="M30" s="416">
        <f>'G - Safety'!N27*$G$14</f>
        <v>0</v>
      </c>
      <c r="N30" s="417">
        <f>'G - Safety'!O27*$G$14</f>
        <v>0</v>
      </c>
      <c r="O30" s="417">
        <f>'G - Safety'!P27*$G$14</f>
        <v>0</v>
      </c>
      <c r="P30" s="417">
        <f>'G - Safety'!Q27*$G$14</f>
        <v>0</v>
      </c>
      <c r="Q30" s="417">
        <f>'G - Safety'!R27*$G$14</f>
        <v>0</v>
      </c>
      <c r="R30" s="417">
        <f>'G - Safety'!S27*$G$14</f>
        <v>0</v>
      </c>
      <c r="S30" s="418">
        <f>'G - Safety'!T27*$G$14</f>
        <v>0</v>
      </c>
      <c r="T30" s="419">
        <f t="shared" si="7"/>
        <v>0</v>
      </c>
      <c r="U30" s="419">
        <f t="shared" si="8"/>
        <v>0</v>
      </c>
      <c r="V30" s="419">
        <f t="shared" si="9"/>
        <v>0</v>
      </c>
      <c r="W30" s="419">
        <f t="shared" si="10"/>
        <v>0</v>
      </c>
      <c r="X30" s="419">
        <f t="shared" si="11"/>
        <v>0</v>
      </c>
      <c r="Y30" s="419">
        <f t="shared" si="12"/>
        <v>0</v>
      </c>
      <c r="Z30" s="420">
        <f t="shared" si="13"/>
        <v>0</v>
      </c>
      <c r="AA30" s="420">
        <f t="shared" si="14"/>
        <v>0</v>
      </c>
      <c r="AB30" s="419">
        <f t="shared" si="15"/>
        <v>0</v>
      </c>
      <c r="AC30" s="419">
        <f t="shared" si="16"/>
        <v>0</v>
      </c>
      <c r="AD30" s="419">
        <f t="shared" si="17"/>
        <v>0</v>
      </c>
      <c r="AE30" s="419">
        <f t="shared" si="18"/>
        <v>0</v>
      </c>
      <c r="AF30" s="419">
        <f t="shared" si="19"/>
        <v>0</v>
      </c>
      <c r="AG30" s="419">
        <f t="shared" si="20"/>
        <v>0</v>
      </c>
      <c r="AH30" s="420">
        <f t="shared" si="21"/>
        <v>0</v>
      </c>
      <c r="AI30" s="421">
        <f t="shared" si="22"/>
        <v>0</v>
      </c>
      <c r="AJ30" s="96">
        <f t="shared" si="23"/>
        <v>0</v>
      </c>
      <c r="AK30" s="96">
        <f>AJ30/(1+0.03)^($D30-'A - Inputs'!$C$6)</f>
        <v>0</v>
      </c>
      <c r="AL30" s="407">
        <f>AJ30/(1+0.07)^($D30-'A - Inputs'!$C$6)</f>
        <v>0</v>
      </c>
    </row>
    <row r="31" spans="4:38" x14ac:dyDescent="0.25">
      <c r="D31" s="282">
        <f t="shared" si="24"/>
        <v>2027</v>
      </c>
      <c r="E31" s="300">
        <f t="shared" ref="E31" si="28">E30+1</f>
        <v>5</v>
      </c>
      <c r="F31" s="433">
        <f>'G - Safety'!G28*$G$14</f>
        <v>0</v>
      </c>
      <c r="G31" s="433">
        <f>'G - Safety'!H28*$G$14</f>
        <v>0</v>
      </c>
      <c r="H31" s="433">
        <f>'G - Safety'!I28*$G$14</f>
        <v>0</v>
      </c>
      <c r="I31" s="433">
        <f>'G - Safety'!J28*$G$14</f>
        <v>0</v>
      </c>
      <c r="J31" s="433">
        <f>'G - Safety'!K28*$G$14</f>
        <v>0</v>
      </c>
      <c r="K31" s="433">
        <f>'G - Safety'!L28*$G$14</f>
        <v>0</v>
      </c>
      <c r="L31" s="433">
        <f>'G - Safety'!M28*$G$14</f>
        <v>0</v>
      </c>
      <c r="M31" s="416">
        <f>'G - Safety'!N28*$G$14</f>
        <v>0</v>
      </c>
      <c r="N31" s="417">
        <f>'G - Safety'!O28*$G$14</f>
        <v>0</v>
      </c>
      <c r="O31" s="417">
        <f>'G - Safety'!P28*$G$14</f>
        <v>0</v>
      </c>
      <c r="P31" s="417">
        <f>'G - Safety'!Q28*$G$14</f>
        <v>0</v>
      </c>
      <c r="Q31" s="417">
        <f>'G - Safety'!R28*$G$14</f>
        <v>0</v>
      </c>
      <c r="R31" s="417">
        <f>'G - Safety'!S28*$G$14</f>
        <v>0</v>
      </c>
      <c r="S31" s="418">
        <f>'G - Safety'!T28*$G$14</f>
        <v>0</v>
      </c>
      <c r="T31" s="419">
        <f t="shared" si="7"/>
        <v>0</v>
      </c>
      <c r="U31" s="419">
        <f t="shared" si="8"/>
        <v>0</v>
      </c>
      <c r="V31" s="419">
        <f t="shared" si="9"/>
        <v>0</v>
      </c>
      <c r="W31" s="419">
        <f t="shared" si="10"/>
        <v>0</v>
      </c>
      <c r="X31" s="419">
        <f t="shared" si="11"/>
        <v>0</v>
      </c>
      <c r="Y31" s="419">
        <f t="shared" si="12"/>
        <v>0</v>
      </c>
      <c r="Z31" s="420">
        <f t="shared" si="13"/>
        <v>0</v>
      </c>
      <c r="AA31" s="420">
        <f t="shared" si="14"/>
        <v>0</v>
      </c>
      <c r="AB31" s="419">
        <f t="shared" si="15"/>
        <v>0</v>
      </c>
      <c r="AC31" s="419">
        <f t="shared" si="16"/>
        <v>0</v>
      </c>
      <c r="AD31" s="419">
        <f t="shared" si="17"/>
        <v>0</v>
      </c>
      <c r="AE31" s="419">
        <f t="shared" si="18"/>
        <v>0</v>
      </c>
      <c r="AF31" s="419">
        <f t="shared" si="19"/>
        <v>0</v>
      </c>
      <c r="AG31" s="419">
        <f t="shared" si="20"/>
        <v>0</v>
      </c>
      <c r="AH31" s="420">
        <f t="shared" si="21"/>
        <v>0</v>
      </c>
      <c r="AI31" s="421">
        <f t="shared" si="22"/>
        <v>0</v>
      </c>
      <c r="AJ31" s="96">
        <f t="shared" si="23"/>
        <v>0</v>
      </c>
      <c r="AK31" s="96">
        <f>AJ31/(1+0.03)^($D31-'A - Inputs'!$C$6)</f>
        <v>0</v>
      </c>
      <c r="AL31" s="407">
        <f>AJ31/(1+0.07)^($D31-'A - Inputs'!$C$6)</f>
        <v>0</v>
      </c>
    </row>
    <row r="32" spans="4:38" x14ac:dyDescent="0.25">
      <c r="D32" s="282">
        <f t="shared" si="24"/>
        <v>2028</v>
      </c>
      <c r="E32" s="300">
        <f t="shared" ref="E32" si="29">E31+1</f>
        <v>6</v>
      </c>
      <c r="F32" s="433">
        <f>'G - Safety'!G29*$G$14</f>
        <v>0.10397953418692193</v>
      </c>
      <c r="G32" s="433">
        <f>'G - Safety'!H29*$G$14</f>
        <v>4.6568611892262475E-2</v>
      </c>
      <c r="H32" s="433">
        <f>'G - Safety'!I29*$G$14</f>
        <v>0.18538573360164032</v>
      </c>
      <c r="I32" s="433">
        <f>'G - Safety'!J29*$G$14</f>
        <v>9.2781738197561123E-2</v>
      </c>
      <c r="J32" s="433">
        <f>'G - Safety'!K29*$G$14</f>
        <v>5.0834438935828508E-2</v>
      </c>
      <c r="K32" s="433">
        <f>'G - Safety'!L29*$G$14</f>
        <v>1.5641365826408772E-2</v>
      </c>
      <c r="L32" s="433">
        <f>'G - Safety'!M29*$G$14</f>
        <v>9.2426252610597281E-2</v>
      </c>
      <c r="M32" s="416">
        <f>'G - Safety'!N29*$G$14</f>
        <v>3.3060159587636723E-2</v>
      </c>
      <c r="N32" s="417">
        <f>'G - Safety'!O29*$G$14</f>
        <v>3.3060159587636723E-2</v>
      </c>
      <c r="O32" s="417">
        <f>'G - Safety'!P29*$G$14</f>
        <v>0.12424221264386058</v>
      </c>
      <c r="P32" s="417">
        <f>'G - Safety'!Q29*$G$14</f>
        <v>6.2209977718671247E-2</v>
      </c>
      <c r="Q32" s="417">
        <f>'G - Safety'!R29*$G$14</f>
        <v>3.2171445620227133E-2</v>
      </c>
      <c r="R32" s="417">
        <f>'G - Safety'!S29*$G$14</f>
        <v>2.3639791533095075E-2</v>
      </c>
      <c r="S32" s="418">
        <f>'G - Safety'!T29*$G$14</f>
        <v>5.847737905555097E-2</v>
      </c>
      <c r="T32" s="419">
        <f t="shared" si="7"/>
        <v>217129.64737099363</v>
      </c>
      <c r="U32" s="419">
        <f t="shared" si="8"/>
        <v>97244.389078974928</v>
      </c>
      <c r="V32" s="419">
        <f t="shared" si="9"/>
        <v>387121.74736401089</v>
      </c>
      <c r="W32" s="419">
        <f t="shared" si="10"/>
        <v>193746.45457719435</v>
      </c>
      <c r="X32" s="419">
        <f t="shared" si="11"/>
        <v>106152.27204804134</v>
      </c>
      <c r="Y32" s="419">
        <f t="shared" si="12"/>
        <v>32662.237553243493</v>
      </c>
      <c r="Z32" s="420">
        <f t="shared" si="13"/>
        <v>193004.13099643879</v>
      </c>
      <c r="AA32" s="420">
        <f t="shared" si="14"/>
        <v>1227060.8789888974</v>
      </c>
      <c r="AB32" s="419">
        <f t="shared" si="15"/>
        <v>69036.093010264653</v>
      </c>
      <c r="AC32" s="419">
        <f t="shared" ref="AC32:AC35" si="30">N32*$H$13</f>
        <v>69036.093010264653</v>
      </c>
      <c r="AD32" s="419">
        <f t="shared" ref="AD32:AD35" si="31">O32*$I$13</f>
        <v>259442.0914740591</v>
      </c>
      <c r="AE32" s="419">
        <f t="shared" ref="AE32:AE35" si="32">P32*$J$13</f>
        <v>129906.62663221842</v>
      </c>
      <c r="AF32" s="419">
        <f t="shared" ref="AF32:AF35" si="33">Q32*$K$13</f>
        <v>67180.284058375822</v>
      </c>
      <c r="AG32" s="419">
        <f t="shared" ref="AG32:AG35" si="34">R32*$L$13</f>
        <v>49364.518120243003</v>
      </c>
      <c r="AH32" s="420">
        <f t="shared" ref="AH32:AH35" si="35">S32*$M$13</f>
        <v>122112.22903428531</v>
      </c>
      <c r="AI32" s="421">
        <f t="shared" si="22"/>
        <v>766077.93533971102</v>
      </c>
      <c r="AJ32" s="96">
        <f t="shared" si="23"/>
        <v>460982.9436491864</v>
      </c>
      <c r="AK32" s="96">
        <f>AJ32/(1+0.03)^($D32-'A - Inputs'!$C$6)</f>
        <v>353305.04133775574</v>
      </c>
      <c r="AL32" s="407">
        <f>AJ32/(1+0.07)^($D32-'A - Inputs'!$C$6)</f>
        <v>250744.17780655937</v>
      </c>
    </row>
    <row r="33" spans="4:38" x14ac:dyDescent="0.25">
      <c r="D33" s="282">
        <f t="shared" si="24"/>
        <v>2029</v>
      </c>
      <c r="E33" s="300">
        <f t="shared" ref="E33" si="36">E32+1</f>
        <v>7</v>
      </c>
      <c r="F33" s="433">
        <f>'G - Safety'!G30*$G$14</f>
        <v>0.10397953418692193</v>
      </c>
      <c r="G33" s="433">
        <f>'G - Safety'!H30*$G$14</f>
        <v>4.6568611892262475E-2</v>
      </c>
      <c r="H33" s="433">
        <f>'G - Safety'!I30*$G$14</f>
        <v>0.18538573360164032</v>
      </c>
      <c r="I33" s="433">
        <f>'G - Safety'!J30*$G$14</f>
        <v>9.2781738197561123E-2</v>
      </c>
      <c r="J33" s="433">
        <f>'G - Safety'!K30*$G$14</f>
        <v>5.0834438935828508E-2</v>
      </c>
      <c r="K33" s="433">
        <f>'G - Safety'!L30*$G$14</f>
        <v>1.5641365826408772E-2</v>
      </c>
      <c r="L33" s="433">
        <f>'G - Safety'!M30*$G$14</f>
        <v>9.2426252610597281E-2</v>
      </c>
      <c r="M33" s="416">
        <f>'G - Safety'!N30*$G$14</f>
        <v>3.3060159587636723E-2</v>
      </c>
      <c r="N33" s="417">
        <f>'G - Safety'!O30*$G$14</f>
        <v>3.3060159587636723E-2</v>
      </c>
      <c r="O33" s="417">
        <f>'G - Safety'!P30*$G$14</f>
        <v>0.12424221264386058</v>
      </c>
      <c r="P33" s="417">
        <f>'G - Safety'!Q30*$G$14</f>
        <v>6.2209977718671247E-2</v>
      </c>
      <c r="Q33" s="417">
        <f>'G - Safety'!R30*$G$14</f>
        <v>3.2171445620227133E-2</v>
      </c>
      <c r="R33" s="417">
        <f>'G - Safety'!S30*$G$14</f>
        <v>2.3639791533095075E-2</v>
      </c>
      <c r="S33" s="418">
        <f>'G - Safety'!T30*$G$14</f>
        <v>5.847737905555097E-2</v>
      </c>
      <c r="T33" s="419">
        <f t="shared" si="7"/>
        <v>217129.64737099363</v>
      </c>
      <c r="U33" s="419">
        <f t="shared" si="8"/>
        <v>97244.389078974928</v>
      </c>
      <c r="V33" s="419">
        <f t="shared" si="9"/>
        <v>387121.74736401089</v>
      </c>
      <c r="W33" s="419">
        <f t="shared" si="10"/>
        <v>193746.45457719435</v>
      </c>
      <c r="X33" s="419">
        <f t="shared" si="11"/>
        <v>106152.27204804134</v>
      </c>
      <c r="Y33" s="419">
        <f t="shared" si="12"/>
        <v>32662.237553243493</v>
      </c>
      <c r="Z33" s="420">
        <f t="shared" si="13"/>
        <v>193004.13099643879</v>
      </c>
      <c r="AA33" s="420">
        <f t="shared" si="14"/>
        <v>1227060.8789888974</v>
      </c>
      <c r="AB33" s="419">
        <f t="shared" ref="AB33:AB52" si="37">M33*$G$13</f>
        <v>69036.093010264653</v>
      </c>
      <c r="AC33" s="419">
        <f t="shared" si="30"/>
        <v>69036.093010264653</v>
      </c>
      <c r="AD33" s="419">
        <f t="shared" si="31"/>
        <v>259442.0914740591</v>
      </c>
      <c r="AE33" s="419">
        <f t="shared" si="32"/>
        <v>129906.62663221842</v>
      </c>
      <c r="AF33" s="419">
        <f t="shared" si="33"/>
        <v>67180.284058375822</v>
      </c>
      <c r="AG33" s="419">
        <f t="shared" si="34"/>
        <v>49364.518120243003</v>
      </c>
      <c r="AH33" s="420">
        <f t="shared" si="35"/>
        <v>122112.22903428531</v>
      </c>
      <c r="AI33" s="421">
        <f t="shared" si="22"/>
        <v>766077.93533971102</v>
      </c>
      <c r="AJ33" s="96">
        <f t="shared" si="23"/>
        <v>460982.9436491864</v>
      </c>
      <c r="AK33" s="96">
        <f>AJ33/(1+0.03)^($D33-'A - Inputs'!$C$6)</f>
        <v>343014.60324053955</v>
      </c>
      <c r="AL33" s="407">
        <f>AJ33/(1+0.07)^($D33-'A - Inputs'!$C$6)</f>
        <v>234340.35309024242</v>
      </c>
    </row>
    <row r="34" spans="4:38" x14ac:dyDescent="0.25">
      <c r="D34" s="282">
        <f t="shared" si="24"/>
        <v>2030</v>
      </c>
      <c r="E34" s="300">
        <f t="shared" ref="E34" si="38">E33+1</f>
        <v>8</v>
      </c>
      <c r="F34" s="433">
        <f>'G - Safety'!G31*$G$14</f>
        <v>0.10397953418692193</v>
      </c>
      <c r="G34" s="433">
        <f>'G - Safety'!H31*$G$14</f>
        <v>4.6568611892262475E-2</v>
      </c>
      <c r="H34" s="433">
        <f>'G - Safety'!I31*$G$14</f>
        <v>0.18538573360164032</v>
      </c>
      <c r="I34" s="433">
        <f>'G - Safety'!J31*$G$14</f>
        <v>9.2781738197561123E-2</v>
      </c>
      <c r="J34" s="433">
        <f>'G - Safety'!K31*$G$14</f>
        <v>5.0834438935828508E-2</v>
      </c>
      <c r="K34" s="433">
        <f>'G - Safety'!L31*$G$14</f>
        <v>1.5641365826408772E-2</v>
      </c>
      <c r="L34" s="433">
        <f>'G - Safety'!M31*$G$14</f>
        <v>9.2426252610597281E-2</v>
      </c>
      <c r="M34" s="416">
        <f>'G - Safety'!N31*$G$14</f>
        <v>3.3060159587636723E-2</v>
      </c>
      <c r="N34" s="417">
        <f>'G - Safety'!O31*$G$14</f>
        <v>3.3060159587636723E-2</v>
      </c>
      <c r="O34" s="417">
        <f>'G - Safety'!P31*$G$14</f>
        <v>0.12424221264386058</v>
      </c>
      <c r="P34" s="417">
        <f>'G - Safety'!Q31*$G$14</f>
        <v>6.2209977718671247E-2</v>
      </c>
      <c r="Q34" s="417">
        <f>'G - Safety'!R31*$G$14</f>
        <v>3.2171445620227133E-2</v>
      </c>
      <c r="R34" s="417">
        <f>'G - Safety'!S31*$G$14</f>
        <v>2.3639791533095075E-2</v>
      </c>
      <c r="S34" s="418">
        <f>'G - Safety'!T31*$G$14</f>
        <v>5.847737905555097E-2</v>
      </c>
      <c r="T34" s="419">
        <f t="shared" si="7"/>
        <v>217129.64737099363</v>
      </c>
      <c r="U34" s="419">
        <f t="shared" si="8"/>
        <v>97244.389078974928</v>
      </c>
      <c r="V34" s="419">
        <f t="shared" si="9"/>
        <v>387121.74736401089</v>
      </c>
      <c r="W34" s="419">
        <f t="shared" si="10"/>
        <v>193746.45457719435</v>
      </c>
      <c r="X34" s="419">
        <f t="shared" si="11"/>
        <v>106152.27204804134</v>
      </c>
      <c r="Y34" s="419">
        <f t="shared" si="12"/>
        <v>32662.237553243493</v>
      </c>
      <c r="Z34" s="420">
        <f t="shared" si="13"/>
        <v>193004.13099643879</v>
      </c>
      <c r="AA34" s="420">
        <f t="shared" si="14"/>
        <v>1227060.8789888974</v>
      </c>
      <c r="AB34" s="419">
        <f t="shared" si="37"/>
        <v>69036.093010264653</v>
      </c>
      <c r="AC34" s="419">
        <f t="shared" si="30"/>
        <v>69036.093010264653</v>
      </c>
      <c r="AD34" s="419">
        <f t="shared" si="31"/>
        <v>259442.0914740591</v>
      </c>
      <c r="AE34" s="419">
        <f t="shared" si="32"/>
        <v>129906.62663221842</v>
      </c>
      <c r="AF34" s="419">
        <f t="shared" si="33"/>
        <v>67180.284058375822</v>
      </c>
      <c r="AG34" s="419">
        <f t="shared" si="34"/>
        <v>49364.518120243003</v>
      </c>
      <c r="AH34" s="420">
        <f t="shared" si="35"/>
        <v>122112.22903428531</v>
      </c>
      <c r="AI34" s="421">
        <f t="shared" si="22"/>
        <v>766077.93533971102</v>
      </c>
      <c r="AJ34" s="96">
        <f t="shared" si="23"/>
        <v>460982.9436491864</v>
      </c>
      <c r="AK34" s="96">
        <f>AJ34/(1+0.03)^($D34-'A - Inputs'!$C$6)</f>
        <v>333023.88664130052</v>
      </c>
      <c r="AL34" s="407">
        <f>AJ34/(1+0.07)^($D34-'A - Inputs'!$C$6)</f>
        <v>219009.67578527326</v>
      </c>
    </row>
    <row r="35" spans="4:38" x14ac:dyDescent="0.25">
      <c r="D35" s="282">
        <f t="shared" si="24"/>
        <v>2031</v>
      </c>
      <c r="E35" s="300">
        <f t="shared" ref="E35" si="39">E34+1</f>
        <v>9</v>
      </c>
      <c r="F35" s="433">
        <f>'G - Safety'!G32*$G$14</f>
        <v>0.10397953418692193</v>
      </c>
      <c r="G35" s="433">
        <f>'G - Safety'!H32*$G$14</f>
        <v>4.6568611892262475E-2</v>
      </c>
      <c r="H35" s="433">
        <f>'G - Safety'!I32*$G$14</f>
        <v>0.18538573360164032</v>
      </c>
      <c r="I35" s="433">
        <f>'G - Safety'!J32*$G$14</f>
        <v>9.2781738197561123E-2</v>
      </c>
      <c r="J35" s="433">
        <f>'G - Safety'!K32*$G$14</f>
        <v>5.0834438935828508E-2</v>
      </c>
      <c r="K35" s="433">
        <f>'G - Safety'!L32*$G$14</f>
        <v>1.5641365826408772E-2</v>
      </c>
      <c r="L35" s="433">
        <f>'G - Safety'!M32*$G$14</f>
        <v>9.2426252610597281E-2</v>
      </c>
      <c r="M35" s="416">
        <f>'G - Safety'!N32*$G$14</f>
        <v>3.3060159587636723E-2</v>
      </c>
      <c r="N35" s="417">
        <f>'G - Safety'!O32*$G$14</f>
        <v>3.3060159587636723E-2</v>
      </c>
      <c r="O35" s="417">
        <f>'G - Safety'!P32*$G$14</f>
        <v>0.12424221264386058</v>
      </c>
      <c r="P35" s="417">
        <f>'G - Safety'!Q32*$G$14</f>
        <v>6.2209977718671247E-2</v>
      </c>
      <c r="Q35" s="417">
        <f>'G - Safety'!R32*$G$14</f>
        <v>3.2171445620227133E-2</v>
      </c>
      <c r="R35" s="417">
        <f>'G - Safety'!S32*$G$14</f>
        <v>2.3639791533095075E-2</v>
      </c>
      <c r="S35" s="418">
        <f>'G - Safety'!T32*$G$14</f>
        <v>5.847737905555097E-2</v>
      </c>
      <c r="T35" s="419">
        <f t="shared" si="7"/>
        <v>217129.64737099363</v>
      </c>
      <c r="U35" s="419">
        <f t="shared" si="8"/>
        <v>97244.389078974928</v>
      </c>
      <c r="V35" s="419">
        <f t="shared" si="9"/>
        <v>387121.74736401089</v>
      </c>
      <c r="W35" s="419">
        <f t="shared" si="10"/>
        <v>193746.45457719435</v>
      </c>
      <c r="X35" s="419">
        <f t="shared" si="11"/>
        <v>106152.27204804134</v>
      </c>
      <c r="Y35" s="419">
        <f t="shared" si="12"/>
        <v>32662.237553243493</v>
      </c>
      <c r="Z35" s="420">
        <f t="shared" si="13"/>
        <v>193004.13099643879</v>
      </c>
      <c r="AA35" s="420">
        <f t="shared" si="14"/>
        <v>1227060.8789888974</v>
      </c>
      <c r="AB35" s="419">
        <f t="shared" si="37"/>
        <v>69036.093010264653</v>
      </c>
      <c r="AC35" s="419">
        <f t="shared" si="30"/>
        <v>69036.093010264653</v>
      </c>
      <c r="AD35" s="419">
        <f t="shared" si="31"/>
        <v>259442.0914740591</v>
      </c>
      <c r="AE35" s="419">
        <f t="shared" si="32"/>
        <v>129906.62663221842</v>
      </c>
      <c r="AF35" s="419">
        <f t="shared" si="33"/>
        <v>67180.284058375822</v>
      </c>
      <c r="AG35" s="419">
        <f t="shared" si="34"/>
        <v>49364.518120243003</v>
      </c>
      <c r="AH35" s="420">
        <f t="shared" si="35"/>
        <v>122112.22903428531</v>
      </c>
      <c r="AI35" s="421">
        <f t="shared" si="22"/>
        <v>766077.93533971102</v>
      </c>
      <c r="AJ35" s="96">
        <f t="shared" si="23"/>
        <v>460982.9436491864</v>
      </c>
      <c r="AK35" s="96">
        <f>AJ35/(1+0.03)^($D35-'A - Inputs'!$C$6)</f>
        <v>323324.16178767045</v>
      </c>
      <c r="AL35" s="407">
        <f>AJ35/(1+0.07)^($D35-'A - Inputs'!$C$6)</f>
        <v>204681.93998623671</v>
      </c>
    </row>
    <row r="36" spans="4:38" x14ac:dyDescent="0.25">
      <c r="D36" s="282">
        <f t="shared" si="24"/>
        <v>2032</v>
      </c>
      <c r="E36" s="300">
        <f t="shared" ref="E36" si="40">E35+1</f>
        <v>10</v>
      </c>
      <c r="F36" s="433">
        <f>'G - Safety'!G33*$G$14</f>
        <v>0.10397953418692193</v>
      </c>
      <c r="G36" s="433">
        <f>'G - Safety'!H33*$G$14</f>
        <v>4.6568611892262475E-2</v>
      </c>
      <c r="H36" s="433">
        <f>'G - Safety'!I33*$G$14</f>
        <v>0.18538573360164032</v>
      </c>
      <c r="I36" s="433">
        <f>'G - Safety'!J33*$G$14</f>
        <v>9.2781738197561123E-2</v>
      </c>
      <c r="J36" s="433">
        <f>'G - Safety'!K33*$G$14</f>
        <v>5.0834438935828508E-2</v>
      </c>
      <c r="K36" s="433">
        <f>'G - Safety'!L33*$G$14</f>
        <v>1.5641365826408772E-2</v>
      </c>
      <c r="L36" s="433">
        <f>'G - Safety'!M33*$G$14</f>
        <v>9.2426252610597281E-2</v>
      </c>
      <c r="M36" s="416">
        <f>'G - Safety'!N33*$G$14</f>
        <v>3.3060159587636723E-2</v>
      </c>
      <c r="N36" s="417">
        <f>'G - Safety'!O33*$G$14</f>
        <v>3.3060159587636723E-2</v>
      </c>
      <c r="O36" s="417">
        <f>'G - Safety'!P33*$G$14</f>
        <v>0.12424221264386058</v>
      </c>
      <c r="P36" s="417">
        <f>'G - Safety'!Q33*$G$14</f>
        <v>6.2209977718671247E-2</v>
      </c>
      <c r="Q36" s="417">
        <f>'G - Safety'!R33*$G$14</f>
        <v>3.2171445620227133E-2</v>
      </c>
      <c r="R36" s="417">
        <f>'G - Safety'!S33*$G$14</f>
        <v>2.3639791533095075E-2</v>
      </c>
      <c r="S36" s="418">
        <f>'G - Safety'!T33*$G$14</f>
        <v>5.847737905555097E-2</v>
      </c>
      <c r="T36" s="419">
        <f t="shared" si="7"/>
        <v>217129.64737099363</v>
      </c>
      <c r="U36" s="419">
        <f t="shared" si="8"/>
        <v>97244.389078974928</v>
      </c>
      <c r="V36" s="419">
        <f t="shared" si="9"/>
        <v>387121.74736401089</v>
      </c>
      <c r="W36" s="419">
        <f t="shared" si="10"/>
        <v>193746.45457719435</v>
      </c>
      <c r="X36" s="419">
        <f t="shared" si="11"/>
        <v>106152.27204804134</v>
      </c>
      <c r="Y36" s="419">
        <f t="shared" si="12"/>
        <v>32662.237553243493</v>
      </c>
      <c r="Z36" s="420">
        <f t="shared" si="13"/>
        <v>193004.13099643879</v>
      </c>
      <c r="AA36" s="420">
        <f t="shared" si="14"/>
        <v>1227060.8789888974</v>
      </c>
      <c r="AB36" s="419">
        <f t="shared" si="37"/>
        <v>69036.093010264653</v>
      </c>
      <c r="AC36" s="419">
        <f t="shared" ref="AC36:AC54" si="41">N36*$H$13</f>
        <v>69036.093010264653</v>
      </c>
      <c r="AD36" s="419">
        <f t="shared" ref="AD36:AD54" si="42">O36*$I$13</f>
        <v>259442.0914740591</v>
      </c>
      <c r="AE36" s="419">
        <f t="shared" ref="AE36:AE54" si="43">P36*$J$13</f>
        <v>129906.62663221842</v>
      </c>
      <c r="AF36" s="419">
        <f t="shared" ref="AF36:AF54" si="44">Q36*$K$13</f>
        <v>67180.284058375822</v>
      </c>
      <c r="AG36" s="419">
        <f t="shared" ref="AG36:AG54" si="45">R36*$L$13</f>
        <v>49364.518120243003</v>
      </c>
      <c r="AH36" s="420">
        <f t="shared" ref="AH36:AH54" si="46">S36*$M$13</f>
        <v>122112.22903428531</v>
      </c>
      <c r="AI36" s="421">
        <f t="shared" si="22"/>
        <v>766077.93533971102</v>
      </c>
      <c r="AJ36" s="96">
        <f t="shared" si="23"/>
        <v>460982.9436491864</v>
      </c>
      <c r="AK36" s="96">
        <f>AJ36/(1+0.03)^($D36-'A - Inputs'!$C$6)</f>
        <v>313906.95319191308</v>
      </c>
      <c r="AL36" s="407">
        <f>AJ36/(1+0.07)^($D36-'A - Inputs'!$C$6)</f>
        <v>191291.53269741748</v>
      </c>
    </row>
    <row r="37" spans="4:38" x14ac:dyDescent="0.25">
      <c r="D37" s="282">
        <f t="shared" si="24"/>
        <v>2033</v>
      </c>
      <c r="E37" s="300">
        <f t="shared" ref="E37" si="47">E36+1</f>
        <v>11</v>
      </c>
      <c r="F37" s="433">
        <f>'G - Safety'!G34*$G$14</f>
        <v>0.10397953418692193</v>
      </c>
      <c r="G37" s="433">
        <f>'G - Safety'!H34*$G$14</f>
        <v>4.6568611892262475E-2</v>
      </c>
      <c r="H37" s="433">
        <f>'G - Safety'!I34*$G$14</f>
        <v>0.18538573360164032</v>
      </c>
      <c r="I37" s="433">
        <f>'G - Safety'!J34*$G$14</f>
        <v>9.2781738197561123E-2</v>
      </c>
      <c r="J37" s="433">
        <f>'G - Safety'!K34*$G$14</f>
        <v>5.0834438935828508E-2</v>
      </c>
      <c r="K37" s="433">
        <f>'G - Safety'!L34*$G$14</f>
        <v>1.5641365826408772E-2</v>
      </c>
      <c r="L37" s="433">
        <f>'G - Safety'!M34*$G$14</f>
        <v>9.2426252610597281E-2</v>
      </c>
      <c r="M37" s="416">
        <f>'G - Safety'!N34*$G$14</f>
        <v>3.3060159587636723E-2</v>
      </c>
      <c r="N37" s="417">
        <f>'G - Safety'!O34*$G$14</f>
        <v>3.3060159587636723E-2</v>
      </c>
      <c r="O37" s="417">
        <f>'G - Safety'!P34*$G$14</f>
        <v>0.12424221264386058</v>
      </c>
      <c r="P37" s="417">
        <f>'G - Safety'!Q34*$G$14</f>
        <v>6.2209977718671247E-2</v>
      </c>
      <c r="Q37" s="417">
        <f>'G - Safety'!R34*$G$14</f>
        <v>3.2171445620227133E-2</v>
      </c>
      <c r="R37" s="417">
        <f>'G - Safety'!S34*$G$14</f>
        <v>2.3639791533095075E-2</v>
      </c>
      <c r="S37" s="418">
        <f>'G - Safety'!T34*$G$14</f>
        <v>5.847737905555097E-2</v>
      </c>
      <c r="T37" s="419">
        <f t="shared" si="7"/>
        <v>217129.64737099363</v>
      </c>
      <c r="U37" s="419">
        <f t="shared" si="8"/>
        <v>97244.389078974928</v>
      </c>
      <c r="V37" s="419">
        <f t="shared" si="9"/>
        <v>387121.74736401089</v>
      </c>
      <c r="W37" s="419">
        <f t="shared" si="10"/>
        <v>193746.45457719435</v>
      </c>
      <c r="X37" s="419">
        <f t="shared" si="11"/>
        <v>106152.27204804134</v>
      </c>
      <c r="Y37" s="419">
        <f t="shared" si="12"/>
        <v>32662.237553243493</v>
      </c>
      <c r="Z37" s="420">
        <f t="shared" si="13"/>
        <v>193004.13099643879</v>
      </c>
      <c r="AA37" s="420">
        <f t="shared" si="14"/>
        <v>1227060.8789888974</v>
      </c>
      <c r="AB37" s="419">
        <f t="shared" si="37"/>
        <v>69036.093010264653</v>
      </c>
      <c r="AC37" s="419">
        <f t="shared" si="41"/>
        <v>69036.093010264653</v>
      </c>
      <c r="AD37" s="419">
        <f t="shared" si="42"/>
        <v>259442.0914740591</v>
      </c>
      <c r="AE37" s="419">
        <f t="shared" si="43"/>
        <v>129906.62663221842</v>
      </c>
      <c r="AF37" s="419">
        <f t="shared" si="44"/>
        <v>67180.284058375822</v>
      </c>
      <c r="AG37" s="419">
        <f t="shared" si="45"/>
        <v>49364.518120243003</v>
      </c>
      <c r="AH37" s="420">
        <f t="shared" si="46"/>
        <v>122112.22903428531</v>
      </c>
      <c r="AI37" s="421">
        <f t="shared" si="22"/>
        <v>766077.93533971102</v>
      </c>
      <c r="AJ37" s="96">
        <f t="shared" si="23"/>
        <v>460982.9436491864</v>
      </c>
      <c r="AK37" s="96">
        <f>AJ37/(1+0.03)^($D37-'A - Inputs'!$C$6)</f>
        <v>304764.0322251583</v>
      </c>
      <c r="AL37" s="407">
        <f>AJ37/(1+0.07)^($D37-'A - Inputs'!$C$6)</f>
        <v>178777.13336207243</v>
      </c>
    </row>
    <row r="38" spans="4:38" x14ac:dyDescent="0.25">
      <c r="D38" s="282">
        <f t="shared" si="24"/>
        <v>2034</v>
      </c>
      <c r="E38" s="300">
        <f t="shared" ref="E38" si="48">E37+1</f>
        <v>12</v>
      </c>
      <c r="F38" s="433">
        <f>'G - Safety'!G35*$G$14</f>
        <v>0.10397953418692193</v>
      </c>
      <c r="G38" s="433">
        <f>'G - Safety'!H35*$G$14</f>
        <v>4.6568611892262475E-2</v>
      </c>
      <c r="H38" s="433">
        <f>'G - Safety'!I35*$G$14</f>
        <v>0.18538573360164032</v>
      </c>
      <c r="I38" s="433">
        <f>'G - Safety'!J35*$G$14</f>
        <v>9.2781738197561123E-2</v>
      </c>
      <c r="J38" s="433">
        <f>'G - Safety'!K35*$G$14</f>
        <v>5.0834438935828508E-2</v>
      </c>
      <c r="K38" s="433">
        <f>'G - Safety'!L35*$G$14</f>
        <v>1.5641365826408772E-2</v>
      </c>
      <c r="L38" s="433">
        <f>'G - Safety'!M35*$G$14</f>
        <v>9.2426252610597281E-2</v>
      </c>
      <c r="M38" s="416">
        <f>'G - Safety'!N35*$G$14</f>
        <v>3.3060159587636723E-2</v>
      </c>
      <c r="N38" s="417">
        <f>'G - Safety'!O35*$G$14</f>
        <v>3.3060159587636723E-2</v>
      </c>
      <c r="O38" s="417">
        <f>'G - Safety'!P35*$G$14</f>
        <v>0.12424221264386058</v>
      </c>
      <c r="P38" s="417">
        <f>'G - Safety'!Q35*$G$14</f>
        <v>6.2209977718671247E-2</v>
      </c>
      <c r="Q38" s="417">
        <f>'G - Safety'!R35*$G$14</f>
        <v>3.2171445620227133E-2</v>
      </c>
      <c r="R38" s="417">
        <f>'G - Safety'!S35*$G$14</f>
        <v>2.3639791533095075E-2</v>
      </c>
      <c r="S38" s="418">
        <f>'G - Safety'!T35*$G$14</f>
        <v>5.847737905555097E-2</v>
      </c>
      <c r="T38" s="419">
        <f t="shared" si="7"/>
        <v>217129.64737099363</v>
      </c>
      <c r="U38" s="419">
        <f t="shared" si="8"/>
        <v>97244.389078974928</v>
      </c>
      <c r="V38" s="419">
        <f t="shared" si="9"/>
        <v>387121.74736401089</v>
      </c>
      <c r="W38" s="419">
        <f t="shared" si="10"/>
        <v>193746.45457719435</v>
      </c>
      <c r="X38" s="419">
        <f t="shared" si="11"/>
        <v>106152.27204804134</v>
      </c>
      <c r="Y38" s="419">
        <f t="shared" si="12"/>
        <v>32662.237553243493</v>
      </c>
      <c r="Z38" s="420">
        <f t="shared" si="13"/>
        <v>193004.13099643879</v>
      </c>
      <c r="AA38" s="420">
        <f t="shared" si="14"/>
        <v>1227060.8789888974</v>
      </c>
      <c r="AB38" s="419">
        <f t="shared" si="37"/>
        <v>69036.093010264653</v>
      </c>
      <c r="AC38" s="419">
        <f t="shared" si="41"/>
        <v>69036.093010264653</v>
      </c>
      <c r="AD38" s="419">
        <f t="shared" si="42"/>
        <v>259442.0914740591</v>
      </c>
      <c r="AE38" s="419">
        <f t="shared" si="43"/>
        <v>129906.62663221842</v>
      </c>
      <c r="AF38" s="419">
        <f t="shared" si="44"/>
        <v>67180.284058375822</v>
      </c>
      <c r="AG38" s="419">
        <f t="shared" si="45"/>
        <v>49364.518120243003</v>
      </c>
      <c r="AH38" s="420">
        <f t="shared" si="46"/>
        <v>122112.22903428531</v>
      </c>
      <c r="AI38" s="421">
        <f t="shared" si="22"/>
        <v>766077.93533971102</v>
      </c>
      <c r="AJ38" s="96">
        <f t="shared" si="23"/>
        <v>460982.9436491864</v>
      </c>
      <c r="AK38" s="96">
        <f>AJ38/(1+0.03)^($D38-'A - Inputs'!$C$6)</f>
        <v>295887.40992733813</v>
      </c>
      <c r="AL38" s="407">
        <f>AJ38/(1+0.07)^($D38-'A - Inputs'!$C$6)</f>
        <v>167081.43304866579</v>
      </c>
    </row>
    <row r="39" spans="4:38" x14ac:dyDescent="0.25">
      <c r="D39" s="282">
        <f t="shared" si="24"/>
        <v>2035</v>
      </c>
      <c r="E39" s="300">
        <f t="shared" ref="E39" si="49">E38+1</f>
        <v>13</v>
      </c>
      <c r="F39" s="433">
        <f>'G - Safety'!G36*$G$14</f>
        <v>0.10397953418692193</v>
      </c>
      <c r="G39" s="433">
        <f>'G - Safety'!H36*$G$14</f>
        <v>4.6568611892262475E-2</v>
      </c>
      <c r="H39" s="433">
        <f>'G - Safety'!I36*$G$14</f>
        <v>0.18538573360164032</v>
      </c>
      <c r="I39" s="433">
        <f>'G - Safety'!J36*$G$14</f>
        <v>9.2781738197561123E-2</v>
      </c>
      <c r="J39" s="433">
        <f>'G - Safety'!K36*$G$14</f>
        <v>5.0834438935828508E-2</v>
      </c>
      <c r="K39" s="433">
        <f>'G - Safety'!L36*$G$14</f>
        <v>1.5641365826408772E-2</v>
      </c>
      <c r="L39" s="433">
        <f>'G - Safety'!M36*$G$14</f>
        <v>9.2426252610597281E-2</v>
      </c>
      <c r="M39" s="416">
        <f>'G - Safety'!N36*$G$14</f>
        <v>3.3060159587636723E-2</v>
      </c>
      <c r="N39" s="417">
        <f>'G - Safety'!O36*$G$14</f>
        <v>3.3060159587636723E-2</v>
      </c>
      <c r="O39" s="417">
        <f>'G - Safety'!P36*$G$14</f>
        <v>0.12424221264386058</v>
      </c>
      <c r="P39" s="417">
        <f>'G - Safety'!Q36*$G$14</f>
        <v>6.2209977718671247E-2</v>
      </c>
      <c r="Q39" s="417">
        <f>'G - Safety'!R36*$G$14</f>
        <v>3.2171445620227133E-2</v>
      </c>
      <c r="R39" s="417">
        <f>'G - Safety'!S36*$G$14</f>
        <v>2.3639791533095075E-2</v>
      </c>
      <c r="S39" s="418">
        <f>'G - Safety'!T36*$G$14</f>
        <v>5.847737905555097E-2</v>
      </c>
      <c r="T39" s="419">
        <f t="shared" si="7"/>
        <v>217129.64737099363</v>
      </c>
      <c r="U39" s="419">
        <f t="shared" si="8"/>
        <v>97244.389078974928</v>
      </c>
      <c r="V39" s="419">
        <f t="shared" si="9"/>
        <v>387121.74736401089</v>
      </c>
      <c r="W39" s="419">
        <f t="shared" si="10"/>
        <v>193746.45457719435</v>
      </c>
      <c r="X39" s="419">
        <f t="shared" si="11"/>
        <v>106152.27204804134</v>
      </c>
      <c r="Y39" s="419">
        <f t="shared" si="12"/>
        <v>32662.237553243493</v>
      </c>
      <c r="Z39" s="420">
        <f t="shared" si="13"/>
        <v>193004.13099643879</v>
      </c>
      <c r="AA39" s="420">
        <f t="shared" si="14"/>
        <v>1227060.8789888974</v>
      </c>
      <c r="AB39" s="419">
        <f t="shared" si="37"/>
        <v>69036.093010264653</v>
      </c>
      <c r="AC39" s="419">
        <f t="shared" si="41"/>
        <v>69036.093010264653</v>
      </c>
      <c r="AD39" s="419">
        <f t="shared" si="42"/>
        <v>259442.0914740591</v>
      </c>
      <c r="AE39" s="419">
        <f t="shared" si="43"/>
        <v>129906.62663221842</v>
      </c>
      <c r="AF39" s="419">
        <f t="shared" si="44"/>
        <v>67180.284058375822</v>
      </c>
      <c r="AG39" s="419">
        <f t="shared" si="45"/>
        <v>49364.518120243003</v>
      </c>
      <c r="AH39" s="420">
        <f t="shared" si="46"/>
        <v>122112.22903428531</v>
      </c>
      <c r="AI39" s="421">
        <f t="shared" si="22"/>
        <v>766077.93533971102</v>
      </c>
      <c r="AJ39" s="96">
        <f t="shared" si="23"/>
        <v>460982.9436491864</v>
      </c>
      <c r="AK39" s="96">
        <f>AJ39/(1+0.03)^($D39-'A - Inputs'!$C$6)</f>
        <v>287269.33002654195</v>
      </c>
      <c r="AL39" s="407">
        <f>AJ39/(1+0.07)^($D39-'A - Inputs'!$C$6)</f>
        <v>156150.8720080989</v>
      </c>
    </row>
    <row r="40" spans="4:38" x14ac:dyDescent="0.25">
      <c r="D40" s="282">
        <f t="shared" si="24"/>
        <v>2036</v>
      </c>
      <c r="E40" s="300">
        <f t="shared" ref="E40" si="50">E39+1</f>
        <v>14</v>
      </c>
      <c r="F40" s="433">
        <f>'G - Safety'!G37*$G$14</f>
        <v>0.10397953418692193</v>
      </c>
      <c r="G40" s="433">
        <f>'G - Safety'!H37*$G$14</f>
        <v>4.6568611892262475E-2</v>
      </c>
      <c r="H40" s="433">
        <f>'G - Safety'!I37*$G$14</f>
        <v>0.18538573360164032</v>
      </c>
      <c r="I40" s="433">
        <f>'G - Safety'!J37*$G$14</f>
        <v>9.2781738197561123E-2</v>
      </c>
      <c r="J40" s="433">
        <f>'G - Safety'!K37*$G$14</f>
        <v>5.0834438935828508E-2</v>
      </c>
      <c r="K40" s="433">
        <f>'G - Safety'!L37*$G$14</f>
        <v>1.5641365826408772E-2</v>
      </c>
      <c r="L40" s="433">
        <f>'G - Safety'!M37*$G$14</f>
        <v>9.2426252610597281E-2</v>
      </c>
      <c r="M40" s="416">
        <f>'G - Safety'!N37*$G$14</f>
        <v>3.3060159587636723E-2</v>
      </c>
      <c r="N40" s="417">
        <f>'G - Safety'!O37*$G$14</f>
        <v>3.3060159587636723E-2</v>
      </c>
      <c r="O40" s="417">
        <f>'G - Safety'!P37*$G$14</f>
        <v>0.12424221264386058</v>
      </c>
      <c r="P40" s="417">
        <f>'G - Safety'!Q37*$G$14</f>
        <v>6.2209977718671247E-2</v>
      </c>
      <c r="Q40" s="417">
        <f>'G - Safety'!R37*$G$14</f>
        <v>3.2171445620227133E-2</v>
      </c>
      <c r="R40" s="417">
        <f>'G - Safety'!S37*$G$14</f>
        <v>2.3639791533095075E-2</v>
      </c>
      <c r="S40" s="418">
        <f>'G - Safety'!T37*$G$14</f>
        <v>5.847737905555097E-2</v>
      </c>
      <c r="T40" s="419">
        <f t="shared" si="7"/>
        <v>217129.64737099363</v>
      </c>
      <c r="U40" s="419">
        <f t="shared" si="8"/>
        <v>97244.389078974928</v>
      </c>
      <c r="V40" s="419">
        <f t="shared" si="9"/>
        <v>387121.74736401089</v>
      </c>
      <c r="W40" s="419">
        <f t="shared" si="10"/>
        <v>193746.45457719435</v>
      </c>
      <c r="X40" s="419">
        <f t="shared" si="11"/>
        <v>106152.27204804134</v>
      </c>
      <c r="Y40" s="419">
        <f t="shared" si="12"/>
        <v>32662.237553243493</v>
      </c>
      <c r="Z40" s="420">
        <f t="shared" si="13"/>
        <v>193004.13099643879</v>
      </c>
      <c r="AA40" s="420">
        <f t="shared" si="14"/>
        <v>1227060.8789888974</v>
      </c>
      <c r="AB40" s="419">
        <f t="shared" si="37"/>
        <v>69036.093010264653</v>
      </c>
      <c r="AC40" s="419">
        <f t="shared" si="41"/>
        <v>69036.093010264653</v>
      </c>
      <c r="AD40" s="419">
        <f t="shared" si="42"/>
        <v>259442.0914740591</v>
      </c>
      <c r="AE40" s="419">
        <f t="shared" si="43"/>
        <v>129906.62663221842</v>
      </c>
      <c r="AF40" s="419">
        <f t="shared" si="44"/>
        <v>67180.284058375822</v>
      </c>
      <c r="AG40" s="419">
        <f t="shared" si="45"/>
        <v>49364.518120243003</v>
      </c>
      <c r="AH40" s="420">
        <f t="shared" si="46"/>
        <v>122112.22903428531</v>
      </c>
      <c r="AI40" s="421">
        <f t="shared" si="22"/>
        <v>766077.93533971102</v>
      </c>
      <c r="AJ40" s="96">
        <f t="shared" si="23"/>
        <v>460982.9436491864</v>
      </c>
      <c r="AK40" s="96">
        <f>AJ40/(1+0.03)^($D40-'A - Inputs'!$C$6)</f>
        <v>278902.26216169121</v>
      </c>
      <c r="AL40" s="407">
        <f>AJ40/(1+0.07)^($D40-'A - Inputs'!$C$6)</f>
        <v>145935.39440009242</v>
      </c>
    </row>
    <row r="41" spans="4:38" x14ac:dyDescent="0.25">
      <c r="D41" s="282">
        <f t="shared" si="24"/>
        <v>2037</v>
      </c>
      <c r="E41" s="300">
        <f t="shared" ref="E41" si="51">E40+1</f>
        <v>15</v>
      </c>
      <c r="F41" s="433">
        <f>'G - Safety'!G38*$G$14</f>
        <v>0.10397953418692193</v>
      </c>
      <c r="G41" s="433">
        <f>'G - Safety'!H38*$G$14</f>
        <v>4.6568611892262475E-2</v>
      </c>
      <c r="H41" s="433">
        <f>'G - Safety'!I38*$G$14</f>
        <v>0.18538573360164032</v>
      </c>
      <c r="I41" s="433">
        <f>'G - Safety'!J38*$G$14</f>
        <v>9.2781738197561123E-2</v>
      </c>
      <c r="J41" s="433">
        <f>'G - Safety'!K38*$G$14</f>
        <v>5.0834438935828508E-2</v>
      </c>
      <c r="K41" s="433">
        <f>'G - Safety'!L38*$G$14</f>
        <v>1.5641365826408772E-2</v>
      </c>
      <c r="L41" s="433">
        <f>'G - Safety'!M38*$G$14</f>
        <v>9.2426252610597281E-2</v>
      </c>
      <c r="M41" s="416">
        <f>'G - Safety'!N38*$G$14</f>
        <v>3.3060159587636723E-2</v>
      </c>
      <c r="N41" s="417">
        <f>'G - Safety'!O38*$G$14</f>
        <v>3.3060159587636723E-2</v>
      </c>
      <c r="O41" s="417">
        <f>'G - Safety'!P38*$G$14</f>
        <v>0.12424221264386058</v>
      </c>
      <c r="P41" s="417">
        <f>'G - Safety'!Q38*$G$14</f>
        <v>6.2209977718671247E-2</v>
      </c>
      <c r="Q41" s="417">
        <f>'G - Safety'!R38*$G$14</f>
        <v>3.2171445620227133E-2</v>
      </c>
      <c r="R41" s="417">
        <f>'G - Safety'!S38*$G$14</f>
        <v>2.3639791533095075E-2</v>
      </c>
      <c r="S41" s="418">
        <f>'G - Safety'!T38*$G$14</f>
        <v>5.847737905555097E-2</v>
      </c>
      <c r="T41" s="419">
        <f t="shared" si="7"/>
        <v>217129.64737099363</v>
      </c>
      <c r="U41" s="419">
        <f t="shared" si="8"/>
        <v>97244.389078974928</v>
      </c>
      <c r="V41" s="419">
        <f t="shared" si="9"/>
        <v>387121.74736401089</v>
      </c>
      <c r="W41" s="419">
        <f t="shared" si="10"/>
        <v>193746.45457719435</v>
      </c>
      <c r="X41" s="419">
        <f t="shared" si="11"/>
        <v>106152.27204804134</v>
      </c>
      <c r="Y41" s="419">
        <f t="shared" si="12"/>
        <v>32662.237553243493</v>
      </c>
      <c r="Z41" s="420">
        <f t="shared" si="13"/>
        <v>193004.13099643879</v>
      </c>
      <c r="AA41" s="420">
        <f t="shared" si="14"/>
        <v>1227060.8789888974</v>
      </c>
      <c r="AB41" s="419">
        <f t="shared" si="37"/>
        <v>69036.093010264653</v>
      </c>
      <c r="AC41" s="419">
        <f t="shared" si="41"/>
        <v>69036.093010264653</v>
      </c>
      <c r="AD41" s="419">
        <f t="shared" si="42"/>
        <v>259442.0914740591</v>
      </c>
      <c r="AE41" s="419">
        <f t="shared" si="43"/>
        <v>129906.62663221842</v>
      </c>
      <c r="AF41" s="419">
        <f t="shared" si="44"/>
        <v>67180.284058375822</v>
      </c>
      <c r="AG41" s="419">
        <f t="shared" si="45"/>
        <v>49364.518120243003</v>
      </c>
      <c r="AH41" s="420">
        <f t="shared" si="46"/>
        <v>122112.22903428531</v>
      </c>
      <c r="AI41" s="421">
        <f t="shared" si="22"/>
        <v>766077.93533971102</v>
      </c>
      <c r="AJ41" s="96">
        <f t="shared" si="23"/>
        <v>460982.9436491864</v>
      </c>
      <c r="AK41" s="96">
        <f>AJ41/(1+0.03)^($D41-'A - Inputs'!$C$6)</f>
        <v>270778.8953026128</v>
      </c>
      <c r="AL41" s="407">
        <f>AJ41/(1+0.07)^($D41-'A - Inputs'!$C$6)</f>
        <v>136388.21906550694</v>
      </c>
    </row>
    <row r="42" spans="4:38" x14ac:dyDescent="0.25">
      <c r="D42" s="282">
        <f t="shared" si="24"/>
        <v>2038</v>
      </c>
      <c r="E42" s="300">
        <f t="shared" ref="E42" si="52">E41+1</f>
        <v>16</v>
      </c>
      <c r="F42" s="433">
        <f>'G - Safety'!G39*$G$14</f>
        <v>0.10397953418692193</v>
      </c>
      <c r="G42" s="433">
        <f>'G - Safety'!H39*$G$14</f>
        <v>4.6568611892262475E-2</v>
      </c>
      <c r="H42" s="433">
        <f>'G - Safety'!I39*$G$14</f>
        <v>0.18538573360164032</v>
      </c>
      <c r="I42" s="433">
        <f>'G - Safety'!J39*$G$14</f>
        <v>9.2781738197561123E-2</v>
      </c>
      <c r="J42" s="433">
        <f>'G - Safety'!K39*$G$14</f>
        <v>5.0834438935828508E-2</v>
      </c>
      <c r="K42" s="433">
        <f>'G - Safety'!L39*$G$14</f>
        <v>1.5641365826408772E-2</v>
      </c>
      <c r="L42" s="433">
        <f>'G - Safety'!M39*$G$14</f>
        <v>9.2426252610597281E-2</v>
      </c>
      <c r="M42" s="416">
        <f>'G - Safety'!N39*$G$14</f>
        <v>3.3060159587636723E-2</v>
      </c>
      <c r="N42" s="417">
        <f>'G - Safety'!O39*$G$14</f>
        <v>3.3060159587636723E-2</v>
      </c>
      <c r="O42" s="417">
        <f>'G - Safety'!P39*$G$14</f>
        <v>0.12424221264386058</v>
      </c>
      <c r="P42" s="417">
        <f>'G - Safety'!Q39*$G$14</f>
        <v>6.2209977718671247E-2</v>
      </c>
      <c r="Q42" s="417">
        <f>'G - Safety'!R39*$G$14</f>
        <v>3.2171445620227133E-2</v>
      </c>
      <c r="R42" s="417">
        <f>'G - Safety'!S39*$G$14</f>
        <v>2.3639791533095075E-2</v>
      </c>
      <c r="S42" s="418">
        <f>'G - Safety'!T39*$G$14</f>
        <v>5.847737905555097E-2</v>
      </c>
      <c r="T42" s="419">
        <f t="shared" si="7"/>
        <v>217129.64737099363</v>
      </c>
      <c r="U42" s="419">
        <f t="shared" si="8"/>
        <v>97244.389078974928</v>
      </c>
      <c r="V42" s="419">
        <f t="shared" si="9"/>
        <v>387121.74736401089</v>
      </c>
      <c r="W42" s="419">
        <f t="shared" si="10"/>
        <v>193746.45457719435</v>
      </c>
      <c r="X42" s="419">
        <f t="shared" si="11"/>
        <v>106152.27204804134</v>
      </c>
      <c r="Y42" s="419">
        <f t="shared" si="12"/>
        <v>32662.237553243493</v>
      </c>
      <c r="Z42" s="420">
        <f t="shared" si="13"/>
        <v>193004.13099643879</v>
      </c>
      <c r="AA42" s="420">
        <f t="shared" si="14"/>
        <v>1227060.8789888974</v>
      </c>
      <c r="AB42" s="419">
        <f t="shared" si="37"/>
        <v>69036.093010264653</v>
      </c>
      <c r="AC42" s="419">
        <f t="shared" si="41"/>
        <v>69036.093010264653</v>
      </c>
      <c r="AD42" s="419">
        <f t="shared" si="42"/>
        <v>259442.0914740591</v>
      </c>
      <c r="AE42" s="419">
        <f t="shared" si="43"/>
        <v>129906.62663221842</v>
      </c>
      <c r="AF42" s="419">
        <f t="shared" si="44"/>
        <v>67180.284058375822</v>
      </c>
      <c r="AG42" s="419">
        <f t="shared" si="45"/>
        <v>49364.518120243003</v>
      </c>
      <c r="AH42" s="420">
        <f t="shared" si="46"/>
        <v>122112.22903428531</v>
      </c>
      <c r="AI42" s="421">
        <f t="shared" si="22"/>
        <v>766077.93533971102</v>
      </c>
      <c r="AJ42" s="96">
        <f t="shared" si="23"/>
        <v>460982.9436491864</v>
      </c>
      <c r="AK42" s="96">
        <f>AJ42/(1+0.03)^($D42-'A - Inputs'!$C$6)</f>
        <v>262892.13136176002</v>
      </c>
      <c r="AL42" s="407">
        <f>AJ42/(1+0.07)^($D42-'A - Inputs'!$C$6)</f>
        <v>127465.62529486629</v>
      </c>
    </row>
    <row r="43" spans="4:38" x14ac:dyDescent="0.25">
      <c r="D43" s="282">
        <f t="shared" ref="D43:E54" si="53">D42+1</f>
        <v>2039</v>
      </c>
      <c r="E43" s="300">
        <f t="shared" si="53"/>
        <v>17</v>
      </c>
      <c r="F43" s="433">
        <f>'G - Safety'!G40*$G$14</f>
        <v>0.10397953418692193</v>
      </c>
      <c r="G43" s="433">
        <f>'G - Safety'!H40*$G$14</f>
        <v>4.6568611892262475E-2</v>
      </c>
      <c r="H43" s="433">
        <f>'G - Safety'!I40*$G$14</f>
        <v>0.18538573360164032</v>
      </c>
      <c r="I43" s="433">
        <f>'G - Safety'!J40*$G$14</f>
        <v>9.2781738197561123E-2</v>
      </c>
      <c r="J43" s="433">
        <f>'G - Safety'!K40*$G$14</f>
        <v>5.0834438935828508E-2</v>
      </c>
      <c r="K43" s="433">
        <f>'G - Safety'!L40*$G$14</f>
        <v>1.5641365826408772E-2</v>
      </c>
      <c r="L43" s="433">
        <f>'G - Safety'!M40*$G$14</f>
        <v>9.2426252610597281E-2</v>
      </c>
      <c r="M43" s="416">
        <f>'G - Safety'!N40*$G$14</f>
        <v>3.3060159587636723E-2</v>
      </c>
      <c r="N43" s="417">
        <f>'G - Safety'!O40*$G$14</f>
        <v>3.3060159587636723E-2</v>
      </c>
      <c r="O43" s="417">
        <f>'G - Safety'!P40*$G$14</f>
        <v>0.12424221264386058</v>
      </c>
      <c r="P43" s="417">
        <f>'G - Safety'!Q40*$G$14</f>
        <v>6.2209977718671247E-2</v>
      </c>
      <c r="Q43" s="417">
        <f>'G - Safety'!R40*$G$14</f>
        <v>3.2171445620227133E-2</v>
      </c>
      <c r="R43" s="417">
        <f>'G - Safety'!S40*$G$14</f>
        <v>2.3639791533095075E-2</v>
      </c>
      <c r="S43" s="418">
        <f>'G - Safety'!T40*$G$14</f>
        <v>5.847737905555097E-2</v>
      </c>
      <c r="T43" s="419">
        <f t="shared" si="7"/>
        <v>217129.64737099363</v>
      </c>
      <c r="U43" s="419">
        <f t="shared" si="8"/>
        <v>97244.389078974928</v>
      </c>
      <c r="V43" s="419">
        <f t="shared" si="9"/>
        <v>387121.74736401089</v>
      </c>
      <c r="W43" s="419">
        <f t="shared" si="10"/>
        <v>193746.45457719435</v>
      </c>
      <c r="X43" s="419">
        <f t="shared" si="11"/>
        <v>106152.27204804134</v>
      </c>
      <c r="Y43" s="419">
        <f t="shared" si="12"/>
        <v>32662.237553243493</v>
      </c>
      <c r="Z43" s="420">
        <f t="shared" si="13"/>
        <v>193004.13099643879</v>
      </c>
      <c r="AA43" s="420">
        <f t="shared" si="14"/>
        <v>1227060.8789888974</v>
      </c>
      <c r="AB43" s="419">
        <f t="shared" si="37"/>
        <v>69036.093010264653</v>
      </c>
      <c r="AC43" s="419">
        <f t="shared" si="41"/>
        <v>69036.093010264653</v>
      </c>
      <c r="AD43" s="419">
        <f t="shared" si="42"/>
        <v>259442.0914740591</v>
      </c>
      <c r="AE43" s="419">
        <f t="shared" si="43"/>
        <v>129906.62663221842</v>
      </c>
      <c r="AF43" s="419">
        <f t="shared" si="44"/>
        <v>67180.284058375822</v>
      </c>
      <c r="AG43" s="419">
        <f t="shared" si="45"/>
        <v>49364.518120243003</v>
      </c>
      <c r="AH43" s="420">
        <f t="shared" si="46"/>
        <v>122112.22903428531</v>
      </c>
      <c r="AI43" s="421">
        <f t="shared" si="22"/>
        <v>766077.93533971102</v>
      </c>
      <c r="AJ43" s="96">
        <f t="shared" si="23"/>
        <v>460982.9436491864</v>
      </c>
      <c r="AK43" s="96">
        <f>AJ43/(1+0.03)^($D43-'A - Inputs'!$C$6)</f>
        <v>255235.07899200002</v>
      </c>
      <c r="AL43" s="407">
        <f>AJ43/(1+0.07)^($D43-'A - Inputs'!$C$6)</f>
        <v>119126.75261202457</v>
      </c>
    </row>
    <row r="44" spans="4:38" x14ac:dyDescent="0.25">
      <c r="D44" s="282">
        <f t="shared" si="53"/>
        <v>2040</v>
      </c>
      <c r="E44" s="300">
        <f t="shared" si="53"/>
        <v>18</v>
      </c>
      <c r="F44" s="433">
        <f>'G - Safety'!G41*$G$14</f>
        <v>0.10397953418692193</v>
      </c>
      <c r="G44" s="433">
        <f>'G - Safety'!H41*$G$14</f>
        <v>4.6568611892262475E-2</v>
      </c>
      <c r="H44" s="433">
        <f>'G - Safety'!I41*$G$14</f>
        <v>0.18538573360164032</v>
      </c>
      <c r="I44" s="433">
        <f>'G - Safety'!J41*$G$14</f>
        <v>9.2781738197561123E-2</v>
      </c>
      <c r="J44" s="433">
        <f>'G - Safety'!K41*$G$14</f>
        <v>5.0834438935828508E-2</v>
      </c>
      <c r="K44" s="433">
        <f>'G - Safety'!L41*$G$14</f>
        <v>1.5641365826408772E-2</v>
      </c>
      <c r="L44" s="433">
        <f>'G - Safety'!M41*$G$14</f>
        <v>9.2426252610597281E-2</v>
      </c>
      <c r="M44" s="416">
        <f>'G - Safety'!N41*$G$14</f>
        <v>3.3060159587636723E-2</v>
      </c>
      <c r="N44" s="417">
        <f>'G - Safety'!O41*$G$14</f>
        <v>3.3060159587636723E-2</v>
      </c>
      <c r="O44" s="417">
        <f>'G - Safety'!P41*$G$14</f>
        <v>0.12424221264386058</v>
      </c>
      <c r="P44" s="417">
        <f>'G - Safety'!Q41*$G$14</f>
        <v>6.2209977718671247E-2</v>
      </c>
      <c r="Q44" s="417">
        <f>'G - Safety'!R41*$G$14</f>
        <v>3.2171445620227133E-2</v>
      </c>
      <c r="R44" s="417">
        <f>'G - Safety'!S41*$G$14</f>
        <v>2.3639791533095075E-2</v>
      </c>
      <c r="S44" s="418">
        <f>'G - Safety'!T41*$G$14</f>
        <v>5.847737905555097E-2</v>
      </c>
      <c r="T44" s="419">
        <f t="shared" si="7"/>
        <v>217129.64737099363</v>
      </c>
      <c r="U44" s="419">
        <f t="shared" si="8"/>
        <v>97244.389078974928</v>
      </c>
      <c r="V44" s="419">
        <f t="shared" si="9"/>
        <v>387121.74736401089</v>
      </c>
      <c r="W44" s="419">
        <f t="shared" si="10"/>
        <v>193746.45457719435</v>
      </c>
      <c r="X44" s="419">
        <f t="shared" si="11"/>
        <v>106152.27204804134</v>
      </c>
      <c r="Y44" s="419">
        <f t="shared" si="12"/>
        <v>32662.237553243493</v>
      </c>
      <c r="Z44" s="420">
        <f t="shared" si="13"/>
        <v>193004.13099643879</v>
      </c>
      <c r="AA44" s="420">
        <f t="shared" si="14"/>
        <v>1227060.8789888974</v>
      </c>
      <c r="AB44" s="419">
        <f t="shared" si="37"/>
        <v>69036.093010264653</v>
      </c>
      <c r="AC44" s="419">
        <f t="shared" si="41"/>
        <v>69036.093010264653</v>
      </c>
      <c r="AD44" s="419">
        <f t="shared" si="42"/>
        <v>259442.0914740591</v>
      </c>
      <c r="AE44" s="419">
        <f t="shared" si="43"/>
        <v>129906.62663221842</v>
      </c>
      <c r="AF44" s="419">
        <f t="shared" si="44"/>
        <v>67180.284058375822</v>
      </c>
      <c r="AG44" s="419">
        <f t="shared" si="45"/>
        <v>49364.518120243003</v>
      </c>
      <c r="AH44" s="420">
        <f t="shared" si="46"/>
        <v>122112.22903428531</v>
      </c>
      <c r="AI44" s="421">
        <f t="shared" si="22"/>
        <v>766077.93533971102</v>
      </c>
      <c r="AJ44" s="96">
        <f t="shared" si="23"/>
        <v>460982.9436491864</v>
      </c>
      <c r="AK44" s="96">
        <f>AJ44/(1+0.03)^($D44-'A - Inputs'!$C$6)</f>
        <v>247801.04756504862</v>
      </c>
      <c r="AL44" s="407">
        <f>AJ44/(1+0.07)^($D44-'A - Inputs'!$C$6)</f>
        <v>111333.41365609773</v>
      </c>
    </row>
    <row r="45" spans="4:38" x14ac:dyDescent="0.25">
      <c r="D45" s="282">
        <f t="shared" si="53"/>
        <v>2041</v>
      </c>
      <c r="E45" s="300">
        <f t="shared" si="53"/>
        <v>19</v>
      </c>
      <c r="F45" s="433">
        <f>'G - Safety'!G42*$G$14</f>
        <v>0.10397953418692193</v>
      </c>
      <c r="G45" s="433">
        <f>'G - Safety'!H42*$G$14</f>
        <v>4.6568611892262475E-2</v>
      </c>
      <c r="H45" s="433">
        <f>'G - Safety'!I42*$G$14</f>
        <v>0.18538573360164032</v>
      </c>
      <c r="I45" s="433">
        <f>'G - Safety'!J42*$G$14</f>
        <v>9.2781738197561123E-2</v>
      </c>
      <c r="J45" s="433">
        <f>'G - Safety'!K42*$G$14</f>
        <v>5.0834438935828508E-2</v>
      </c>
      <c r="K45" s="433">
        <f>'G - Safety'!L42*$G$14</f>
        <v>1.5641365826408772E-2</v>
      </c>
      <c r="L45" s="433">
        <f>'G - Safety'!M42*$G$14</f>
        <v>9.2426252610597281E-2</v>
      </c>
      <c r="M45" s="416">
        <f>'G - Safety'!N42*$G$14</f>
        <v>3.3060159587636723E-2</v>
      </c>
      <c r="N45" s="417">
        <f>'G - Safety'!O42*$G$14</f>
        <v>3.3060159587636723E-2</v>
      </c>
      <c r="O45" s="417">
        <f>'G - Safety'!P42*$G$14</f>
        <v>0.12424221264386058</v>
      </c>
      <c r="P45" s="417">
        <f>'G - Safety'!Q42*$G$14</f>
        <v>6.2209977718671247E-2</v>
      </c>
      <c r="Q45" s="417">
        <f>'G - Safety'!R42*$G$14</f>
        <v>3.2171445620227133E-2</v>
      </c>
      <c r="R45" s="417">
        <f>'G - Safety'!S42*$G$14</f>
        <v>2.3639791533095075E-2</v>
      </c>
      <c r="S45" s="418">
        <f>'G - Safety'!T42*$G$14</f>
        <v>5.847737905555097E-2</v>
      </c>
      <c r="T45" s="419">
        <f t="shared" si="7"/>
        <v>217129.64737099363</v>
      </c>
      <c r="U45" s="419">
        <f t="shared" si="8"/>
        <v>97244.389078974928</v>
      </c>
      <c r="V45" s="419">
        <f t="shared" si="9"/>
        <v>387121.74736401089</v>
      </c>
      <c r="W45" s="419">
        <f t="shared" si="10"/>
        <v>193746.45457719435</v>
      </c>
      <c r="X45" s="419">
        <f t="shared" si="11"/>
        <v>106152.27204804134</v>
      </c>
      <c r="Y45" s="419">
        <f t="shared" si="12"/>
        <v>32662.237553243493</v>
      </c>
      <c r="Z45" s="420">
        <f t="shared" si="13"/>
        <v>193004.13099643879</v>
      </c>
      <c r="AA45" s="420">
        <f t="shared" si="14"/>
        <v>1227060.8789888974</v>
      </c>
      <c r="AB45" s="419">
        <f t="shared" si="37"/>
        <v>69036.093010264653</v>
      </c>
      <c r="AC45" s="419">
        <f t="shared" si="41"/>
        <v>69036.093010264653</v>
      </c>
      <c r="AD45" s="419">
        <f t="shared" si="42"/>
        <v>259442.0914740591</v>
      </c>
      <c r="AE45" s="419">
        <f t="shared" si="43"/>
        <v>129906.62663221842</v>
      </c>
      <c r="AF45" s="419">
        <f t="shared" si="44"/>
        <v>67180.284058375822</v>
      </c>
      <c r="AG45" s="419">
        <f t="shared" si="45"/>
        <v>49364.518120243003</v>
      </c>
      <c r="AH45" s="420">
        <f t="shared" si="46"/>
        <v>122112.22903428531</v>
      </c>
      <c r="AI45" s="421">
        <f t="shared" si="22"/>
        <v>766077.93533971102</v>
      </c>
      <c r="AJ45" s="96">
        <f t="shared" si="23"/>
        <v>460982.9436491864</v>
      </c>
      <c r="AK45" s="96">
        <f>AJ45/(1+0.03)^($D45-'A - Inputs'!$C$6)</f>
        <v>240583.5413252899</v>
      </c>
      <c r="AL45" s="407">
        <f>AJ45/(1+0.07)^($D45-'A - Inputs'!$C$6)</f>
        <v>104049.91930476423</v>
      </c>
    </row>
    <row r="46" spans="4:38" x14ac:dyDescent="0.25">
      <c r="D46" s="282">
        <f t="shared" si="53"/>
        <v>2042</v>
      </c>
      <c r="E46" s="300">
        <f t="shared" si="53"/>
        <v>20</v>
      </c>
      <c r="F46" s="433">
        <f>'G - Safety'!G43*$G$14</f>
        <v>0.10397953418692193</v>
      </c>
      <c r="G46" s="433">
        <f>'G - Safety'!H43*$G$14</f>
        <v>4.6568611892262475E-2</v>
      </c>
      <c r="H46" s="433">
        <f>'G - Safety'!I43*$G$14</f>
        <v>0.18538573360164032</v>
      </c>
      <c r="I46" s="433">
        <f>'G - Safety'!J43*$G$14</f>
        <v>9.2781738197561123E-2</v>
      </c>
      <c r="J46" s="433">
        <f>'G - Safety'!K43*$G$14</f>
        <v>5.0834438935828508E-2</v>
      </c>
      <c r="K46" s="433">
        <f>'G - Safety'!L43*$G$14</f>
        <v>1.5641365826408772E-2</v>
      </c>
      <c r="L46" s="433">
        <f>'G - Safety'!M43*$G$14</f>
        <v>9.2426252610597281E-2</v>
      </c>
      <c r="M46" s="416">
        <f>'G - Safety'!N43*$G$14</f>
        <v>3.3060159587636723E-2</v>
      </c>
      <c r="N46" s="417">
        <f>'G - Safety'!O43*$G$14</f>
        <v>3.3060159587636723E-2</v>
      </c>
      <c r="O46" s="417">
        <f>'G - Safety'!P43*$G$14</f>
        <v>0.12424221264386058</v>
      </c>
      <c r="P46" s="417">
        <f>'G - Safety'!Q43*$G$14</f>
        <v>6.2209977718671247E-2</v>
      </c>
      <c r="Q46" s="417">
        <f>'G - Safety'!R43*$G$14</f>
        <v>3.2171445620227133E-2</v>
      </c>
      <c r="R46" s="417">
        <f>'G - Safety'!S43*$G$14</f>
        <v>2.3639791533095075E-2</v>
      </c>
      <c r="S46" s="418">
        <f>'G - Safety'!T43*$G$14</f>
        <v>5.847737905555097E-2</v>
      </c>
      <c r="T46" s="419">
        <f t="shared" si="7"/>
        <v>217129.64737099363</v>
      </c>
      <c r="U46" s="419">
        <f t="shared" si="8"/>
        <v>97244.389078974928</v>
      </c>
      <c r="V46" s="419">
        <f t="shared" si="9"/>
        <v>387121.74736401089</v>
      </c>
      <c r="W46" s="419">
        <f t="shared" si="10"/>
        <v>193746.45457719435</v>
      </c>
      <c r="X46" s="419">
        <f t="shared" si="11"/>
        <v>106152.27204804134</v>
      </c>
      <c r="Y46" s="419">
        <f t="shared" si="12"/>
        <v>32662.237553243493</v>
      </c>
      <c r="Z46" s="420">
        <f t="shared" si="13"/>
        <v>193004.13099643879</v>
      </c>
      <c r="AA46" s="420">
        <f t="shared" si="14"/>
        <v>1227060.8789888974</v>
      </c>
      <c r="AB46" s="419">
        <f t="shared" si="37"/>
        <v>69036.093010264653</v>
      </c>
      <c r="AC46" s="419">
        <f t="shared" si="41"/>
        <v>69036.093010264653</v>
      </c>
      <c r="AD46" s="419">
        <f t="shared" si="42"/>
        <v>259442.0914740591</v>
      </c>
      <c r="AE46" s="419">
        <f t="shared" si="43"/>
        <v>129906.62663221842</v>
      </c>
      <c r="AF46" s="419">
        <f t="shared" si="44"/>
        <v>67180.284058375822</v>
      </c>
      <c r="AG46" s="419">
        <f t="shared" si="45"/>
        <v>49364.518120243003</v>
      </c>
      <c r="AH46" s="420">
        <f t="shared" si="46"/>
        <v>122112.22903428531</v>
      </c>
      <c r="AI46" s="421">
        <f t="shared" si="22"/>
        <v>766077.93533971102</v>
      </c>
      <c r="AJ46" s="96">
        <f t="shared" si="23"/>
        <v>460982.9436491864</v>
      </c>
      <c r="AK46" s="96">
        <f>AJ46/(1+0.03)^($D46-'A - Inputs'!$C$6)</f>
        <v>233576.25371387365</v>
      </c>
      <c r="AL46" s="407">
        <f>AJ46/(1+0.07)^($D46-'A - Inputs'!$C$6)</f>
        <v>97242.915238097412</v>
      </c>
    </row>
    <row r="47" spans="4:38" x14ac:dyDescent="0.25">
      <c r="D47" s="282">
        <f t="shared" si="53"/>
        <v>2043</v>
      </c>
      <c r="E47" s="300">
        <f t="shared" si="53"/>
        <v>21</v>
      </c>
      <c r="F47" s="433">
        <f>'G - Safety'!G44*$G$14</f>
        <v>0.10397953418692193</v>
      </c>
      <c r="G47" s="433">
        <f>'G - Safety'!H44*$G$14</f>
        <v>4.6568611892262475E-2</v>
      </c>
      <c r="H47" s="433">
        <f>'G - Safety'!I44*$G$14</f>
        <v>0.18538573360164032</v>
      </c>
      <c r="I47" s="433">
        <f>'G - Safety'!J44*$G$14</f>
        <v>9.2781738197561123E-2</v>
      </c>
      <c r="J47" s="433">
        <f>'G - Safety'!K44*$G$14</f>
        <v>5.0834438935828508E-2</v>
      </c>
      <c r="K47" s="433">
        <f>'G - Safety'!L44*$G$14</f>
        <v>1.5641365826408772E-2</v>
      </c>
      <c r="L47" s="433">
        <f>'G - Safety'!M44*$G$14</f>
        <v>9.2426252610597281E-2</v>
      </c>
      <c r="M47" s="416">
        <f>'G - Safety'!N44*$G$14</f>
        <v>3.3060159587636723E-2</v>
      </c>
      <c r="N47" s="417">
        <f>'G - Safety'!O44*$G$14</f>
        <v>3.3060159587636723E-2</v>
      </c>
      <c r="O47" s="417">
        <f>'G - Safety'!P44*$G$14</f>
        <v>0.12424221264386058</v>
      </c>
      <c r="P47" s="417">
        <f>'G - Safety'!Q44*$G$14</f>
        <v>6.2209977718671247E-2</v>
      </c>
      <c r="Q47" s="417">
        <f>'G - Safety'!R44*$G$14</f>
        <v>3.2171445620227133E-2</v>
      </c>
      <c r="R47" s="417">
        <f>'G - Safety'!S44*$G$14</f>
        <v>2.3639791533095075E-2</v>
      </c>
      <c r="S47" s="418">
        <f>'G - Safety'!T44*$G$14</f>
        <v>5.847737905555097E-2</v>
      </c>
      <c r="T47" s="419">
        <f t="shared" si="7"/>
        <v>217129.64737099363</v>
      </c>
      <c r="U47" s="419">
        <f t="shared" si="8"/>
        <v>97244.389078974928</v>
      </c>
      <c r="V47" s="419">
        <f t="shared" si="9"/>
        <v>387121.74736401089</v>
      </c>
      <c r="W47" s="419">
        <f t="shared" si="10"/>
        <v>193746.45457719435</v>
      </c>
      <c r="X47" s="419">
        <f t="shared" si="11"/>
        <v>106152.27204804134</v>
      </c>
      <c r="Y47" s="419">
        <f t="shared" si="12"/>
        <v>32662.237553243493</v>
      </c>
      <c r="Z47" s="420">
        <f t="shared" si="13"/>
        <v>193004.13099643879</v>
      </c>
      <c r="AA47" s="420">
        <f t="shared" si="14"/>
        <v>1227060.8789888974</v>
      </c>
      <c r="AB47" s="419">
        <f t="shared" si="37"/>
        <v>69036.093010264653</v>
      </c>
      <c r="AC47" s="419">
        <f t="shared" si="41"/>
        <v>69036.093010264653</v>
      </c>
      <c r="AD47" s="419">
        <f t="shared" si="42"/>
        <v>259442.0914740591</v>
      </c>
      <c r="AE47" s="419">
        <f t="shared" si="43"/>
        <v>129906.62663221842</v>
      </c>
      <c r="AF47" s="419">
        <f t="shared" si="44"/>
        <v>67180.284058375822</v>
      </c>
      <c r="AG47" s="419">
        <f t="shared" si="45"/>
        <v>49364.518120243003</v>
      </c>
      <c r="AH47" s="420">
        <f t="shared" si="46"/>
        <v>122112.22903428531</v>
      </c>
      <c r="AI47" s="421">
        <f t="shared" si="22"/>
        <v>766077.93533971102</v>
      </c>
      <c r="AJ47" s="96">
        <f t="shared" si="23"/>
        <v>460982.9436491864</v>
      </c>
      <c r="AK47" s="96">
        <f>AJ47/(1+0.03)^($D47-'A - Inputs'!$C$6)</f>
        <v>226773.0618581298</v>
      </c>
      <c r="AL47" s="407">
        <f>AJ47/(1+0.07)^($D47-'A - Inputs'!$C$6)</f>
        <v>90881.22919448356</v>
      </c>
    </row>
    <row r="48" spans="4:38" x14ac:dyDescent="0.25">
      <c r="D48" s="282">
        <f t="shared" si="53"/>
        <v>2044</v>
      </c>
      <c r="E48" s="300">
        <f t="shared" si="53"/>
        <v>22</v>
      </c>
      <c r="F48" s="433">
        <f>'G - Safety'!G45*$G$14</f>
        <v>0.10397953418692193</v>
      </c>
      <c r="G48" s="433">
        <f>'G - Safety'!H45*$G$14</f>
        <v>4.6568611892262475E-2</v>
      </c>
      <c r="H48" s="433">
        <f>'G - Safety'!I45*$G$14</f>
        <v>0.18538573360164032</v>
      </c>
      <c r="I48" s="433">
        <f>'G - Safety'!J45*$G$14</f>
        <v>9.2781738197561123E-2</v>
      </c>
      <c r="J48" s="433">
        <f>'G - Safety'!K45*$G$14</f>
        <v>5.0834438935828508E-2</v>
      </c>
      <c r="K48" s="433">
        <f>'G - Safety'!L45*$G$14</f>
        <v>1.5641365826408772E-2</v>
      </c>
      <c r="L48" s="433">
        <f>'G - Safety'!M45*$G$14</f>
        <v>9.2426252610597281E-2</v>
      </c>
      <c r="M48" s="416">
        <f>'G - Safety'!N45*$G$14</f>
        <v>3.3060159587636723E-2</v>
      </c>
      <c r="N48" s="417">
        <f>'G - Safety'!O45*$G$14</f>
        <v>3.3060159587636723E-2</v>
      </c>
      <c r="O48" s="417">
        <f>'G - Safety'!P45*$G$14</f>
        <v>0.12424221264386058</v>
      </c>
      <c r="P48" s="417">
        <f>'G - Safety'!Q45*$G$14</f>
        <v>6.2209977718671247E-2</v>
      </c>
      <c r="Q48" s="417">
        <f>'G - Safety'!R45*$G$14</f>
        <v>3.2171445620227133E-2</v>
      </c>
      <c r="R48" s="417">
        <f>'G - Safety'!S45*$G$14</f>
        <v>2.3639791533095075E-2</v>
      </c>
      <c r="S48" s="418">
        <f>'G - Safety'!T45*$G$14</f>
        <v>5.847737905555097E-2</v>
      </c>
      <c r="T48" s="419">
        <f t="shared" si="7"/>
        <v>217129.64737099363</v>
      </c>
      <c r="U48" s="419">
        <f t="shared" si="8"/>
        <v>97244.389078974928</v>
      </c>
      <c r="V48" s="419">
        <f t="shared" si="9"/>
        <v>387121.74736401089</v>
      </c>
      <c r="W48" s="419">
        <f t="shared" si="10"/>
        <v>193746.45457719435</v>
      </c>
      <c r="X48" s="419">
        <f t="shared" si="11"/>
        <v>106152.27204804134</v>
      </c>
      <c r="Y48" s="419">
        <f t="shared" si="12"/>
        <v>32662.237553243493</v>
      </c>
      <c r="Z48" s="420">
        <f t="shared" si="13"/>
        <v>193004.13099643879</v>
      </c>
      <c r="AA48" s="420">
        <f t="shared" si="14"/>
        <v>1227060.8789888974</v>
      </c>
      <c r="AB48" s="419">
        <f t="shared" si="37"/>
        <v>69036.093010264653</v>
      </c>
      <c r="AC48" s="419">
        <f t="shared" si="41"/>
        <v>69036.093010264653</v>
      </c>
      <c r="AD48" s="419">
        <f t="shared" si="42"/>
        <v>259442.0914740591</v>
      </c>
      <c r="AE48" s="419">
        <f t="shared" si="43"/>
        <v>129906.62663221842</v>
      </c>
      <c r="AF48" s="419">
        <f t="shared" si="44"/>
        <v>67180.284058375822</v>
      </c>
      <c r="AG48" s="419">
        <f t="shared" si="45"/>
        <v>49364.518120243003</v>
      </c>
      <c r="AH48" s="420">
        <f t="shared" si="46"/>
        <v>122112.22903428531</v>
      </c>
      <c r="AI48" s="421">
        <f t="shared" si="22"/>
        <v>766077.93533971102</v>
      </c>
      <c r="AJ48" s="96">
        <f t="shared" si="23"/>
        <v>460982.9436491864</v>
      </c>
      <c r="AK48" s="96">
        <f>AJ48/(1+0.03)^($D48-'A - Inputs'!$C$6)</f>
        <v>220168.02122148525</v>
      </c>
      <c r="AL48" s="407">
        <f>AJ48/(1+0.07)^($D48-'A - Inputs'!$C$6)</f>
        <v>84935.728219143508</v>
      </c>
    </row>
    <row r="49" spans="4:38" x14ac:dyDescent="0.25">
      <c r="D49" s="282">
        <f t="shared" si="53"/>
        <v>2045</v>
      </c>
      <c r="E49" s="300">
        <f t="shared" si="53"/>
        <v>23</v>
      </c>
      <c r="F49" s="433">
        <f>'G - Safety'!G46*$G$14</f>
        <v>0.10397953418692193</v>
      </c>
      <c r="G49" s="433">
        <f>'G - Safety'!H46*$G$14</f>
        <v>4.6568611892262475E-2</v>
      </c>
      <c r="H49" s="433">
        <f>'G - Safety'!I46*$G$14</f>
        <v>0.18538573360164032</v>
      </c>
      <c r="I49" s="433">
        <f>'G - Safety'!J46*$G$14</f>
        <v>9.2781738197561123E-2</v>
      </c>
      <c r="J49" s="433">
        <f>'G - Safety'!K46*$G$14</f>
        <v>5.0834438935828508E-2</v>
      </c>
      <c r="K49" s="433">
        <f>'G - Safety'!L46*$G$14</f>
        <v>1.5641365826408772E-2</v>
      </c>
      <c r="L49" s="433">
        <f>'G - Safety'!M46*$G$14</f>
        <v>9.2426252610597281E-2</v>
      </c>
      <c r="M49" s="416">
        <f>'G - Safety'!N46*$G$14</f>
        <v>3.3060159587636723E-2</v>
      </c>
      <c r="N49" s="417">
        <f>'G - Safety'!O46*$G$14</f>
        <v>3.3060159587636723E-2</v>
      </c>
      <c r="O49" s="417">
        <f>'G - Safety'!P46*$G$14</f>
        <v>0.12424221264386058</v>
      </c>
      <c r="P49" s="417">
        <f>'G - Safety'!Q46*$G$14</f>
        <v>6.2209977718671247E-2</v>
      </c>
      <c r="Q49" s="417">
        <f>'G - Safety'!R46*$G$14</f>
        <v>3.2171445620227133E-2</v>
      </c>
      <c r="R49" s="417">
        <f>'G - Safety'!S46*$G$14</f>
        <v>2.3639791533095075E-2</v>
      </c>
      <c r="S49" s="418">
        <f>'G - Safety'!T46*$G$14</f>
        <v>5.847737905555097E-2</v>
      </c>
      <c r="T49" s="419">
        <f t="shared" si="7"/>
        <v>217129.64737099363</v>
      </c>
      <c r="U49" s="419">
        <f t="shared" si="8"/>
        <v>97244.389078974928</v>
      </c>
      <c r="V49" s="419">
        <f t="shared" si="9"/>
        <v>387121.74736401089</v>
      </c>
      <c r="W49" s="419">
        <f t="shared" si="10"/>
        <v>193746.45457719435</v>
      </c>
      <c r="X49" s="419">
        <f t="shared" si="11"/>
        <v>106152.27204804134</v>
      </c>
      <c r="Y49" s="419">
        <f t="shared" si="12"/>
        <v>32662.237553243493</v>
      </c>
      <c r="Z49" s="420">
        <f t="shared" si="13"/>
        <v>193004.13099643879</v>
      </c>
      <c r="AA49" s="420">
        <f t="shared" si="14"/>
        <v>1227060.8789888974</v>
      </c>
      <c r="AB49" s="419">
        <f t="shared" si="37"/>
        <v>69036.093010264653</v>
      </c>
      <c r="AC49" s="419">
        <f t="shared" si="41"/>
        <v>69036.093010264653</v>
      </c>
      <c r="AD49" s="419">
        <f t="shared" si="42"/>
        <v>259442.0914740591</v>
      </c>
      <c r="AE49" s="419">
        <f t="shared" si="43"/>
        <v>129906.62663221842</v>
      </c>
      <c r="AF49" s="419">
        <f t="shared" si="44"/>
        <v>67180.284058375822</v>
      </c>
      <c r="AG49" s="419">
        <f t="shared" si="45"/>
        <v>49364.518120243003</v>
      </c>
      <c r="AH49" s="420">
        <f t="shared" si="46"/>
        <v>122112.22903428531</v>
      </c>
      <c r="AI49" s="421">
        <f t="shared" si="22"/>
        <v>766077.93533971102</v>
      </c>
      <c r="AJ49" s="96">
        <f t="shared" si="23"/>
        <v>460982.9436491864</v>
      </c>
      <c r="AK49" s="96">
        <f>AJ49/(1+0.03)^($D49-'A - Inputs'!$C$6)</f>
        <v>213755.36040920895</v>
      </c>
      <c r="AL49" s="407">
        <f>AJ49/(1+0.07)^($D49-'A - Inputs'!$C$6)</f>
        <v>79379.185251535993</v>
      </c>
    </row>
    <row r="50" spans="4:38" x14ac:dyDescent="0.25">
      <c r="D50" s="282">
        <f t="shared" si="53"/>
        <v>2046</v>
      </c>
      <c r="E50" s="300">
        <f t="shared" si="53"/>
        <v>24</v>
      </c>
      <c r="F50" s="433">
        <f>'G - Safety'!G47*$G$14</f>
        <v>0.10397953418692193</v>
      </c>
      <c r="G50" s="433">
        <f>'G - Safety'!H47*$G$14</f>
        <v>4.6568611892262475E-2</v>
      </c>
      <c r="H50" s="433">
        <f>'G - Safety'!I47*$G$14</f>
        <v>0.18538573360164032</v>
      </c>
      <c r="I50" s="433">
        <f>'G - Safety'!J47*$G$14</f>
        <v>9.2781738197561123E-2</v>
      </c>
      <c r="J50" s="433">
        <f>'G - Safety'!K47*$G$14</f>
        <v>5.0834438935828508E-2</v>
      </c>
      <c r="K50" s="433">
        <f>'G - Safety'!L47*$G$14</f>
        <v>1.5641365826408772E-2</v>
      </c>
      <c r="L50" s="433">
        <f>'G - Safety'!M47*$G$14</f>
        <v>9.2426252610597281E-2</v>
      </c>
      <c r="M50" s="416">
        <f>'G - Safety'!N47*$G$14</f>
        <v>3.3060159587636723E-2</v>
      </c>
      <c r="N50" s="417">
        <f>'G - Safety'!O47*$G$14</f>
        <v>3.3060159587636723E-2</v>
      </c>
      <c r="O50" s="417">
        <f>'G - Safety'!P47*$G$14</f>
        <v>0.12424221264386058</v>
      </c>
      <c r="P50" s="417">
        <f>'G - Safety'!Q47*$G$14</f>
        <v>6.2209977718671247E-2</v>
      </c>
      <c r="Q50" s="417">
        <f>'G - Safety'!R47*$G$14</f>
        <v>3.2171445620227133E-2</v>
      </c>
      <c r="R50" s="417">
        <f>'G - Safety'!S47*$G$14</f>
        <v>2.3639791533095075E-2</v>
      </c>
      <c r="S50" s="418">
        <f>'G - Safety'!T47*$G$14</f>
        <v>5.847737905555097E-2</v>
      </c>
      <c r="T50" s="419">
        <f t="shared" si="7"/>
        <v>217129.64737099363</v>
      </c>
      <c r="U50" s="419">
        <f t="shared" si="8"/>
        <v>97244.389078974928</v>
      </c>
      <c r="V50" s="419">
        <f t="shared" si="9"/>
        <v>387121.74736401089</v>
      </c>
      <c r="W50" s="419">
        <f t="shared" si="10"/>
        <v>193746.45457719435</v>
      </c>
      <c r="X50" s="419">
        <f t="shared" si="11"/>
        <v>106152.27204804134</v>
      </c>
      <c r="Y50" s="419">
        <f t="shared" si="12"/>
        <v>32662.237553243493</v>
      </c>
      <c r="Z50" s="420">
        <f t="shared" si="13"/>
        <v>193004.13099643879</v>
      </c>
      <c r="AA50" s="420">
        <f t="shared" si="14"/>
        <v>1227060.8789888974</v>
      </c>
      <c r="AB50" s="419">
        <f t="shared" si="37"/>
        <v>69036.093010264653</v>
      </c>
      <c r="AC50" s="419">
        <f t="shared" si="41"/>
        <v>69036.093010264653</v>
      </c>
      <c r="AD50" s="419">
        <f t="shared" si="42"/>
        <v>259442.0914740591</v>
      </c>
      <c r="AE50" s="419">
        <f t="shared" si="43"/>
        <v>129906.62663221842</v>
      </c>
      <c r="AF50" s="419">
        <f t="shared" si="44"/>
        <v>67180.284058375822</v>
      </c>
      <c r="AG50" s="419">
        <f t="shared" si="45"/>
        <v>49364.518120243003</v>
      </c>
      <c r="AH50" s="420">
        <f t="shared" si="46"/>
        <v>122112.22903428531</v>
      </c>
      <c r="AI50" s="421">
        <f t="shared" si="22"/>
        <v>766077.93533971102</v>
      </c>
      <c r="AJ50" s="96">
        <f t="shared" si="23"/>
        <v>460982.9436491864</v>
      </c>
      <c r="AK50" s="96">
        <f>AJ50/(1+0.03)^($D50-'A - Inputs'!$C$6)</f>
        <v>207529.4761254456</v>
      </c>
      <c r="AL50" s="407">
        <f>AJ50/(1+0.07)^($D50-'A - Inputs'!$C$6)</f>
        <v>74186.154440687838</v>
      </c>
    </row>
    <row r="51" spans="4:38" x14ac:dyDescent="0.25">
      <c r="D51" s="282">
        <f t="shared" si="53"/>
        <v>2047</v>
      </c>
      <c r="E51" s="300">
        <f t="shared" si="53"/>
        <v>25</v>
      </c>
      <c r="F51" s="433">
        <f>'G - Safety'!G48*$G$14</f>
        <v>0.10397953418692193</v>
      </c>
      <c r="G51" s="433">
        <f>'G - Safety'!H48*$G$14</f>
        <v>4.6568611892262475E-2</v>
      </c>
      <c r="H51" s="433">
        <f>'G - Safety'!I48*$G$14</f>
        <v>0.18538573360164032</v>
      </c>
      <c r="I51" s="433">
        <f>'G - Safety'!J48*$G$14</f>
        <v>9.2781738197561123E-2</v>
      </c>
      <c r="J51" s="433">
        <f>'G - Safety'!K48*$G$14</f>
        <v>5.0834438935828508E-2</v>
      </c>
      <c r="K51" s="433">
        <f>'G - Safety'!L48*$G$14</f>
        <v>1.5641365826408772E-2</v>
      </c>
      <c r="L51" s="433">
        <f>'G - Safety'!M48*$G$14</f>
        <v>9.2426252610597281E-2</v>
      </c>
      <c r="M51" s="416">
        <f>'G - Safety'!N48*$G$14</f>
        <v>3.3060159587636723E-2</v>
      </c>
      <c r="N51" s="417">
        <f>'G - Safety'!O48*$G$14</f>
        <v>3.3060159587636723E-2</v>
      </c>
      <c r="O51" s="417">
        <f>'G - Safety'!P48*$G$14</f>
        <v>0.12424221264386058</v>
      </c>
      <c r="P51" s="417">
        <f>'G - Safety'!Q48*$G$14</f>
        <v>6.2209977718671247E-2</v>
      </c>
      <c r="Q51" s="417">
        <f>'G - Safety'!R48*$G$14</f>
        <v>3.2171445620227133E-2</v>
      </c>
      <c r="R51" s="417">
        <f>'G - Safety'!S48*$G$14</f>
        <v>2.3639791533095075E-2</v>
      </c>
      <c r="S51" s="418">
        <f>'G - Safety'!T48*$G$14</f>
        <v>5.847737905555097E-2</v>
      </c>
      <c r="T51" s="419">
        <f t="shared" si="7"/>
        <v>217129.64737099363</v>
      </c>
      <c r="U51" s="419">
        <f t="shared" si="8"/>
        <v>97244.389078974928</v>
      </c>
      <c r="V51" s="419">
        <f t="shared" si="9"/>
        <v>387121.74736401089</v>
      </c>
      <c r="W51" s="419">
        <f t="shared" si="10"/>
        <v>193746.45457719435</v>
      </c>
      <c r="X51" s="419">
        <f t="shared" si="11"/>
        <v>106152.27204804134</v>
      </c>
      <c r="Y51" s="419">
        <f t="shared" si="12"/>
        <v>32662.237553243493</v>
      </c>
      <c r="Z51" s="420">
        <f t="shared" si="13"/>
        <v>193004.13099643879</v>
      </c>
      <c r="AA51" s="420">
        <f t="shared" si="14"/>
        <v>1227060.8789888974</v>
      </c>
      <c r="AB51" s="419">
        <f t="shared" si="37"/>
        <v>69036.093010264653</v>
      </c>
      <c r="AC51" s="419">
        <f t="shared" si="41"/>
        <v>69036.093010264653</v>
      </c>
      <c r="AD51" s="419">
        <f t="shared" si="42"/>
        <v>259442.0914740591</v>
      </c>
      <c r="AE51" s="419">
        <f t="shared" si="43"/>
        <v>129906.62663221842</v>
      </c>
      <c r="AF51" s="419">
        <f t="shared" si="44"/>
        <v>67180.284058375822</v>
      </c>
      <c r="AG51" s="419">
        <f t="shared" si="45"/>
        <v>49364.518120243003</v>
      </c>
      <c r="AH51" s="420">
        <f t="shared" si="46"/>
        <v>122112.22903428531</v>
      </c>
      <c r="AI51" s="421">
        <f t="shared" si="22"/>
        <v>766077.93533971102</v>
      </c>
      <c r="AJ51" s="96">
        <f t="shared" si="23"/>
        <v>460982.9436491864</v>
      </c>
      <c r="AK51" s="96">
        <f>AJ51/(1+0.03)^($D51-'A - Inputs'!$C$6)</f>
        <v>201484.92827713166</v>
      </c>
      <c r="AL51" s="407">
        <f>AJ51/(1+0.07)^($D51-'A - Inputs'!$C$6)</f>
        <v>69332.854617465273</v>
      </c>
    </row>
    <row r="52" spans="4:38" x14ac:dyDescent="0.25">
      <c r="D52" s="282">
        <f t="shared" si="53"/>
        <v>2048</v>
      </c>
      <c r="E52" s="300">
        <f t="shared" si="53"/>
        <v>26</v>
      </c>
      <c r="F52" s="433">
        <f>'G - Safety'!G49*$G$14</f>
        <v>0</v>
      </c>
      <c r="G52" s="433">
        <f>'G - Safety'!H49*$G$14</f>
        <v>0</v>
      </c>
      <c r="H52" s="433">
        <f>'G - Safety'!I49*$G$14</f>
        <v>0</v>
      </c>
      <c r="I52" s="433">
        <f>'G - Safety'!J49*$G$14</f>
        <v>0</v>
      </c>
      <c r="J52" s="433">
        <f>'G - Safety'!K49*$G$14</f>
        <v>0</v>
      </c>
      <c r="K52" s="433">
        <f>'G - Safety'!L49*$G$14</f>
        <v>0</v>
      </c>
      <c r="L52" s="433">
        <f>'G - Safety'!M49*$G$14</f>
        <v>0</v>
      </c>
      <c r="M52" s="416">
        <f>'G - Safety'!N49*$G$14</f>
        <v>0</v>
      </c>
      <c r="N52" s="417">
        <f>'G - Safety'!O49*$G$14</f>
        <v>0</v>
      </c>
      <c r="O52" s="417">
        <f>'G - Safety'!P49*$G$14</f>
        <v>0</v>
      </c>
      <c r="P52" s="417">
        <f>'G - Safety'!Q49*$G$14</f>
        <v>0</v>
      </c>
      <c r="Q52" s="417">
        <f>'G - Safety'!R49*$G$14</f>
        <v>0</v>
      </c>
      <c r="R52" s="417">
        <f>'G - Safety'!S49*$G$14</f>
        <v>0</v>
      </c>
      <c r="S52" s="418">
        <f>'G - Safety'!T49*$G$14</f>
        <v>0</v>
      </c>
      <c r="T52" s="419">
        <f t="shared" si="7"/>
        <v>0</v>
      </c>
      <c r="U52" s="419">
        <f t="shared" si="8"/>
        <v>0</v>
      </c>
      <c r="V52" s="419">
        <f t="shared" si="9"/>
        <v>0</v>
      </c>
      <c r="W52" s="419">
        <f t="shared" si="10"/>
        <v>0</v>
      </c>
      <c r="X52" s="419">
        <f t="shared" si="11"/>
        <v>0</v>
      </c>
      <c r="Y52" s="419">
        <f t="shared" si="12"/>
        <v>0</v>
      </c>
      <c r="Z52" s="420">
        <f t="shared" si="13"/>
        <v>0</v>
      </c>
      <c r="AA52" s="420">
        <f t="shared" si="14"/>
        <v>0</v>
      </c>
      <c r="AB52" s="419">
        <f t="shared" si="37"/>
        <v>0</v>
      </c>
      <c r="AC52" s="419">
        <f t="shared" si="41"/>
        <v>0</v>
      </c>
      <c r="AD52" s="419">
        <f t="shared" si="42"/>
        <v>0</v>
      </c>
      <c r="AE52" s="419">
        <f t="shared" si="43"/>
        <v>0</v>
      </c>
      <c r="AF52" s="419">
        <f t="shared" si="44"/>
        <v>0</v>
      </c>
      <c r="AG52" s="419">
        <f t="shared" si="45"/>
        <v>0</v>
      </c>
      <c r="AH52" s="420">
        <f t="shared" si="46"/>
        <v>0</v>
      </c>
      <c r="AI52" s="421">
        <f t="shared" si="22"/>
        <v>0</v>
      </c>
      <c r="AJ52" s="96">
        <f t="shared" si="23"/>
        <v>0</v>
      </c>
      <c r="AK52" s="96">
        <f>AJ52/(1+0.03)^($D52-'A - Inputs'!$C$6)</f>
        <v>0</v>
      </c>
      <c r="AL52" s="407">
        <f>AJ52/(1+0.07)^($D52-'A - Inputs'!$C$6)</f>
        <v>0</v>
      </c>
    </row>
    <row r="53" spans="4:38" x14ac:dyDescent="0.25">
      <c r="D53" s="282">
        <f t="shared" si="53"/>
        <v>2049</v>
      </c>
      <c r="E53" s="300">
        <f t="shared" si="53"/>
        <v>27</v>
      </c>
      <c r="F53" s="433">
        <f>'G - Safety'!G50*$G$14</f>
        <v>0</v>
      </c>
      <c r="G53" s="433">
        <f>'G - Safety'!H50*$G$14</f>
        <v>0</v>
      </c>
      <c r="H53" s="433">
        <f>'G - Safety'!I50*$G$14</f>
        <v>0</v>
      </c>
      <c r="I53" s="433">
        <f>'G - Safety'!J50*$G$14</f>
        <v>0</v>
      </c>
      <c r="J53" s="433">
        <f>'G - Safety'!K50*$G$14</f>
        <v>0</v>
      </c>
      <c r="K53" s="433">
        <f>'G - Safety'!L50*$G$14</f>
        <v>0</v>
      </c>
      <c r="L53" s="433">
        <f>'G - Safety'!M50*$G$14</f>
        <v>0</v>
      </c>
      <c r="M53" s="416">
        <f>'G - Safety'!N50*$G$14</f>
        <v>0</v>
      </c>
      <c r="N53" s="417">
        <f>'G - Safety'!O50*$G$14</f>
        <v>0</v>
      </c>
      <c r="O53" s="417">
        <f>'G - Safety'!P50*$G$14</f>
        <v>0</v>
      </c>
      <c r="P53" s="417">
        <f>'G - Safety'!Q50*$G$14</f>
        <v>0</v>
      </c>
      <c r="Q53" s="417">
        <f>'G - Safety'!R50*$G$14</f>
        <v>0</v>
      </c>
      <c r="R53" s="417">
        <f>'G - Safety'!S50*$G$14</f>
        <v>0</v>
      </c>
      <c r="S53" s="418">
        <f>'G - Safety'!T50*$G$14</f>
        <v>0</v>
      </c>
      <c r="T53" s="419">
        <f t="shared" si="7"/>
        <v>0</v>
      </c>
      <c r="U53" s="419">
        <f t="shared" si="8"/>
        <v>0</v>
      </c>
      <c r="V53" s="419">
        <f t="shared" si="9"/>
        <v>0</v>
      </c>
      <c r="W53" s="419">
        <f t="shared" si="10"/>
        <v>0</v>
      </c>
      <c r="X53" s="419">
        <f t="shared" si="11"/>
        <v>0</v>
      </c>
      <c r="Y53" s="419">
        <f t="shared" si="12"/>
        <v>0</v>
      </c>
      <c r="Z53" s="420">
        <f t="shared" si="13"/>
        <v>0</v>
      </c>
      <c r="AA53" s="420">
        <f t="shared" si="14"/>
        <v>0</v>
      </c>
      <c r="AB53" s="419">
        <f>M53*$G$13</f>
        <v>0</v>
      </c>
      <c r="AC53" s="419">
        <f t="shared" si="41"/>
        <v>0</v>
      </c>
      <c r="AD53" s="419">
        <f t="shared" si="42"/>
        <v>0</v>
      </c>
      <c r="AE53" s="419">
        <f t="shared" si="43"/>
        <v>0</v>
      </c>
      <c r="AF53" s="419">
        <f t="shared" si="44"/>
        <v>0</v>
      </c>
      <c r="AG53" s="419">
        <f t="shared" si="45"/>
        <v>0</v>
      </c>
      <c r="AH53" s="420">
        <f t="shared" si="46"/>
        <v>0</v>
      </c>
      <c r="AI53" s="421">
        <f t="shared" si="22"/>
        <v>0</v>
      </c>
      <c r="AJ53" s="96">
        <f t="shared" si="23"/>
        <v>0</v>
      </c>
      <c r="AK53" s="96">
        <f>AJ53/(1+0.03)^($D53-'A - Inputs'!$C$6)</f>
        <v>0</v>
      </c>
      <c r="AL53" s="407">
        <f>AJ53/(1+0.07)^($D53-'A - Inputs'!$C$6)</f>
        <v>0</v>
      </c>
    </row>
    <row r="54" spans="4:38" x14ac:dyDescent="0.25">
      <c r="D54" s="282">
        <f t="shared" si="53"/>
        <v>2050</v>
      </c>
      <c r="E54" s="300">
        <f t="shared" si="53"/>
        <v>28</v>
      </c>
      <c r="F54" s="433">
        <f>'G - Safety'!G51*$G$14</f>
        <v>0</v>
      </c>
      <c r="G54" s="433">
        <f>'G - Safety'!H51*$G$14</f>
        <v>0</v>
      </c>
      <c r="H54" s="433">
        <f>'G - Safety'!I51*$G$14</f>
        <v>0</v>
      </c>
      <c r="I54" s="433">
        <f>'G - Safety'!J51*$G$14</f>
        <v>0</v>
      </c>
      <c r="J54" s="433">
        <f>'G - Safety'!K51*$G$14</f>
        <v>0</v>
      </c>
      <c r="K54" s="433">
        <f>'G - Safety'!L51*$G$14</f>
        <v>0</v>
      </c>
      <c r="L54" s="433">
        <f>'G - Safety'!M51*$G$14</f>
        <v>0</v>
      </c>
      <c r="M54" s="416">
        <f>'G - Safety'!N51*$G$14</f>
        <v>0</v>
      </c>
      <c r="N54" s="417">
        <f>'G - Safety'!O51*$G$14</f>
        <v>0</v>
      </c>
      <c r="O54" s="417">
        <f>'G - Safety'!P51*$G$14</f>
        <v>0</v>
      </c>
      <c r="P54" s="417">
        <f>'G - Safety'!Q51*$G$14</f>
        <v>0</v>
      </c>
      <c r="Q54" s="417">
        <f>'G - Safety'!R51*$G$14</f>
        <v>0</v>
      </c>
      <c r="R54" s="417">
        <f>'G - Safety'!S51*$G$14</f>
        <v>0</v>
      </c>
      <c r="S54" s="418">
        <f>'G - Safety'!T51*$G$14</f>
        <v>0</v>
      </c>
      <c r="T54" s="419">
        <f t="shared" si="7"/>
        <v>0</v>
      </c>
      <c r="U54" s="419">
        <f t="shared" si="8"/>
        <v>0</v>
      </c>
      <c r="V54" s="419">
        <f t="shared" si="9"/>
        <v>0</v>
      </c>
      <c r="W54" s="419">
        <f t="shared" si="10"/>
        <v>0</v>
      </c>
      <c r="X54" s="419">
        <f t="shared" si="11"/>
        <v>0</v>
      </c>
      <c r="Y54" s="419">
        <f t="shared" si="12"/>
        <v>0</v>
      </c>
      <c r="Z54" s="420">
        <f t="shared" si="13"/>
        <v>0</v>
      </c>
      <c r="AA54" s="420">
        <f t="shared" si="14"/>
        <v>0</v>
      </c>
      <c r="AB54" s="419">
        <f>M54*$G$13</f>
        <v>0</v>
      </c>
      <c r="AC54" s="419">
        <f t="shared" si="41"/>
        <v>0</v>
      </c>
      <c r="AD54" s="419">
        <f t="shared" si="42"/>
        <v>0</v>
      </c>
      <c r="AE54" s="419">
        <f t="shared" si="43"/>
        <v>0</v>
      </c>
      <c r="AF54" s="419">
        <f t="shared" si="44"/>
        <v>0</v>
      </c>
      <c r="AG54" s="419">
        <f t="shared" si="45"/>
        <v>0</v>
      </c>
      <c r="AH54" s="420">
        <f t="shared" si="46"/>
        <v>0</v>
      </c>
      <c r="AI54" s="421">
        <f t="shared" si="22"/>
        <v>0</v>
      </c>
      <c r="AJ54" s="96">
        <f t="shared" si="23"/>
        <v>0</v>
      </c>
      <c r="AK54" s="96">
        <f>AJ54/(1+0.03)^($D54-'A - Inputs'!$C$6)</f>
        <v>0</v>
      </c>
      <c r="AL54" s="407">
        <f>AJ54/(1+0.07)^($D54-'A - Inputs'!$C$6)</f>
        <v>0</v>
      </c>
    </row>
    <row r="55" spans="4:38" x14ac:dyDescent="0.25">
      <c r="D55" s="282">
        <f t="shared" ref="D55:E55" si="54">D54+1</f>
        <v>2051</v>
      </c>
      <c r="E55" s="300">
        <f t="shared" si="54"/>
        <v>29</v>
      </c>
      <c r="F55" s="433">
        <f>'G - Safety'!G52*$G$14</f>
        <v>0</v>
      </c>
      <c r="G55" s="433">
        <f>'G - Safety'!H52*$G$14</f>
        <v>0</v>
      </c>
      <c r="H55" s="433">
        <f>'G - Safety'!I52*$G$14</f>
        <v>0</v>
      </c>
      <c r="I55" s="433">
        <f>'G - Safety'!J52*$G$14</f>
        <v>0</v>
      </c>
      <c r="J55" s="433">
        <f>'G - Safety'!K52*$G$14</f>
        <v>0</v>
      </c>
      <c r="K55" s="433">
        <f>'G - Safety'!L52*$G$14</f>
        <v>0</v>
      </c>
      <c r="L55" s="433">
        <f>'G - Safety'!M52*$G$14</f>
        <v>0</v>
      </c>
      <c r="M55" s="416">
        <f>'G - Safety'!N52*$G$14</f>
        <v>0</v>
      </c>
      <c r="N55" s="417">
        <f>'G - Safety'!O52*$G$14</f>
        <v>0</v>
      </c>
      <c r="O55" s="417">
        <f>'G - Safety'!P52*$G$14</f>
        <v>0</v>
      </c>
      <c r="P55" s="417">
        <f>'G - Safety'!Q52*$G$14</f>
        <v>0</v>
      </c>
      <c r="Q55" s="417">
        <f>'G - Safety'!R52*$G$14</f>
        <v>0</v>
      </c>
      <c r="R55" s="417">
        <f>'G - Safety'!S52*$G$14</f>
        <v>0</v>
      </c>
      <c r="S55" s="418">
        <f>'G - Safety'!T52*$G$14</f>
        <v>0</v>
      </c>
      <c r="T55" s="419">
        <f t="shared" ref="T55:T61" si="55">F55*$G$13</f>
        <v>0</v>
      </c>
      <c r="U55" s="419">
        <f t="shared" ref="U55:U61" si="56">G55*$H$13</f>
        <v>0</v>
      </c>
      <c r="V55" s="419">
        <f t="shared" ref="V55:V61" si="57">H55*$I$13</f>
        <v>0</v>
      </c>
      <c r="W55" s="419">
        <f t="shared" ref="W55:W61" si="58">I55*$J$13</f>
        <v>0</v>
      </c>
      <c r="X55" s="419">
        <f t="shared" ref="X55:X61" si="59">J55*$K$13</f>
        <v>0</v>
      </c>
      <c r="Y55" s="419">
        <f t="shared" ref="Y55:Y61" si="60">K55*$L$13</f>
        <v>0</v>
      </c>
      <c r="Z55" s="420">
        <f t="shared" ref="Z55:Z61" si="61">L55*$M$13</f>
        <v>0</v>
      </c>
      <c r="AA55" s="420">
        <f t="shared" ref="AA55:AA61" si="62">SUM(T55:Z55)</f>
        <v>0</v>
      </c>
      <c r="AB55" s="419">
        <f t="shared" ref="AB55:AB61" si="63">M55*$G$13</f>
        <v>0</v>
      </c>
      <c r="AC55" s="419">
        <f t="shared" ref="AC55:AC61" si="64">N55*$H$13</f>
        <v>0</v>
      </c>
      <c r="AD55" s="419">
        <f t="shared" ref="AD55:AD61" si="65">O55*$I$13</f>
        <v>0</v>
      </c>
      <c r="AE55" s="419">
        <f t="shared" ref="AE55:AE61" si="66">P55*$J$13</f>
        <v>0</v>
      </c>
      <c r="AF55" s="419">
        <f t="shared" ref="AF55:AF61" si="67">Q55*$K$13</f>
        <v>0</v>
      </c>
      <c r="AG55" s="419">
        <f t="shared" ref="AG55:AG61" si="68">R55*$L$13</f>
        <v>0</v>
      </c>
      <c r="AH55" s="420">
        <f t="shared" ref="AH55:AH61" si="69">S55*$M$13</f>
        <v>0</v>
      </c>
      <c r="AI55" s="421">
        <f t="shared" ref="AI55:AI61" si="70">SUM(AB55:AH55)</f>
        <v>0</v>
      </c>
      <c r="AJ55" s="96">
        <f t="shared" ref="AJ55:AJ61" si="71">AA55-AI55</f>
        <v>0</v>
      </c>
      <c r="AK55" s="96">
        <f>AJ55/(1+0.03)^($D55-'A - Inputs'!$C$6)</f>
        <v>0</v>
      </c>
      <c r="AL55" s="407">
        <f>AJ55/(1+0.07)^($D55-'A - Inputs'!$C$6)</f>
        <v>0</v>
      </c>
    </row>
    <row r="56" spans="4:38" x14ac:dyDescent="0.25">
      <c r="D56" s="282">
        <f t="shared" ref="D56:E56" si="72">D55+1</f>
        <v>2052</v>
      </c>
      <c r="E56" s="300">
        <f t="shared" si="72"/>
        <v>30</v>
      </c>
      <c r="F56" s="433">
        <f>'G - Safety'!G53*$G$14</f>
        <v>0</v>
      </c>
      <c r="G56" s="433">
        <f>'G - Safety'!H53*$G$14</f>
        <v>0</v>
      </c>
      <c r="H56" s="433">
        <f>'G - Safety'!I53*$G$14</f>
        <v>0</v>
      </c>
      <c r="I56" s="433">
        <f>'G - Safety'!J53*$G$14</f>
        <v>0</v>
      </c>
      <c r="J56" s="433">
        <f>'G - Safety'!K53*$G$14</f>
        <v>0</v>
      </c>
      <c r="K56" s="433">
        <f>'G - Safety'!L53*$G$14</f>
        <v>0</v>
      </c>
      <c r="L56" s="433">
        <f>'G - Safety'!M53*$G$14</f>
        <v>0</v>
      </c>
      <c r="M56" s="416">
        <f>'G - Safety'!N53*$G$14</f>
        <v>0</v>
      </c>
      <c r="N56" s="417">
        <f>'G - Safety'!O53*$G$14</f>
        <v>0</v>
      </c>
      <c r="O56" s="417">
        <f>'G - Safety'!P53*$G$14</f>
        <v>0</v>
      </c>
      <c r="P56" s="417">
        <f>'G - Safety'!Q53*$G$14</f>
        <v>0</v>
      </c>
      <c r="Q56" s="417">
        <f>'G - Safety'!R53*$G$14</f>
        <v>0</v>
      </c>
      <c r="R56" s="417">
        <f>'G - Safety'!S53*$G$14</f>
        <v>0</v>
      </c>
      <c r="S56" s="418">
        <f>'G - Safety'!T53*$G$14</f>
        <v>0</v>
      </c>
      <c r="T56" s="419">
        <f t="shared" si="55"/>
        <v>0</v>
      </c>
      <c r="U56" s="419">
        <f t="shared" si="56"/>
        <v>0</v>
      </c>
      <c r="V56" s="419">
        <f t="shared" si="57"/>
        <v>0</v>
      </c>
      <c r="W56" s="419">
        <f t="shared" si="58"/>
        <v>0</v>
      </c>
      <c r="X56" s="419">
        <f t="shared" si="59"/>
        <v>0</v>
      </c>
      <c r="Y56" s="419">
        <f t="shared" si="60"/>
        <v>0</v>
      </c>
      <c r="Z56" s="420">
        <f t="shared" si="61"/>
        <v>0</v>
      </c>
      <c r="AA56" s="420">
        <f t="shared" si="62"/>
        <v>0</v>
      </c>
      <c r="AB56" s="419">
        <f t="shared" si="63"/>
        <v>0</v>
      </c>
      <c r="AC56" s="419">
        <f t="shared" si="64"/>
        <v>0</v>
      </c>
      <c r="AD56" s="419">
        <f t="shared" si="65"/>
        <v>0</v>
      </c>
      <c r="AE56" s="419">
        <f t="shared" si="66"/>
        <v>0</v>
      </c>
      <c r="AF56" s="419">
        <f t="shared" si="67"/>
        <v>0</v>
      </c>
      <c r="AG56" s="419">
        <f t="shared" si="68"/>
        <v>0</v>
      </c>
      <c r="AH56" s="420">
        <f t="shared" si="69"/>
        <v>0</v>
      </c>
      <c r="AI56" s="421">
        <f t="shared" si="70"/>
        <v>0</v>
      </c>
      <c r="AJ56" s="96">
        <f t="shared" si="71"/>
        <v>0</v>
      </c>
      <c r="AK56" s="96">
        <f>AJ56/(1+0.03)^($D56-'A - Inputs'!$C$6)</f>
        <v>0</v>
      </c>
      <c r="AL56" s="407">
        <f>AJ56/(1+0.07)^($D56-'A - Inputs'!$C$6)</f>
        <v>0</v>
      </c>
    </row>
    <row r="57" spans="4:38" x14ac:dyDescent="0.25">
      <c r="D57" s="282">
        <f t="shared" ref="D57:E57" si="73">D56+1</f>
        <v>2053</v>
      </c>
      <c r="E57" s="300">
        <f t="shared" si="73"/>
        <v>31</v>
      </c>
      <c r="F57" s="433">
        <f>'G - Safety'!G54*$G$14</f>
        <v>0</v>
      </c>
      <c r="G57" s="433">
        <f>'G - Safety'!H54*$G$14</f>
        <v>0</v>
      </c>
      <c r="H57" s="433">
        <f>'G - Safety'!I54*$G$14</f>
        <v>0</v>
      </c>
      <c r="I57" s="433">
        <f>'G - Safety'!J54*$G$14</f>
        <v>0</v>
      </c>
      <c r="J57" s="433">
        <f>'G - Safety'!K54*$G$14</f>
        <v>0</v>
      </c>
      <c r="K57" s="433">
        <f>'G - Safety'!L54*$G$14</f>
        <v>0</v>
      </c>
      <c r="L57" s="433">
        <f>'G - Safety'!M54*$G$14</f>
        <v>0</v>
      </c>
      <c r="M57" s="416">
        <f>'G - Safety'!N54*$G$14</f>
        <v>0</v>
      </c>
      <c r="N57" s="417">
        <f>'G - Safety'!O54*$G$14</f>
        <v>0</v>
      </c>
      <c r="O57" s="417">
        <f>'G - Safety'!P54*$G$14</f>
        <v>0</v>
      </c>
      <c r="P57" s="417">
        <f>'G - Safety'!Q54*$G$14</f>
        <v>0</v>
      </c>
      <c r="Q57" s="417">
        <f>'G - Safety'!R54*$G$14</f>
        <v>0</v>
      </c>
      <c r="R57" s="417">
        <f>'G - Safety'!S54*$G$14</f>
        <v>0</v>
      </c>
      <c r="S57" s="418">
        <f>'G - Safety'!T54*$G$14</f>
        <v>0</v>
      </c>
      <c r="T57" s="419">
        <f t="shared" si="55"/>
        <v>0</v>
      </c>
      <c r="U57" s="419">
        <f t="shared" si="56"/>
        <v>0</v>
      </c>
      <c r="V57" s="419">
        <f t="shared" si="57"/>
        <v>0</v>
      </c>
      <c r="W57" s="419">
        <f t="shared" si="58"/>
        <v>0</v>
      </c>
      <c r="X57" s="419">
        <f t="shared" si="59"/>
        <v>0</v>
      </c>
      <c r="Y57" s="419">
        <f t="shared" si="60"/>
        <v>0</v>
      </c>
      <c r="Z57" s="420">
        <f t="shared" si="61"/>
        <v>0</v>
      </c>
      <c r="AA57" s="420">
        <f t="shared" si="62"/>
        <v>0</v>
      </c>
      <c r="AB57" s="419">
        <f t="shared" si="63"/>
        <v>0</v>
      </c>
      <c r="AC57" s="419">
        <f t="shared" si="64"/>
        <v>0</v>
      </c>
      <c r="AD57" s="419">
        <f t="shared" si="65"/>
        <v>0</v>
      </c>
      <c r="AE57" s="419">
        <f t="shared" si="66"/>
        <v>0</v>
      </c>
      <c r="AF57" s="419">
        <f t="shared" si="67"/>
        <v>0</v>
      </c>
      <c r="AG57" s="419">
        <f t="shared" si="68"/>
        <v>0</v>
      </c>
      <c r="AH57" s="420">
        <f t="shared" si="69"/>
        <v>0</v>
      </c>
      <c r="AI57" s="421">
        <f t="shared" si="70"/>
        <v>0</v>
      </c>
      <c r="AJ57" s="96">
        <f t="shared" si="71"/>
        <v>0</v>
      </c>
      <c r="AK57" s="96">
        <f>AJ57/(1+0.03)^($D57-'A - Inputs'!$C$6)</f>
        <v>0</v>
      </c>
      <c r="AL57" s="407">
        <f>AJ57/(1+0.07)^($D57-'A - Inputs'!$C$6)</f>
        <v>0</v>
      </c>
    </row>
    <row r="58" spans="4:38" x14ac:dyDescent="0.25">
      <c r="D58" s="282">
        <f t="shared" ref="D58:E58" si="74">D57+1</f>
        <v>2054</v>
      </c>
      <c r="E58" s="300">
        <f t="shared" si="74"/>
        <v>32</v>
      </c>
      <c r="F58" s="433">
        <f>'G - Safety'!G55*$G$14</f>
        <v>0</v>
      </c>
      <c r="G58" s="433">
        <f>'G - Safety'!H55*$G$14</f>
        <v>0</v>
      </c>
      <c r="H58" s="433">
        <f>'G - Safety'!I55*$G$14</f>
        <v>0</v>
      </c>
      <c r="I58" s="433">
        <f>'G - Safety'!J55*$G$14</f>
        <v>0</v>
      </c>
      <c r="J58" s="433">
        <f>'G - Safety'!K55*$G$14</f>
        <v>0</v>
      </c>
      <c r="K58" s="433">
        <f>'G - Safety'!L55*$G$14</f>
        <v>0</v>
      </c>
      <c r="L58" s="433">
        <f>'G - Safety'!M55*$G$14</f>
        <v>0</v>
      </c>
      <c r="M58" s="416">
        <f>'G - Safety'!N55*$G$14</f>
        <v>0</v>
      </c>
      <c r="N58" s="417">
        <f>'G - Safety'!O55*$G$14</f>
        <v>0</v>
      </c>
      <c r="O58" s="417">
        <f>'G - Safety'!P55*$G$14</f>
        <v>0</v>
      </c>
      <c r="P58" s="417">
        <f>'G - Safety'!Q55*$G$14</f>
        <v>0</v>
      </c>
      <c r="Q58" s="417">
        <f>'G - Safety'!R55*$G$14</f>
        <v>0</v>
      </c>
      <c r="R58" s="417">
        <f>'G - Safety'!S55*$G$14</f>
        <v>0</v>
      </c>
      <c r="S58" s="418">
        <f>'G - Safety'!T55*$G$14</f>
        <v>0</v>
      </c>
      <c r="T58" s="419">
        <f t="shared" si="55"/>
        <v>0</v>
      </c>
      <c r="U58" s="419">
        <f t="shared" si="56"/>
        <v>0</v>
      </c>
      <c r="V58" s="419">
        <f t="shared" si="57"/>
        <v>0</v>
      </c>
      <c r="W58" s="419">
        <f t="shared" si="58"/>
        <v>0</v>
      </c>
      <c r="X58" s="419">
        <f t="shared" si="59"/>
        <v>0</v>
      </c>
      <c r="Y58" s="419">
        <f t="shared" si="60"/>
        <v>0</v>
      </c>
      <c r="Z58" s="420">
        <f t="shared" si="61"/>
        <v>0</v>
      </c>
      <c r="AA58" s="420">
        <f t="shared" si="62"/>
        <v>0</v>
      </c>
      <c r="AB58" s="419">
        <f t="shared" si="63"/>
        <v>0</v>
      </c>
      <c r="AC58" s="419">
        <f t="shared" si="64"/>
        <v>0</v>
      </c>
      <c r="AD58" s="419">
        <f t="shared" si="65"/>
        <v>0</v>
      </c>
      <c r="AE58" s="419">
        <f t="shared" si="66"/>
        <v>0</v>
      </c>
      <c r="AF58" s="419">
        <f t="shared" si="67"/>
        <v>0</v>
      </c>
      <c r="AG58" s="419">
        <f t="shared" si="68"/>
        <v>0</v>
      </c>
      <c r="AH58" s="420">
        <f t="shared" si="69"/>
        <v>0</v>
      </c>
      <c r="AI58" s="421">
        <f t="shared" si="70"/>
        <v>0</v>
      </c>
      <c r="AJ58" s="96">
        <f t="shared" si="71"/>
        <v>0</v>
      </c>
      <c r="AK58" s="96">
        <f>AJ58/(1+0.03)^($D58-'A - Inputs'!$C$6)</f>
        <v>0</v>
      </c>
      <c r="AL58" s="407">
        <f>AJ58/(1+0.07)^($D58-'A - Inputs'!$C$6)</f>
        <v>0</v>
      </c>
    </row>
    <row r="59" spans="4:38" x14ac:dyDescent="0.25">
      <c r="D59" s="282">
        <f t="shared" ref="D59:E59" si="75">D58+1</f>
        <v>2055</v>
      </c>
      <c r="E59" s="300">
        <f t="shared" si="75"/>
        <v>33</v>
      </c>
      <c r="F59" s="433">
        <f>'G - Safety'!G56*$G$14</f>
        <v>0</v>
      </c>
      <c r="G59" s="433">
        <f>'G - Safety'!H56*$G$14</f>
        <v>0</v>
      </c>
      <c r="H59" s="433">
        <f>'G - Safety'!I56*$G$14</f>
        <v>0</v>
      </c>
      <c r="I59" s="433">
        <f>'G - Safety'!J56*$G$14</f>
        <v>0</v>
      </c>
      <c r="J59" s="433">
        <f>'G - Safety'!K56*$G$14</f>
        <v>0</v>
      </c>
      <c r="K59" s="433">
        <f>'G - Safety'!L56*$G$14</f>
        <v>0</v>
      </c>
      <c r="L59" s="433">
        <f>'G - Safety'!M56*$G$14</f>
        <v>0</v>
      </c>
      <c r="M59" s="416">
        <f>'G - Safety'!N56*$G$14</f>
        <v>0</v>
      </c>
      <c r="N59" s="417">
        <f>'G - Safety'!O56*$G$14</f>
        <v>0</v>
      </c>
      <c r="O59" s="417">
        <f>'G - Safety'!P56*$G$14</f>
        <v>0</v>
      </c>
      <c r="P59" s="417">
        <f>'G - Safety'!Q56*$G$14</f>
        <v>0</v>
      </c>
      <c r="Q59" s="417">
        <f>'G - Safety'!R56*$G$14</f>
        <v>0</v>
      </c>
      <c r="R59" s="417">
        <f>'G - Safety'!S56*$G$14</f>
        <v>0</v>
      </c>
      <c r="S59" s="418">
        <f>'G - Safety'!T56*$G$14</f>
        <v>0</v>
      </c>
      <c r="T59" s="419">
        <f t="shared" si="55"/>
        <v>0</v>
      </c>
      <c r="U59" s="419">
        <f t="shared" si="56"/>
        <v>0</v>
      </c>
      <c r="V59" s="419">
        <f t="shared" si="57"/>
        <v>0</v>
      </c>
      <c r="W59" s="419">
        <f t="shared" si="58"/>
        <v>0</v>
      </c>
      <c r="X59" s="419">
        <f t="shared" si="59"/>
        <v>0</v>
      </c>
      <c r="Y59" s="419">
        <f t="shared" si="60"/>
        <v>0</v>
      </c>
      <c r="Z59" s="420">
        <f t="shared" si="61"/>
        <v>0</v>
      </c>
      <c r="AA59" s="420">
        <f t="shared" si="62"/>
        <v>0</v>
      </c>
      <c r="AB59" s="419">
        <f t="shared" si="63"/>
        <v>0</v>
      </c>
      <c r="AC59" s="419">
        <f t="shared" si="64"/>
        <v>0</v>
      </c>
      <c r="AD59" s="419">
        <f t="shared" si="65"/>
        <v>0</v>
      </c>
      <c r="AE59" s="419">
        <f t="shared" si="66"/>
        <v>0</v>
      </c>
      <c r="AF59" s="419">
        <f t="shared" si="67"/>
        <v>0</v>
      </c>
      <c r="AG59" s="419">
        <f t="shared" si="68"/>
        <v>0</v>
      </c>
      <c r="AH59" s="420">
        <f t="shared" si="69"/>
        <v>0</v>
      </c>
      <c r="AI59" s="421">
        <f t="shared" si="70"/>
        <v>0</v>
      </c>
      <c r="AJ59" s="96">
        <f t="shared" si="71"/>
        <v>0</v>
      </c>
      <c r="AK59" s="96">
        <f>AJ59/(1+0.03)^($D59-'A - Inputs'!$C$6)</f>
        <v>0</v>
      </c>
      <c r="AL59" s="407">
        <f>AJ59/(1+0.07)^($D59-'A - Inputs'!$C$6)</f>
        <v>0</v>
      </c>
    </row>
    <row r="60" spans="4:38" x14ac:dyDescent="0.25">
      <c r="D60" s="282">
        <f t="shared" ref="D60:E60" si="76">D59+1</f>
        <v>2056</v>
      </c>
      <c r="E60" s="300">
        <f t="shared" si="76"/>
        <v>34</v>
      </c>
      <c r="F60" s="433">
        <f>'G - Safety'!G57*$G$14</f>
        <v>0</v>
      </c>
      <c r="G60" s="433">
        <f>'G - Safety'!H57*$G$14</f>
        <v>0</v>
      </c>
      <c r="H60" s="433">
        <f>'G - Safety'!I57*$G$14</f>
        <v>0</v>
      </c>
      <c r="I60" s="433">
        <f>'G - Safety'!J57*$G$14</f>
        <v>0</v>
      </c>
      <c r="J60" s="433">
        <f>'G - Safety'!K57*$G$14</f>
        <v>0</v>
      </c>
      <c r="K60" s="433">
        <f>'G - Safety'!L57*$G$14</f>
        <v>0</v>
      </c>
      <c r="L60" s="433">
        <f>'G - Safety'!M57*$G$14</f>
        <v>0</v>
      </c>
      <c r="M60" s="416">
        <f>'G - Safety'!N57*$G$14</f>
        <v>0</v>
      </c>
      <c r="N60" s="417">
        <f>'G - Safety'!O57*$G$14</f>
        <v>0</v>
      </c>
      <c r="O60" s="417">
        <f>'G - Safety'!P57*$G$14</f>
        <v>0</v>
      </c>
      <c r="P60" s="417">
        <f>'G - Safety'!Q57*$G$14</f>
        <v>0</v>
      </c>
      <c r="Q60" s="417">
        <f>'G - Safety'!R57*$G$14</f>
        <v>0</v>
      </c>
      <c r="R60" s="417">
        <f>'G - Safety'!S57*$G$14</f>
        <v>0</v>
      </c>
      <c r="S60" s="418">
        <f>'G - Safety'!T57*$G$14</f>
        <v>0</v>
      </c>
      <c r="T60" s="419">
        <f t="shared" si="55"/>
        <v>0</v>
      </c>
      <c r="U60" s="419">
        <f t="shared" si="56"/>
        <v>0</v>
      </c>
      <c r="V60" s="419">
        <f t="shared" si="57"/>
        <v>0</v>
      </c>
      <c r="W60" s="419">
        <f t="shared" si="58"/>
        <v>0</v>
      </c>
      <c r="X60" s="419">
        <f t="shared" si="59"/>
        <v>0</v>
      </c>
      <c r="Y60" s="419">
        <f t="shared" si="60"/>
        <v>0</v>
      </c>
      <c r="Z60" s="420">
        <f t="shared" si="61"/>
        <v>0</v>
      </c>
      <c r="AA60" s="420">
        <f t="shared" si="62"/>
        <v>0</v>
      </c>
      <c r="AB60" s="419">
        <f t="shared" si="63"/>
        <v>0</v>
      </c>
      <c r="AC60" s="419">
        <f t="shared" si="64"/>
        <v>0</v>
      </c>
      <c r="AD60" s="419">
        <f t="shared" si="65"/>
        <v>0</v>
      </c>
      <c r="AE60" s="419">
        <f t="shared" si="66"/>
        <v>0</v>
      </c>
      <c r="AF60" s="419">
        <f t="shared" si="67"/>
        <v>0</v>
      </c>
      <c r="AG60" s="419">
        <f t="shared" si="68"/>
        <v>0</v>
      </c>
      <c r="AH60" s="420">
        <f t="shared" si="69"/>
        <v>0</v>
      </c>
      <c r="AI60" s="421">
        <f t="shared" si="70"/>
        <v>0</v>
      </c>
      <c r="AJ60" s="96">
        <f t="shared" si="71"/>
        <v>0</v>
      </c>
      <c r="AK60" s="96">
        <f>AJ60/(1+0.03)^($D60-'A - Inputs'!$C$6)</f>
        <v>0</v>
      </c>
      <c r="AL60" s="407">
        <f>AJ60/(1+0.07)^($D60-'A - Inputs'!$C$6)</f>
        <v>0</v>
      </c>
    </row>
    <row r="61" spans="4:38" x14ac:dyDescent="0.25">
      <c r="D61" s="282">
        <f t="shared" ref="D61:E61" si="77">D60+1</f>
        <v>2057</v>
      </c>
      <c r="E61" s="300">
        <f t="shared" si="77"/>
        <v>35</v>
      </c>
      <c r="F61" s="433">
        <f>'G - Safety'!G58*$G$14</f>
        <v>0</v>
      </c>
      <c r="G61" s="433">
        <f>'G - Safety'!H58*$G$14</f>
        <v>0</v>
      </c>
      <c r="H61" s="433">
        <f>'G - Safety'!I58*$G$14</f>
        <v>0</v>
      </c>
      <c r="I61" s="433">
        <f>'G - Safety'!J58*$G$14</f>
        <v>0</v>
      </c>
      <c r="J61" s="433">
        <f>'G - Safety'!K58*$G$14</f>
        <v>0</v>
      </c>
      <c r="K61" s="433">
        <f>'G - Safety'!L58*$G$14</f>
        <v>0</v>
      </c>
      <c r="L61" s="433">
        <f>'G - Safety'!M58*$G$14</f>
        <v>0</v>
      </c>
      <c r="M61" s="416">
        <f>'G - Safety'!N58*$G$14</f>
        <v>0</v>
      </c>
      <c r="N61" s="417">
        <f>'G - Safety'!O58*$G$14</f>
        <v>0</v>
      </c>
      <c r="O61" s="417">
        <f>'G - Safety'!P58*$G$14</f>
        <v>0</v>
      </c>
      <c r="P61" s="417">
        <f>'G - Safety'!Q58*$G$14</f>
        <v>0</v>
      </c>
      <c r="Q61" s="417">
        <f>'G - Safety'!R58*$G$14</f>
        <v>0</v>
      </c>
      <c r="R61" s="417">
        <f>'G - Safety'!S58*$G$14</f>
        <v>0</v>
      </c>
      <c r="S61" s="418">
        <f>'G - Safety'!T58*$G$14</f>
        <v>0</v>
      </c>
      <c r="T61" s="419">
        <f t="shared" si="55"/>
        <v>0</v>
      </c>
      <c r="U61" s="419">
        <f t="shared" si="56"/>
        <v>0</v>
      </c>
      <c r="V61" s="419">
        <f t="shared" si="57"/>
        <v>0</v>
      </c>
      <c r="W61" s="419">
        <f t="shared" si="58"/>
        <v>0</v>
      </c>
      <c r="X61" s="419">
        <f t="shared" si="59"/>
        <v>0</v>
      </c>
      <c r="Y61" s="419">
        <f t="shared" si="60"/>
        <v>0</v>
      </c>
      <c r="Z61" s="420">
        <f t="shared" si="61"/>
        <v>0</v>
      </c>
      <c r="AA61" s="420">
        <f t="shared" si="62"/>
        <v>0</v>
      </c>
      <c r="AB61" s="419">
        <f t="shared" si="63"/>
        <v>0</v>
      </c>
      <c r="AC61" s="419">
        <f t="shared" si="64"/>
        <v>0</v>
      </c>
      <c r="AD61" s="419">
        <f t="shared" si="65"/>
        <v>0</v>
      </c>
      <c r="AE61" s="419">
        <f t="shared" si="66"/>
        <v>0</v>
      </c>
      <c r="AF61" s="419">
        <f t="shared" si="67"/>
        <v>0</v>
      </c>
      <c r="AG61" s="419">
        <f t="shared" si="68"/>
        <v>0</v>
      </c>
      <c r="AH61" s="420">
        <f t="shared" si="69"/>
        <v>0</v>
      </c>
      <c r="AI61" s="421">
        <f t="shared" si="70"/>
        <v>0</v>
      </c>
      <c r="AJ61" s="96">
        <f t="shared" si="71"/>
        <v>0</v>
      </c>
      <c r="AK61" s="96">
        <f>AJ61/(1+0.03)^($D61-'A - Inputs'!$C$6)</f>
        <v>0</v>
      </c>
      <c r="AL61" s="407">
        <f>AJ61/(1+0.07)^($D61-'A - Inputs'!$C$6)</f>
        <v>0</v>
      </c>
    </row>
    <row r="62" spans="4:38" x14ac:dyDescent="0.25">
      <c r="D62" s="41" t="s">
        <v>80</v>
      </c>
      <c r="E62" s="42"/>
      <c r="F62" s="41"/>
      <c r="G62" s="41"/>
      <c r="H62" s="41"/>
      <c r="I62" s="41"/>
      <c r="J62" s="41"/>
      <c r="K62" s="280"/>
      <c r="L62" s="42"/>
      <c r="M62" s="41"/>
      <c r="N62" s="41"/>
      <c r="O62" s="41"/>
      <c r="P62" s="41"/>
      <c r="Q62" s="41"/>
      <c r="R62" s="41"/>
      <c r="S62" s="42"/>
      <c r="T62" s="43"/>
      <c r="U62" s="41"/>
      <c r="V62" s="41"/>
      <c r="W62" s="41"/>
      <c r="X62" s="41"/>
      <c r="Y62" s="41"/>
      <c r="Z62" s="41"/>
      <c r="AA62" s="44">
        <f>SUM(AA26:AA61)</f>
        <v>24541217.579777956</v>
      </c>
      <c r="AB62" s="43"/>
      <c r="AC62" s="41"/>
      <c r="AD62" s="41"/>
      <c r="AE62" s="41"/>
      <c r="AF62" s="41"/>
      <c r="AG62" s="41"/>
      <c r="AH62" s="44"/>
      <c r="AI62" s="184">
        <f>SUM(AI26:AI61)</f>
        <v>15321558.706794225</v>
      </c>
      <c r="AJ62" s="45">
        <f>SUM(AJ26:AJ61)</f>
        <v>9219658.8729837295</v>
      </c>
      <c r="AK62" s="45">
        <f>SUM(AK26:AK61)</f>
        <v>5413975.4766918942</v>
      </c>
      <c r="AL62" s="46">
        <f>SUM(AL26:AL61)</f>
        <v>2842334.5090793329</v>
      </c>
    </row>
    <row r="63" spans="4:38" x14ac:dyDescent="0.25">
      <c r="I63" s="282"/>
      <c r="J63" s="281"/>
      <c r="Y63" s="282"/>
      <c r="Z63" s="282"/>
      <c r="AA63"/>
      <c r="AH63"/>
      <c r="AI63"/>
    </row>
    <row r="64" spans="4:38" x14ac:dyDescent="0.25">
      <c r="AA64"/>
      <c r="AH64"/>
      <c r="AI64"/>
    </row>
    <row r="66" spans="13:19" x14ac:dyDescent="0.25">
      <c r="M66" s="301"/>
      <c r="N66" s="301"/>
      <c r="O66" s="301"/>
      <c r="P66" s="301"/>
      <c r="Q66" s="301"/>
      <c r="R66" s="301"/>
      <c r="S66" s="301"/>
    </row>
    <row r="67" spans="13:19" x14ac:dyDescent="0.25">
      <c r="M67" s="301"/>
      <c r="N67" s="301"/>
      <c r="O67" s="301"/>
      <c r="P67" s="301"/>
      <c r="Q67" s="301"/>
      <c r="R67" s="301"/>
      <c r="S67" s="301"/>
    </row>
    <row r="68" spans="13:19" x14ac:dyDescent="0.25">
      <c r="M68" s="301"/>
      <c r="N68" s="301"/>
      <c r="O68" s="301"/>
      <c r="P68" s="301"/>
      <c r="Q68" s="301"/>
      <c r="R68" s="301"/>
      <c r="S68" s="301"/>
    </row>
    <row r="69" spans="13:19" x14ac:dyDescent="0.25">
      <c r="M69" s="301"/>
      <c r="N69" s="301"/>
      <c r="O69" s="301"/>
      <c r="P69" s="301"/>
      <c r="Q69" s="301"/>
      <c r="R69" s="301"/>
      <c r="S69" s="301"/>
    </row>
    <row r="70" spans="13:19" x14ac:dyDescent="0.25">
      <c r="M70" s="301"/>
      <c r="N70" s="301"/>
      <c r="O70" s="301"/>
      <c r="P70" s="301"/>
      <c r="Q70" s="301"/>
      <c r="R70" s="301"/>
      <c r="S70" s="301"/>
    </row>
    <row r="71" spans="13:19" x14ac:dyDescent="0.25">
      <c r="M71" s="301"/>
      <c r="N71" s="301"/>
      <c r="O71" s="301"/>
      <c r="P71" s="301"/>
      <c r="Q71" s="301"/>
      <c r="R71" s="301"/>
      <c r="S71" s="301"/>
    </row>
    <row r="72" spans="13:19" x14ac:dyDescent="0.25">
      <c r="M72" s="301"/>
      <c r="N72" s="301"/>
      <c r="O72" s="301"/>
      <c r="P72" s="301"/>
      <c r="Q72" s="301"/>
      <c r="R72" s="301"/>
      <c r="S72" s="301"/>
    </row>
    <row r="73" spans="13:19" x14ac:dyDescent="0.25">
      <c r="M73" s="301"/>
      <c r="N73" s="301"/>
      <c r="O73" s="301"/>
      <c r="P73" s="301"/>
      <c r="Q73" s="301"/>
      <c r="R73" s="301"/>
      <c r="S73" s="301"/>
    </row>
    <row r="74" spans="13:19" x14ac:dyDescent="0.25">
      <c r="M74" s="301"/>
      <c r="N74" s="301"/>
      <c r="O74" s="301"/>
      <c r="P74" s="301"/>
      <c r="Q74" s="301"/>
      <c r="R74" s="301"/>
      <c r="S74" s="301"/>
    </row>
    <row r="75" spans="13:19" x14ac:dyDescent="0.25">
      <c r="M75" s="301"/>
      <c r="N75" s="301"/>
      <c r="O75" s="301"/>
      <c r="P75" s="301"/>
      <c r="Q75" s="301"/>
      <c r="R75" s="301"/>
      <c r="S75" s="301"/>
    </row>
    <row r="76" spans="13:19" x14ac:dyDescent="0.25">
      <c r="M76" s="301"/>
      <c r="N76" s="301"/>
      <c r="O76" s="301"/>
      <c r="P76" s="301"/>
      <c r="Q76" s="301"/>
      <c r="R76" s="301"/>
      <c r="S76" s="301"/>
    </row>
    <row r="77" spans="13:19" x14ac:dyDescent="0.25">
      <c r="M77" s="301"/>
      <c r="N77" s="301"/>
      <c r="O77" s="301"/>
      <c r="P77" s="301"/>
      <c r="Q77" s="301"/>
      <c r="R77" s="301"/>
      <c r="S77" s="301"/>
    </row>
    <row r="78" spans="13:19" x14ac:dyDescent="0.25">
      <c r="M78" s="301"/>
      <c r="N78" s="301"/>
      <c r="O78" s="301"/>
      <c r="P78" s="301"/>
      <c r="Q78" s="301"/>
      <c r="R78" s="301"/>
      <c r="S78" s="301"/>
    </row>
    <row r="79" spans="13:19" x14ac:dyDescent="0.25">
      <c r="M79" s="301"/>
      <c r="N79" s="301"/>
      <c r="O79" s="301"/>
      <c r="P79" s="301"/>
      <c r="Q79" s="301"/>
      <c r="R79" s="301"/>
      <c r="S79" s="301"/>
    </row>
    <row r="80" spans="13:19" x14ac:dyDescent="0.25">
      <c r="M80" s="301"/>
      <c r="N80" s="301"/>
      <c r="O80" s="301"/>
      <c r="P80" s="301"/>
      <c r="Q80" s="301"/>
      <c r="R80" s="301"/>
      <c r="S80" s="301"/>
    </row>
    <row r="81" spans="13:19" x14ac:dyDescent="0.25">
      <c r="M81" s="301"/>
      <c r="N81" s="301"/>
      <c r="O81" s="301"/>
      <c r="P81" s="301"/>
      <c r="Q81" s="301"/>
      <c r="R81" s="301"/>
      <c r="S81" s="301"/>
    </row>
    <row r="82" spans="13:19" x14ac:dyDescent="0.25">
      <c r="M82" s="301"/>
      <c r="N82" s="301"/>
      <c r="O82" s="301"/>
      <c r="P82" s="301"/>
      <c r="Q82" s="301"/>
      <c r="R82" s="301"/>
      <c r="S82" s="301"/>
    </row>
    <row r="83" spans="13:19" x14ac:dyDescent="0.25">
      <c r="M83" s="301"/>
      <c r="N83" s="301"/>
      <c r="O83" s="301"/>
      <c r="P83" s="301"/>
      <c r="Q83" s="301"/>
      <c r="R83" s="301"/>
      <c r="S83" s="301"/>
    </row>
    <row r="84" spans="13:19" x14ac:dyDescent="0.25">
      <c r="M84" s="301"/>
      <c r="N84" s="301"/>
      <c r="O84" s="301"/>
      <c r="P84" s="301"/>
      <c r="Q84" s="301"/>
      <c r="R84" s="301"/>
      <c r="S84" s="301"/>
    </row>
    <row r="85" spans="13:19" x14ac:dyDescent="0.25">
      <c r="M85" s="301"/>
      <c r="N85" s="301"/>
      <c r="O85" s="301"/>
      <c r="P85" s="301"/>
      <c r="Q85" s="301"/>
      <c r="R85" s="301"/>
      <c r="S85" s="301"/>
    </row>
    <row r="86" spans="13:19" x14ac:dyDescent="0.25">
      <c r="M86" s="301"/>
      <c r="N86" s="301"/>
      <c r="O86" s="301"/>
      <c r="P86" s="301"/>
      <c r="Q86" s="301"/>
      <c r="R86" s="301"/>
      <c r="S86" s="301"/>
    </row>
    <row r="87" spans="13:19" x14ac:dyDescent="0.25">
      <c r="M87" s="301"/>
      <c r="N87" s="301"/>
      <c r="O87" s="301"/>
      <c r="P87" s="301"/>
      <c r="Q87" s="301"/>
      <c r="R87" s="301"/>
      <c r="S87" s="301"/>
    </row>
    <row r="88" spans="13:19" x14ac:dyDescent="0.25">
      <c r="M88" s="301"/>
      <c r="N88" s="301"/>
      <c r="O88" s="301"/>
      <c r="P88" s="301"/>
      <c r="Q88" s="301"/>
      <c r="R88" s="301"/>
      <c r="S88" s="301"/>
    </row>
    <row r="89" spans="13:19" x14ac:dyDescent="0.25">
      <c r="M89" s="301"/>
      <c r="N89" s="301"/>
      <c r="O89" s="301"/>
      <c r="P89" s="301"/>
      <c r="Q89" s="301"/>
      <c r="R89" s="301"/>
      <c r="S89" s="301"/>
    </row>
    <row r="90" spans="13:19" x14ac:dyDescent="0.25">
      <c r="M90" s="301"/>
      <c r="N90" s="301"/>
      <c r="O90" s="301"/>
      <c r="P90" s="301"/>
      <c r="Q90" s="301"/>
      <c r="R90" s="301"/>
      <c r="S90" s="301"/>
    </row>
    <row r="91" spans="13:19" x14ac:dyDescent="0.25">
      <c r="M91" s="301"/>
      <c r="N91" s="301"/>
      <c r="O91" s="301"/>
      <c r="P91" s="301"/>
      <c r="Q91" s="301"/>
      <c r="R91" s="301"/>
      <c r="S91" s="301"/>
    </row>
    <row r="92" spans="13:19" x14ac:dyDescent="0.25">
      <c r="M92" s="301"/>
      <c r="N92" s="301"/>
      <c r="O92" s="301"/>
      <c r="P92" s="301"/>
      <c r="Q92" s="301"/>
      <c r="R92" s="301"/>
      <c r="S92" s="301"/>
    </row>
    <row r="93" spans="13:19" x14ac:dyDescent="0.25">
      <c r="M93" s="301"/>
      <c r="N93" s="301"/>
      <c r="O93" s="301"/>
      <c r="P93" s="301"/>
      <c r="Q93" s="301"/>
      <c r="R93" s="301"/>
      <c r="S93" s="301"/>
    </row>
    <row r="94" spans="13:19" x14ac:dyDescent="0.25">
      <c r="M94" s="301"/>
      <c r="N94" s="301"/>
      <c r="O94" s="301"/>
      <c r="P94" s="301"/>
      <c r="Q94" s="301"/>
      <c r="R94" s="301"/>
      <c r="S94" s="301"/>
    </row>
    <row r="95" spans="13:19" x14ac:dyDescent="0.25">
      <c r="M95" s="301"/>
      <c r="N95" s="301"/>
      <c r="O95" s="301"/>
      <c r="P95" s="301"/>
      <c r="Q95" s="301"/>
      <c r="R95" s="301"/>
      <c r="S95" s="301"/>
    </row>
    <row r="96" spans="13:19" x14ac:dyDescent="0.25">
      <c r="M96" s="301"/>
      <c r="N96" s="301"/>
      <c r="O96" s="301"/>
      <c r="P96" s="301"/>
      <c r="Q96" s="301"/>
      <c r="R96" s="301"/>
      <c r="S96" s="301"/>
    </row>
    <row r="97" spans="13:34" x14ac:dyDescent="0.25">
      <c r="M97" s="301"/>
      <c r="N97" s="301"/>
      <c r="O97" s="301"/>
      <c r="P97" s="301"/>
      <c r="Q97" s="301"/>
      <c r="R97" s="301"/>
      <c r="S97" s="301"/>
    </row>
    <row r="98" spans="13:34" x14ac:dyDescent="0.25">
      <c r="M98" s="301"/>
      <c r="N98" s="301"/>
      <c r="O98" s="301"/>
      <c r="P98" s="301"/>
      <c r="Q98" s="301"/>
      <c r="R98" s="301"/>
      <c r="S98" s="301"/>
    </row>
    <row r="102" spans="13:34" x14ac:dyDescent="0.25">
      <c r="AE102" s="294"/>
      <c r="AF102" s="302"/>
      <c r="AH102" s="303"/>
    </row>
    <row r="103" spans="13:34" x14ac:dyDescent="0.25">
      <c r="AB103" s="304"/>
      <c r="AE103" s="294"/>
      <c r="AF103" s="302"/>
      <c r="AH103" s="303"/>
    </row>
    <row r="104" spans="13:34" x14ac:dyDescent="0.25">
      <c r="AE104" s="294"/>
      <c r="AF104" s="302"/>
      <c r="AH104" s="303"/>
    </row>
    <row r="105" spans="13:34" x14ac:dyDescent="0.25">
      <c r="AH105" s="303"/>
    </row>
  </sheetData>
  <pageMargins left="0.7" right="0.7" top="0.75" bottom="0.75" header="0.3" footer="0.3"/>
  <pageSetup scale="52" orientation="landscape" horizontalDpi="90" verticalDpi="90" r:id="rId1"/>
  <headerFooter>
    <oddHeader>&amp;L&amp;"Arial,Bold"FDOT - INFRA Grant for I-95&amp;R&amp;"Arial,Bold"&amp;A</oddHeader>
    <oddFooter>&amp;CPage G-&amp;P</oddFooter>
  </headerFooter>
  <colBreaks count="2" manualBreakCount="2">
    <brk id="19" min="11" max="62" man="1"/>
    <brk id="34" min="11" max="62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0B49F-1C91-4CE7-8736-31E03DB1C25E}">
  <sheetPr>
    <tabColor rgb="FFDCE6F1"/>
    <pageSetUpPr fitToPage="1"/>
  </sheetPr>
  <dimension ref="A2:AN47"/>
  <sheetViews>
    <sheetView view="pageLayout" zoomScaleNormal="100" workbookViewId="0">
      <selection activeCell="S1" sqref="S1:Y1048576"/>
    </sheetView>
  </sheetViews>
  <sheetFormatPr defaultColWidth="9.140625" defaultRowHeight="12.75" x14ac:dyDescent="0.2"/>
  <cols>
    <col min="1" max="14" width="6.7109375" style="478" customWidth="1"/>
    <col min="15" max="16" width="10.140625" style="478" customWidth="1"/>
    <col min="17" max="18" width="6.7109375" style="478" customWidth="1"/>
    <col min="19" max="16384" width="9.140625" style="478"/>
  </cols>
  <sheetData>
    <row r="2" spans="1:20" ht="26.25" x14ac:dyDescent="0.4">
      <c r="B2" s="322" t="s">
        <v>515</v>
      </c>
    </row>
    <row r="3" spans="1:20" ht="18.75" x14ac:dyDescent="0.3">
      <c r="B3" s="323" t="s">
        <v>516</v>
      </c>
    </row>
    <row r="4" spans="1:20" x14ac:dyDescent="0.2">
      <c r="B4" s="478" t="s">
        <v>517</v>
      </c>
    </row>
    <row r="5" spans="1:20" ht="21" x14ac:dyDescent="0.35">
      <c r="C5" s="324" t="s">
        <v>518</v>
      </c>
      <c r="D5" s="324"/>
      <c r="E5" s="324"/>
      <c r="F5" s="324"/>
      <c r="G5" s="324"/>
      <c r="H5" s="324"/>
      <c r="I5" s="324"/>
      <c r="J5" s="324"/>
      <c r="K5" s="324"/>
      <c r="L5" s="324"/>
    </row>
    <row r="7" spans="1:20" x14ac:dyDescent="0.2">
      <c r="H7" s="474"/>
      <c r="I7" s="474" t="s">
        <v>519</v>
      </c>
      <c r="J7" s="560">
        <v>2</v>
      </c>
      <c r="K7" s="571"/>
    </row>
    <row r="8" spans="1:20" x14ac:dyDescent="0.2">
      <c r="A8" s="325"/>
    </row>
    <row r="9" spans="1:20" x14ac:dyDescent="0.2">
      <c r="B9" s="326" t="s">
        <v>520</v>
      </c>
      <c r="E9" s="571"/>
      <c r="F9" s="571"/>
      <c r="G9" s="571"/>
      <c r="H9" s="571"/>
      <c r="I9" s="571"/>
      <c r="J9" s="571"/>
      <c r="K9" s="571"/>
      <c r="L9" s="571"/>
      <c r="M9" s="584"/>
      <c r="N9" s="584"/>
    </row>
    <row r="11" spans="1:20" ht="13.5" thickBot="1" x14ac:dyDescent="0.25"/>
    <row r="12" spans="1:20" ht="18.95" customHeight="1" x14ac:dyDescent="0.2">
      <c r="B12" s="565" t="s">
        <v>522</v>
      </c>
      <c r="C12" s="479"/>
      <c r="D12" s="480"/>
      <c r="E12" s="480"/>
      <c r="F12" s="480"/>
      <c r="G12" s="480"/>
      <c r="H12" s="480"/>
      <c r="I12" s="480"/>
      <c r="J12" s="480"/>
      <c r="K12" s="480"/>
      <c r="L12" s="480"/>
      <c r="M12" s="480"/>
      <c r="N12" s="480"/>
      <c r="O12" s="480"/>
      <c r="P12" s="481"/>
      <c r="T12" s="327"/>
    </row>
    <row r="13" spans="1:20" ht="18.95" customHeight="1" x14ac:dyDescent="0.25">
      <c r="B13" s="566"/>
      <c r="C13" s="574" t="s">
        <v>526</v>
      </c>
      <c r="D13" s="571"/>
      <c r="E13" s="571"/>
      <c r="F13" s="571"/>
      <c r="G13" s="571"/>
      <c r="H13" s="571"/>
      <c r="I13" s="571"/>
      <c r="J13" s="571"/>
      <c r="K13" s="571"/>
      <c r="L13" s="571"/>
      <c r="M13" s="582">
        <v>36602</v>
      </c>
      <c r="N13" s="583"/>
      <c r="P13" s="481"/>
      <c r="T13" s="327"/>
    </row>
    <row r="14" spans="1:20" ht="39.6" customHeight="1" thickBot="1" x14ac:dyDescent="0.25">
      <c r="B14" s="567"/>
      <c r="C14" s="481"/>
      <c r="P14" s="487"/>
      <c r="T14" s="327"/>
    </row>
    <row r="15" spans="1:20" ht="18.95" customHeight="1" x14ac:dyDescent="0.2">
      <c r="B15" s="565" t="s">
        <v>527</v>
      </c>
      <c r="C15" s="479"/>
      <c r="D15" s="480"/>
      <c r="E15" s="480"/>
      <c r="F15" s="480"/>
      <c r="G15" s="480"/>
      <c r="H15" s="480"/>
      <c r="I15" s="480"/>
      <c r="J15" s="480"/>
      <c r="K15" s="480"/>
      <c r="L15" s="480"/>
      <c r="M15" s="480"/>
      <c r="N15" s="480"/>
      <c r="O15" s="480"/>
      <c r="P15" s="480"/>
      <c r="Q15" s="480"/>
      <c r="R15" s="481"/>
    </row>
    <row r="16" spans="1:20" ht="18.95" customHeight="1" x14ac:dyDescent="0.2">
      <c r="B16" s="566"/>
      <c r="C16" s="574" t="s">
        <v>528</v>
      </c>
      <c r="D16" s="571"/>
      <c r="E16" s="571"/>
      <c r="F16" s="571"/>
      <c r="G16" s="571"/>
      <c r="H16" s="571"/>
      <c r="I16" s="571"/>
      <c r="J16" s="571"/>
      <c r="K16" s="571"/>
      <c r="L16" s="571"/>
      <c r="M16" s="576">
        <v>0.25</v>
      </c>
      <c r="N16" s="576"/>
      <c r="O16" s="577">
        <v>0.25</v>
      </c>
      <c r="P16" s="578"/>
      <c r="R16" s="481"/>
    </row>
    <row r="17" spans="2:40" ht="18.95" customHeight="1" x14ac:dyDescent="0.2">
      <c r="B17" s="566"/>
      <c r="C17" s="574" t="s">
        <v>529</v>
      </c>
      <c r="D17" s="571"/>
      <c r="E17" s="571"/>
      <c r="F17" s="571"/>
      <c r="G17" s="571"/>
      <c r="H17" s="571"/>
      <c r="I17" s="571"/>
      <c r="J17" s="571"/>
      <c r="K17" s="571"/>
      <c r="L17" s="571"/>
      <c r="M17" s="576">
        <v>0.1</v>
      </c>
      <c r="N17" s="576"/>
      <c r="O17" s="577">
        <v>0.1</v>
      </c>
      <c r="P17" s="578"/>
      <c r="R17" s="481"/>
    </row>
    <row r="18" spans="2:40" ht="18.95" customHeight="1" x14ac:dyDescent="0.2">
      <c r="B18" s="566"/>
      <c r="C18" s="574" t="s">
        <v>530</v>
      </c>
      <c r="D18" s="571"/>
      <c r="E18" s="571"/>
      <c r="F18" s="571"/>
      <c r="G18" s="571"/>
      <c r="H18" s="571"/>
      <c r="I18" s="571"/>
      <c r="J18" s="571"/>
      <c r="K18" s="571"/>
      <c r="L18" s="571"/>
      <c r="M18" s="579">
        <v>3</v>
      </c>
      <c r="N18" s="579"/>
      <c r="O18" s="572">
        <v>3</v>
      </c>
      <c r="P18" s="573"/>
      <c r="R18" s="481"/>
    </row>
    <row r="19" spans="2:40" ht="18.95" customHeight="1" x14ac:dyDescent="0.2">
      <c r="B19" s="566"/>
      <c r="C19" s="574" t="s">
        <v>531</v>
      </c>
      <c r="D19" s="571"/>
      <c r="E19" s="571"/>
      <c r="F19" s="571"/>
      <c r="G19" s="571"/>
      <c r="H19" s="571"/>
      <c r="I19" s="571"/>
      <c r="J19" s="571"/>
      <c r="K19" s="571"/>
      <c r="L19" s="571"/>
      <c r="M19" s="575"/>
      <c r="N19" s="575"/>
      <c r="O19" s="572"/>
      <c r="P19" s="572"/>
      <c r="R19" s="481"/>
    </row>
    <row r="20" spans="2:40" ht="18.95" customHeight="1" x14ac:dyDescent="0.25">
      <c r="B20" s="566"/>
      <c r="C20" s="481"/>
      <c r="O20" s="333"/>
      <c r="R20" s="481"/>
    </row>
    <row r="21" spans="2:40" ht="18.95" customHeight="1" thickBot="1" x14ac:dyDescent="0.25">
      <c r="B21" s="567"/>
      <c r="C21" s="487"/>
      <c r="D21" s="488"/>
      <c r="E21" s="488"/>
      <c r="F21" s="488"/>
      <c r="G21" s="488"/>
      <c r="H21" s="488"/>
      <c r="I21" s="488"/>
      <c r="J21" s="488"/>
      <c r="K21" s="488"/>
      <c r="L21" s="488"/>
      <c r="M21" s="488"/>
      <c r="N21" s="488"/>
      <c r="O21" s="488"/>
      <c r="P21" s="488"/>
      <c r="Q21" s="488"/>
      <c r="R21" s="481"/>
    </row>
    <row r="22" spans="2:40" ht="18.95" customHeight="1" x14ac:dyDescent="0.2">
      <c r="B22" s="565" t="s">
        <v>533</v>
      </c>
      <c r="C22" s="479"/>
      <c r="D22" s="480"/>
      <c r="E22" s="480"/>
      <c r="F22" s="480"/>
      <c r="G22" s="480"/>
      <c r="H22" s="480"/>
      <c r="I22" s="480"/>
      <c r="J22" s="480"/>
      <c r="K22" s="480"/>
      <c r="L22" s="480"/>
      <c r="M22" s="480"/>
      <c r="N22" s="480"/>
      <c r="O22" s="480"/>
      <c r="P22" s="480"/>
      <c r="Q22" s="480"/>
      <c r="R22" s="481"/>
    </row>
    <row r="23" spans="2:40" ht="18.95" customHeight="1" x14ac:dyDescent="0.2">
      <c r="B23" s="566"/>
      <c r="L23" s="475" t="s">
        <v>534</v>
      </c>
      <c r="M23" s="568"/>
      <c r="N23" s="569"/>
      <c r="O23" s="570">
        <v>45.752500000000012</v>
      </c>
      <c r="P23" s="570"/>
      <c r="R23" s="481"/>
      <c r="AN23" s="482"/>
    </row>
    <row r="24" spans="2:40" ht="18.95" customHeight="1" thickBot="1" x14ac:dyDescent="0.25">
      <c r="B24" s="567"/>
      <c r="C24" s="487"/>
      <c r="D24" s="488"/>
      <c r="E24" s="488"/>
      <c r="F24" s="488"/>
      <c r="G24" s="488"/>
      <c r="H24" s="488"/>
      <c r="I24" s="488"/>
      <c r="J24" s="488"/>
      <c r="K24" s="488"/>
      <c r="L24" s="488"/>
      <c r="M24" s="488"/>
      <c r="N24" s="488"/>
      <c r="O24" s="488"/>
      <c r="P24" s="488"/>
      <c r="Q24" s="488"/>
      <c r="R24" s="481"/>
      <c r="AN24" s="482"/>
    </row>
    <row r="25" spans="2:40" x14ac:dyDescent="0.2">
      <c r="AN25" s="482"/>
    </row>
    <row r="26" spans="2:40" x14ac:dyDescent="0.2">
      <c r="C26" s="571" t="s">
        <v>535</v>
      </c>
      <c r="D26" s="571"/>
      <c r="E26" s="571"/>
      <c r="F26" s="571"/>
      <c r="G26" s="571"/>
      <c r="H26" s="571"/>
      <c r="I26" s="571"/>
      <c r="J26" s="571"/>
      <c r="K26" s="571"/>
      <c r="L26" s="571"/>
      <c r="M26" s="580"/>
      <c r="N26" s="581"/>
      <c r="AN26" s="482"/>
    </row>
    <row r="27" spans="2:40" x14ac:dyDescent="0.2">
      <c r="AN27" s="482"/>
    </row>
    <row r="28" spans="2:40" x14ac:dyDescent="0.2">
      <c r="E28" s="571" t="s">
        <v>536</v>
      </c>
      <c r="F28" s="571"/>
      <c r="G28" s="571"/>
      <c r="H28" s="571"/>
      <c r="I28" s="571"/>
      <c r="J28" s="571"/>
      <c r="K28" s="571"/>
      <c r="L28" s="571"/>
      <c r="M28" s="560">
        <v>365</v>
      </c>
      <c r="N28" s="560"/>
      <c r="O28" s="561">
        <v>365</v>
      </c>
      <c r="P28" s="561"/>
    </row>
    <row r="31" spans="2:40" x14ac:dyDescent="0.2">
      <c r="D31" s="115" t="s">
        <v>673</v>
      </c>
      <c r="M31" s="562"/>
      <c r="N31" s="562"/>
      <c r="O31" s="563">
        <v>323305.46600000013</v>
      </c>
      <c r="P31" s="564"/>
    </row>
    <row r="47" spans="1:1" x14ac:dyDescent="0.2">
      <c r="A47" s="325"/>
    </row>
  </sheetData>
  <mergeCells count="29">
    <mergeCell ref="J7:K7"/>
    <mergeCell ref="E9:L9"/>
    <mergeCell ref="C26:L26"/>
    <mergeCell ref="M26:N26"/>
    <mergeCell ref="B12:B14"/>
    <mergeCell ref="C13:L13"/>
    <mergeCell ref="M13:N13"/>
    <mergeCell ref="M9:N9"/>
    <mergeCell ref="O18:P18"/>
    <mergeCell ref="C19:L19"/>
    <mergeCell ref="M19:N19"/>
    <mergeCell ref="O19:P19"/>
    <mergeCell ref="B15:B21"/>
    <mergeCell ref="C16:L16"/>
    <mergeCell ref="M16:N16"/>
    <mergeCell ref="O16:P16"/>
    <mergeCell ref="C17:L17"/>
    <mergeCell ref="M17:N17"/>
    <mergeCell ref="O17:P17"/>
    <mergeCell ref="C18:L18"/>
    <mergeCell ref="M18:N18"/>
    <mergeCell ref="M28:N28"/>
    <mergeCell ref="O28:P28"/>
    <mergeCell ref="M31:N31"/>
    <mergeCell ref="O31:P31"/>
    <mergeCell ref="B22:B24"/>
    <mergeCell ref="M23:N23"/>
    <mergeCell ref="O23:P23"/>
    <mergeCell ref="E28:L28"/>
  </mergeCells>
  <pageMargins left="0.7" right="0.7" top="0.75" bottom="0.75" header="0.3" footer="0.3"/>
  <pageSetup scale="71" orientation="portrait" horizontalDpi="90" verticalDpi="9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49BA3-747A-450D-91A3-E349DA777AD8}">
  <sheetPr>
    <tabColor rgb="FFDCE6F1"/>
    <pageSetUpPr fitToPage="1"/>
  </sheetPr>
  <dimension ref="A2:AF107"/>
  <sheetViews>
    <sheetView view="pageBreakPreview" topLeftCell="A74" zoomScale="60" zoomScaleNormal="100" workbookViewId="0">
      <selection activeCell="B2" sqref="B2:AA107"/>
    </sheetView>
  </sheetViews>
  <sheetFormatPr defaultColWidth="9.140625" defaultRowHeight="12.75" x14ac:dyDescent="0.2"/>
  <cols>
    <col min="1" max="19" width="6.7109375" style="478" customWidth="1"/>
    <col min="20" max="21" width="25.28515625" style="478" customWidth="1"/>
    <col min="22" max="22" width="9.140625" style="478"/>
    <col min="23" max="26" width="6.7109375" style="478" customWidth="1"/>
    <col min="27" max="31" width="9.140625" style="478"/>
    <col min="32" max="32" width="14.7109375" style="478" customWidth="1"/>
    <col min="33" max="16384" width="9.140625" style="478"/>
  </cols>
  <sheetData>
    <row r="2" spans="1:32" ht="26.25" x14ac:dyDescent="0.4">
      <c r="B2" s="322" t="s">
        <v>515</v>
      </c>
    </row>
    <row r="3" spans="1:32" ht="18.75" x14ac:dyDescent="0.3">
      <c r="B3" s="323" t="s">
        <v>516</v>
      </c>
    </row>
    <row r="4" spans="1:32" x14ac:dyDescent="0.2">
      <c r="B4" s="478" t="s">
        <v>517</v>
      </c>
    </row>
    <row r="5" spans="1:32" ht="18.95" customHeight="1" x14ac:dyDescent="0.35">
      <c r="C5" s="324" t="s">
        <v>537</v>
      </c>
      <c r="D5" s="324"/>
      <c r="E5" s="324"/>
      <c r="F5" s="324"/>
      <c r="G5" s="324"/>
      <c r="H5" s="324"/>
      <c r="I5" s="324"/>
      <c r="J5" s="324"/>
      <c r="K5" s="324"/>
      <c r="L5" s="324"/>
    </row>
    <row r="6" spans="1:32" ht="18.95" customHeight="1" x14ac:dyDescent="0.2"/>
    <row r="7" spans="1:32" ht="18.95" customHeight="1" x14ac:dyDescent="0.2">
      <c r="C7" s="571" t="s">
        <v>538</v>
      </c>
      <c r="D7" s="571"/>
      <c r="E7" s="571"/>
      <c r="F7" s="571"/>
      <c r="G7" s="571"/>
      <c r="H7" s="571"/>
      <c r="I7" s="571"/>
      <c r="J7" s="571"/>
      <c r="K7" s="571"/>
      <c r="L7" s="571"/>
      <c r="M7" s="580">
        <v>4</v>
      </c>
      <c r="N7" s="581"/>
      <c r="W7" s="326"/>
    </row>
    <row r="8" spans="1:32" ht="18.95" customHeight="1" x14ac:dyDescent="0.2">
      <c r="A8" s="325"/>
      <c r="B8" s="571" t="s">
        <v>539</v>
      </c>
      <c r="C8" s="571"/>
      <c r="D8" s="571"/>
      <c r="E8" s="571"/>
      <c r="F8" s="571"/>
      <c r="G8" s="571"/>
      <c r="H8" s="571"/>
      <c r="I8" s="571"/>
      <c r="J8" s="571"/>
      <c r="K8" s="571"/>
      <c r="L8" s="571"/>
      <c r="M8" s="477">
        <v>2</v>
      </c>
      <c r="W8" s="326"/>
    </row>
    <row r="9" spans="1:32" ht="18.95" customHeight="1" x14ac:dyDescent="0.2">
      <c r="C9" s="474"/>
      <c r="D9" s="474"/>
      <c r="E9" s="474"/>
      <c r="F9" s="474"/>
      <c r="G9" s="474"/>
      <c r="H9" s="474"/>
      <c r="I9" s="474"/>
      <c r="J9" s="474"/>
      <c r="K9" s="474"/>
      <c r="L9" s="474"/>
      <c r="W9" s="326"/>
    </row>
    <row r="10" spans="1:32" ht="18.95" customHeight="1" thickBot="1" x14ac:dyDescent="0.25">
      <c r="B10" s="326" t="s">
        <v>520</v>
      </c>
    </row>
    <row r="11" spans="1:32" ht="18.95" customHeight="1" thickBot="1" x14ac:dyDescent="0.4">
      <c r="C11" s="474"/>
      <c r="D11" s="474"/>
      <c r="E11" s="474"/>
      <c r="F11" s="474"/>
      <c r="G11" s="474"/>
      <c r="H11" s="474"/>
      <c r="I11" s="474"/>
      <c r="J11" s="474"/>
      <c r="K11" s="474"/>
      <c r="L11" s="474"/>
      <c r="AC11" s="633" t="s">
        <v>521</v>
      </c>
      <c r="AD11" s="634"/>
      <c r="AE11" s="634"/>
      <c r="AF11" s="635"/>
    </row>
    <row r="12" spans="1:32" ht="18.95" customHeight="1" thickBot="1" x14ac:dyDescent="0.35">
      <c r="B12" s="595" t="s">
        <v>540</v>
      </c>
      <c r="C12" s="598"/>
      <c r="D12" s="599"/>
      <c r="E12" s="599"/>
      <c r="F12" s="599"/>
      <c r="G12" s="599"/>
      <c r="H12" s="599"/>
      <c r="I12" s="599"/>
      <c r="J12" s="599"/>
      <c r="K12" s="599"/>
      <c r="L12" s="599"/>
      <c r="M12" s="599"/>
      <c r="N12" s="599"/>
      <c r="O12" s="599"/>
      <c r="P12" s="599"/>
      <c r="Q12" s="599"/>
      <c r="R12" s="599"/>
      <c r="S12" s="599"/>
      <c r="T12" s="599"/>
      <c r="U12" s="599"/>
      <c r="V12" s="599"/>
      <c r="W12" s="599"/>
      <c r="X12" s="480"/>
      <c r="Y12" s="480"/>
      <c r="Z12" s="480"/>
      <c r="AA12" s="336"/>
      <c r="AB12" s="481"/>
      <c r="AC12" s="321" t="s">
        <v>523</v>
      </c>
      <c r="AD12" s="636" t="s">
        <v>524</v>
      </c>
      <c r="AE12" s="636"/>
      <c r="AF12" s="321" t="s">
        <v>525</v>
      </c>
    </row>
    <row r="13" spans="1:32" ht="18.95" customHeight="1" x14ac:dyDescent="0.2">
      <c r="B13" s="596"/>
      <c r="C13" s="574" t="s">
        <v>541</v>
      </c>
      <c r="D13" s="571">
        <v>3</v>
      </c>
      <c r="E13" s="571"/>
      <c r="F13" s="571"/>
      <c r="G13" s="571"/>
      <c r="H13" s="571"/>
      <c r="I13" s="571"/>
      <c r="J13" s="571"/>
      <c r="K13" s="571"/>
      <c r="L13" s="571"/>
      <c r="M13" s="580">
        <v>2</v>
      </c>
      <c r="N13" s="581"/>
      <c r="O13" s="581"/>
      <c r="P13" s="581"/>
      <c r="Q13" s="581"/>
      <c r="R13" s="581"/>
      <c r="S13" s="581"/>
      <c r="T13" s="581"/>
      <c r="U13" s="581"/>
      <c r="V13" s="581"/>
      <c r="W13" s="581"/>
      <c r="AB13" s="481"/>
      <c r="AC13" s="328"/>
      <c r="AD13" s="637"/>
      <c r="AE13" s="637"/>
      <c r="AF13" s="329"/>
    </row>
    <row r="14" spans="1:32" ht="18.95" customHeight="1" x14ac:dyDescent="0.2">
      <c r="B14" s="596"/>
      <c r="C14" s="588"/>
      <c r="D14" s="581"/>
      <c r="E14" s="581"/>
      <c r="F14" s="581"/>
      <c r="G14" s="581"/>
      <c r="H14" s="581"/>
      <c r="I14" s="581"/>
      <c r="J14" s="581"/>
      <c r="K14" s="581"/>
      <c r="L14" s="581"/>
      <c r="M14" s="581"/>
      <c r="N14" s="581"/>
      <c r="O14" s="581"/>
      <c r="P14" s="581"/>
      <c r="Q14" s="581"/>
      <c r="R14" s="581"/>
      <c r="S14" s="581"/>
      <c r="T14" s="581"/>
      <c r="U14" s="581"/>
      <c r="V14" s="581"/>
      <c r="W14" s="581"/>
      <c r="AB14" s="481"/>
      <c r="AC14" s="330"/>
      <c r="AD14" s="613"/>
      <c r="AE14" s="613"/>
      <c r="AF14" s="331"/>
    </row>
    <row r="15" spans="1:32" ht="18.95" customHeight="1" x14ac:dyDescent="0.2">
      <c r="B15" s="596"/>
      <c r="C15" s="574" t="s">
        <v>542</v>
      </c>
      <c r="D15" s="571"/>
      <c r="E15" s="571"/>
      <c r="F15" s="571"/>
      <c r="G15" s="571"/>
      <c r="H15" s="571"/>
      <c r="I15" s="571"/>
      <c r="J15" s="571"/>
      <c r="K15" s="571"/>
      <c r="L15" s="571"/>
      <c r="M15" s="580">
        <v>5.9279999999999999</v>
      </c>
      <c r="N15" s="581"/>
      <c r="O15" s="581"/>
      <c r="P15" s="581"/>
      <c r="Q15" s="618" t="s">
        <v>543</v>
      </c>
      <c r="R15" s="618"/>
      <c r="U15" s="618" t="s">
        <v>544</v>
      </c>
      <c r="V15" s="618"/>
      <c r="AB15" s="481"/>
      <c r="AC15" s="330"/>
      <c r="AD15" s="613"/>
      <c r="AE15" s="613"/>
      <c r="AF15" s="331"/>
    </row>
    <row r="16" spans="1:32" ht="18.95" customHeight="1" x14ac:dyDescent="0.2">
      <c r="B16" s="596"/>
      <c r="C16" s="574" t="s">
        <v>545</v>
      </c>
      <c r="D16" s="571"/>
      <c r="E16" s="571"/>
      <c r="F16" s="571"/>
      <c r="G16" s="571"/>
      <c r="H16" s="571"/>
      <c r="I16" s="571"/>
      <c r="J16" s="571"/>
      <c r="K16" s="571"/>
      <c r="L16" s="571"/>
      <c r="M16" s="580">
        <v>10</v>
      </c>
      <c r="N16" s="581"/>
      <c r="O16" s="581"/>
      <c r="P16" s="581"/>
      <c r="Q16" s="638"/>
      <c r="R16" s="618"/>
      <c r="S16" s="624" t="s">
        <v>546</v>
      </c>
      <c r="T16" s="581"/>
      <c r="U16" s="618"/>
      <c r="V16" s="618"/>
      <c r="W16" s="581" t="s">
        <v>547</v>
      </c>
      <c r="X16" s="581"/>
      <c r="Y16" s="581" t="s">
        <v>548</v>
      </c>
      <c r="Z16" s="581"/>
      <c r="AB16" s="481"/>
      <c r="AC16" s="330"/>
      <c r="AD16" s="613"/>
      <c r="AE16" s="613"/>
      <c r="AF16" s="331"/>
    </row>
    <row r="17" spans="2:32" ht="18.95" customHeight="1" x14ac:dyDescent="0.2">
      <c r="B17" s="596"/>
      <c r="C17" s="574" t="s">
        <v>549</v>
      </c>
      <c r="D17" s="571"/>
      <c r="E17" s="571"/>
      <c r="F17" s="571"/>
      <c r="G17" s="571"/>
      <c r="H17" s="571"/>
      <c r="I17" s="571"/>
      <c r="J17" s="571"/>
      <c r="K17" s="571"/>
      <c r="L17" s="571"/>
      <c r="M17" s="580"/>
      <c r="N17" s="581"/>
      <c r="O17" s="585">
        <v>88000</v>
      </c>
      <c r="P17" s="581"/>
      <c r="Q17" s="623"/>
      <c r="R17" s="571"/>
      <c r="S17" s="624">
        <v>88000</v>
      </c>
      <c r="T17" s="581"/>
      <c r="U17" s="631"/>
      <c r="V17" s="632"/>
      <c r="W17" s="624">
        <v>96800.000000000015</v>
      </c>
      <c r="X17" s="581"/>
      <c r="Y17" s="624">
        <v>8800.0000000000146</v>
      </c>
      <c r="Z17" s="581"/>
      <c r="AB17" s="481"/>
      <c r="AC17" s="330"/>
      <c r="AD17" s="613"/>
      <c r="AE17" s="613"/>
      <c r="AF17" s="331"/>
    </row>
    <row r="18" spans="2:32" ht="18.95" customHeight="1" x14ac:dyDescent="0.2">
      <c r="B18" s="596"/>
      <c r="C18" s="588"/>
      <c r="D18" s="581"/>
      <c r="E18" s="581"/>
      <c r="F18" s="581"/>
      <c r="G18" s="581"/>
      <c r="H18" s="581"/>
      <c r="I18" s="581"/>
      <c r="J18" s="581"/>
      <c r="K18" s="581"/>
      <c r="L18" s="581"/>
      <c r="M18" s="581"/>
      <c r="N18" s="581"/>
      <c r="O18" s="581"/>
      <c r="P18" s="581"/>
      <c r="Q18" s="581"/>
      <c r="R18" s="581"/>
      <c r="S18" s="581"/>
      <c r="T18" s="581"/>
      <c r="U18" s="581"/>
      <c r="V18" s="581"/>
      <c r="W18" s="581"/>
      <c r="AA18" s="327"/>
      <c r="AB18" s="481"/>
      <c r="AC18" s="332"/>
      <c r="AD18" s="613"/>
      <c r="AE18" s="613"/>
      <c r="AF18" s="331"/>
    </row>
    <row r="19" spans="2:32" ht="18.95" customHeight="1" x14ac:dyDescent="0.2">
      <c r="B19" s="596"/>
      <c r="C19" s="574" t="s">
        <v>550</v>
      </c>
      <c r="D19" s="571"/>
      <c r="E19" s="571"/>
      <c r="F19" s="571"/>
      <c r="G19" s="571"/>
      <c r="H19" s="571"/>
      <c r="I19" s="571"/>
      <c r="J19" s="571"/>
      <c r="K19" s="571"/>
      <c r="L19" s="571"/>
      <c r="M19" s="580">
        <v>55</v>
      </c>
      <c r="N19" s="581"/>
      <c r="O19" s="585">
        <v>55</v>
      </c>
      <c r="P19" s="581"/>
      <c r="Q19" s="581"/>
      <c r="R19" s="581"/>
      <c r="S19" s="581"/>
      <c r="T19" s="581"/>
      <c r="U19" s="581"/>
      <c r="V19" s="581"/>
      <c r="W19" s="581"/>
      <c r="AA19" s="327"/>
      <c r="AB19" s="481"/>
      <c r="AC19" s="332" t="s">
        <v>532</v>
      </c>
      <c r="AD19" s="613"/>
      <c r="AE19" s="613"/>
      <c r="AF19" s="331"/>
    </row>
    <row r="20" spans="2:32" ht="18.95" customHeight="1" x14ac:dyDescent="0.2">
      <c r="B20" s="596"/>
      <c r="C20" s="475"/>
      <c r="D20" s="474"/>
      <c r="E20" s="474"/>
      <c r="F20" s="474"/>
      <c r="G20" s="474"/>
      <c r="H20" s="474"/>
      <c r="I20" s="474"/>
      <c r="J20" s="474"/>
      <c r="K20" s="474"/>
      <c r="L20" s="474"/>
      <c r="M20" s="474"/>
      <c r="N20" s="474"/>
      <c r="O20" s="474"/>
      <c r="P20" s="474"/>
      <c r="Q20" s="474"/>
      <c r="R20" s="474"/>
      <c r="S20" s="474"/>
      <c r="T20" s="474"/>
      <c r="U20" s="474"/>
      <c r="V20" s="474"/>
      <c r="W20" s="474"/>
      <c r="AA20" s="327"/>
      <c r="AB20" s="481"/>
      <c r="AC20" s="332"/>
      <c r="AD20" s="613"/>
      <c r="AE20" s="613"/>
      <c r="AF20" s="331"/>
    </row>
    <row r="21" spans="2:32" ht="18.95" customHeight="1" x14ac:dyDescent="0.2">
      <c r="B21" s="596"/>
      <c r="C21" s="574" t="s">
        <v>551</v>
      </c>
      <c r="D21" s="571">
        <v>3</v>
      </c>
      <c r="E21" s="571"/>
      <c r="F21" s="571"/>
      <c r="G21" s="571"/>
      <c r="H21" s="571"/>
      <c r="I21" s="571"/>
      <c r="J21" s="571"/>
      <c r="K21" s="571"/>
      <c r="L21" s="571"/>
      <c r="M21" s="581" t="s">
        <v>552</v>
      </c>
      <c r="N21" s="581"/>
      <c r="O21" s="581"/>
      <c r="P21" s="581"/>
      <c r="Q21" s="581"/>
      <c r="R21" s="581"/>
      <c r="S21" s="581"/>
      <c r="T21" s="581"/>
      <c r="U21" s="581"/>
      <c r="V21" s="581"/>
      <c r="W21" s="581"/>
      <c r="AA21" s="327"/>
      <c r="AB21" s="481"/>
      <c r="AC21" s="332"/>
      <c r="AD21" s="613"/>
      <c r="AE21" s="613"/>
      <c r="AF21" s="331"/>
    </row>
    <row r="22" spans="2:32" ht="18.95" customHeight="1" x14ac:dyDescent="0.2">
      <c r="B22" s="596"/>
      <c r="C22" s="475"/>
      <c r="D22" s="474"/>
      <c r="E22" s="474"/>
      <c r="F22" s="474"/>
      <c r="G22" s="474"/>
      <c r="H22" s="474"/>
      <c r="I22" s="474"/>
      <c r="J22" s="474"/>
      <c r="K22" s="474"/>
      <c r="L22" s="474"/>
      <c r="M22" s="474"/>
      <c r="N22" s="474"/>
      <c r="O22" s="474"/>
      <c r="P22" s="474"/>
      <c r="Q22" s="474"/>
      <c r="R22" s="474"/>
      <c r="S22" s="474"/>
      <c r="T22" s="474"/>
      <c r="U22" s="474"/>
      <c r="V22" s="474"/>
      <c r="W22" s="474"/>
      <c r="AA22" s="327"/>
      <c r="AB22" s="481"/>
      <c r="AC22" s="332"/>
      <c r="AD22" s="613"/>
      <c r="AE22" s="613"/>
      <c r="AF22" s="331"/>
    </row>
    <row r="23" spans="2:32" ht="18.95" customHeight="1" x14ac:dyDescent="0.2">
      <c r="B23" s="596"/>
      <c r="C23" s="475"/>
      <c r="D23" s="474"/>
      <c r="E23" s="474"/>
      <c r="F23" s="474"/>
      <c r="G23" s="474"/>
      <c r="H23" s="474"/>
      <c r="I23" s="474"/>
      <c r="J23" s="474"/>
      <c r="K23" s="474"/>
      <c r="L23" s="474" t="s">
        <v>553</v>
      </c>
      <c r="M23" s="560">
        <v>3</v>
      </c>
      <c r="N23" s="571"/>
      <c r="O23" s="474"/>
      <c r="P23" s="474"/>
      <c r="Q23" s="474"/>
      <c r="R23" s="474"/>
      <c r="S23" s="474"/>
      <c r="T23" s="474"/>
      <c r="U23" s="474"/>
      <c r="V23" s="474"/>
      <c r="W23" s="474"/>
      <c r="AA23" s="327"/>
      <c r="AB23" s="481"/>
      <c r="AC23" s="332"/>
      <c r="AD23" s="613"/>
      <c r="AE23" s="613"/>
      <c r="AF23" s="331"/>
    </row>
    <row r="24" spans="2:32" ht="18.95" customHeight="1" x14ac:dyDescent="0.2">
      <c r="B24" s="596"/>
      <c r="C24" s="574" t="s">
        <v>554</v>
      </c>
      <c r="D24" s="571"/>
      <c r="E24" s="571"/>
      <c r="F24" s="571"/>
      <c r="G24" s="571"/>
      <c r="H24" s="571"/>
      <c r="I24" s="571"/>
      <c r="J24" s="571"/>
      <c r="K24" s="571"/>
      <c r="L24" s="571"/>
      <c r="M24" s="580">
        <v>2</v>
      </c>
      <c r="N24" s="581"/>
      <c r="O24" s="581"/>
      <c r="P24" s="581"/>
      <c r="Q24" s="618" t="s">
        <v>543</v>
      </c>
      <c r="R24" s="618"/>
      <c r="U24" s="618" t="s">
        <v>544</v>
      </c>
      <c r="V24" s="618"/>
      <c r="AA24" s="327"/>
      <c r="AB24" s="481"/>
      <c r="AC24" s="332"/>
      <c r="AD24" s="613"/>
      <c r="AE24" s="613"/>
      <c r="AF24" s="331"/>
    </row>
    <row r="25" spans="2:32" ht="18.95" customHeight="1" x14ac:dyDescent="0.2">
      <c r="B25" s="596"/>
      <c r="C25" s="574" t="s">
        <v>555</v>
      </c>
      <c r="D25" s="571"/>
      <c r="E25" s="571"/>
      <c r="F25" s="571"/>
      <c r="G25" s="571"/>
      <c r="H25" s="571"/>
      <c r="I25" s="571"/>
      <c r="J25" s="571"/>
      <c r="K25" s="571"/>
      <c r="L25" s="571"/>
      <c r="M25" s="580">
        <v>1</v>
      </c>
      <c r="N25" s="581"/>
      <c r="O25" s="581"/>
      <c r="P25" s="581"/>
      <c r="Q25" s="618"/>
      <c r="R25" s="618"/>
      <c r="S25" s="581" t="s">
        <v>546</v>
      </c>
      <c r="T25" s="581"/>
      <c r="U25" s="618"/>
      <c r="V25" s="618"/>
      <c r="W25" s="581" t="s">
        <v>547</v>
      </c>
      <c r="X25" s="581"/>
      <c r="Y25" s="581" t="s">
        <v>548</v>
      </c>
      <c r="Z25" s="581"/>
      <c r="AA25" s="327"/>
      <c r="AB25" s="481"/>
      <c r="AC25" s="332"/>
      <c r="AD25" s="613"/>
      <c r="AE25" s="613"/>
      <c r="AF25" s="331"/>
    </row>
    <row r="26" spans="2:32" ht="18.95" customHeight="1" x14ac:dyDescent="0.2">
      <c r="B26" s="596"/>
      <c r="C26" s="574" t="s">
        <v>556</v>
      </c>
      <c r="D26" s="571"/>
      <c r="E26" s="571"/>
      <c r="F26" s="571"/>
      <c r="G26" s="571"/>
      <c r="H26" s="571"/>
      <c r="I26" s="571"/>
      <c r="J26" s="571"/>
      <c r="K26" s="571"/>
      <c r="L26" s="571"/>
      <c r="M26" s="580"/>
      <c r="N26" s="581"/>
      <c r="O26" s="585">
        <v>6400</v>
      </c>
      <c r="P26" s="581"/>
      <c r="Q26" s="623"/>
      <c r="R26" s="571"/>
      <c r="S26" s="624">
        <v>6400</v>
      </c>
      <c r="T26" s="581"/>
      <c r="U26" s="631"/>
      <c r="V26" s="632"/>
      <c r="W26" s="624">
        <v>4160</v>
      </c>
      <c r="X26" s="581"/>
      <c r="Y26" s="624">
        <v>-2240</v>
      </c>
      <c r="Z26" s="581"/>
      <c r="AA26" s="327"/>
      <c r="AB26" s="481"/>
      <c r="AC26" s="332"/>
      <c r="AD26" s="613"/>
      <c r="AE26" s="613"/>
      <c r="AF26" s="331"/>
    </row>
    <row r="27" spans="2:32" ht="18.95" customHeight="1" x14ac:dyDescent="0.2">
      <c r="B27" s="596"/>
      <c r="C27" s="588"/>
      <c r="D27" s="581"/>
      <c r="E27" s="581"/>
      <c r="F27" s="581"/>
      <c r="G27" s="581"/>
      <c r="H27" s="581"/>
      <c r="I27" s="581"/>
      <c r="J27" s="581"/>
      <c r="K27" s="581"/>
      <c r="L27" s="581"/>
      <c r="M27" s="581"/>
      <c r="N27" s="581"/>
      <c r="O27" s="581"/>
      <c r="P27" s="581"/>
      <c r="Q27" s="581"/>
      <c r="R27" s="581"/>
      <c r="S27" s="581"/>
      <c r="T27" s="581"/>
      <c r="U27" s="581"/>
      <c r="V27" s="581"/>
      <c r="W27" s="581"/>
      <c r="AA27" s="327"/>
      <c r="AB27" s="481"/>
      <c r="AC27" s="332"/>
      <c r="AD27" s="613"/>
      <c r="AE27" s="613"/>
      <c r="AF27" s="331"/>
    </row>
    <row r="28" spans="2:32" ht="18.95" customHeight="1" x14ac:dyDescent="0.2">
      <c r="B28" s="596"/>
      <c r="C28" s="574" t="s">
        <v>557</v>
      </c>
      <c r="D28" s="571"/>
      <c r="E28" s="571"/>
      <c r="F28" s="571"/>
      <c r="G28" s="571"/>
      <c r="H28" s="571"/>
      <c r="I28" s="571"/>
      <c r="J28" s="571"/>
      <c r="K28" s="571"/>
      <c r="L28" s="571"/>
      <c r="M28" s="580">
        <v>35</v>
      </c>
      <c r="N28" s="581"/>
      <c r="O28" s="585">
        <v>35</v>
      </c>
      <c r="P28" s="581"/>
      <c r="Q28" s="581"/>
      <c r="R28" s="581"/>
      <c r="S28" s="581"/>
      <c r="T28" s="581"/>
      <c r="U28" s="581"/>
      <c r="V28" s="581"/>
      <c r="W28" s="581"/>
      <c r="AA28" s="327"/>
      <c r="AB28" s="481"/>
      <c r="AC28" s="332"/>
      <c r="AD28" s="613"/>
      <c r="AE28" s="613"/>
      <c r="AF28" s="331"/>
    </row>
    <row r="29" spans="2:32" ht="18.95" customHeight="1" thickBot="1" x14ac:dyDescent="0.25">
      <c r="B29" s="597"/>
      <c r="C29" s="588"/>
      <c r="D29" s="581"/>
      <c r="E29" s="581"/>
      <c r="F29" s="581"/>
      <c r="G29" s="581"/>
      <c r="H29" s="581"/>
      <c r="I29" s="581"/>
      <c r="J29" s="581"/>
      <c r="K29" s="581"/>
      <c r="L29" s="581"/>
      <c r="M29" s="581"/>
      <c r="N29" s="581"/>
      <c r="O29" s="581"/>
      <c r="P29" s="581"/>
      <c r="Q29" s="581"/>
      <c r="R29" s="581"/>
      <c r="S29" s="581"/>
      <c r="T29" s="581"/>
      <c r="U29" s="581"/>
      <c r="V29" s="581"/>
      <c r="W29" s="581"/>
      <c r="X29" s="488"/>
      <c r="Y29" s="488"/>
      <c r="Z29" s="488"/>
      <c r="AA29" s="337"/>
      <c r="AB29" s="481"/>
      <c r="AC29" s="332"/>
      <c r="AD29" s="613"/>
      <c r="AE29" s="613"/>
      <c r="AF29" s="331"/>
    </row>
    <row r="30" spans="2:32" ht="18.95" customHeight="1" x14ac:dyDescent="0.2">
      <c r="B30" s="595" t="s">
        <v>522</v>
      </c>
      <c r="C30" s="629"/>
      <c r="D30" s="630"/>
      <c r="E30" s="630"/>
      <c r="F30" s="630"/>
      <c r="G30" s="630"/>
      <c r="H30" s="630"/>
      <c r="I30" s="630"/>
      <c r="J30" s="630"/>
      <c r="K30" s="630"/>
      <c r="L30" s="630"/>
      <c r="M30" s="630"/>
      <c r="N30" s="630"/>
      <c r="O30" s="630"/>
      <c r="P30" s="630"/>
      <c r="Q30" s="630"/>
      <c r="R30" s="630"/>
      <c r="S30" s="630"/>
      <c r="T30" s="630"/>
      <c r="U30" s="630"/>
      <c r="V30" s="630"/>
      <c r="W30" s="480"/>
      <c r="AA30" s="327"/>
      <c r="AB30" s="481"/>
      <c r="AC30" s="332"/>
      <c r="AD30" s="613"/>
      <c r="AE30" s="613"/>
      <c r="AF30" s="331"/>
    </row>
    <row r="31" spans="2:32" ht="18.95" customHeight="1" x14ac:dyDescent="0.2">
      <c r="B31" s="596"/>
      <c r="C31" s="574" t="s">
        <v>558</v>
      </c>
      <c r="D31" s="571"/>
      <c r="E31" s="571"/>
      <c r="F31" s="571"/>
      <c r="G31" s="571"/>
      <c r="H31" s="571"/>
      <c r="I31" s="571"/>
      <c r="J31" s="571"/>
      <c r="K31" s="571"/>
      <c r="L31" s="571"/>
      <c r="M31" s="580">
        <v>36602</v>
      </c>
      <c r="N31" s="581"/>
      <c r="Q31" s="618" t="s">
        <v>543</v>
      </c>
      <c r="R31" s="618"/>
      <c r="U31" s="618" t="s">
        <v>544</v>
      </c>
      <c r="V31" s="618"/>
      <c r="AA31" s="327"/>
      <c r="AB31" s="481"/>
      <c r="AC31" s="332"/>
      <c r="AD31" s="613"/>
      <c r="AE31" s="613"/>
      <c r="AF31" s="331"/>
    </row>
    <row r="32" spans="2:32" ht="18.95" customHeight="1" x14ac:dyDescent="0.2">
      <c r="B32" s="596"/>
      <c r="C32" s="574"/>
      <c r="D32" s="571"/>
      <c r="E32" s="571"/>
      <c r="F32" s="571"/>
      <c r="G32" s="571"/>
      <c r="H32" s="571"/>
      <c r="I32" s="571"/>
      <c r="J32" s="571"/>
      <c r="K32" s="571"/>
      <c r="L32" s="571"/>
      <c r="M32" s="571"/>
      <c r="N32" s="571"/>
      <c r="O32" s="571"/>
      <c r="P32" s="571"/>
      <c r="Q32" s="618"/>
      <c r="R32" s="618"/>
      <c r="S32" s="581" t="s">
        <v>546</v>
      </c>
      <c r="T32" s="581"/>
      <c r="U32" s="618"/>
      <c r="V32" s="618"/>
      <c r="W32" s="581" t="s">
        <v>547</v>
      </c>
      <c r="X32" s="581"/>
      <c r="Y32" s="581" t="s">
        <v>548</v>
      </c>
      <c r="Z32" s="581"/>
      <c r="AA32" s="327"/>
      <c r="AB32" s="481"/>
      <c r="AC32" s="332"/>
      <c r="AD32" s="613"/>
      <c r="AE32" s="613"/>
      <c r="AF32" s="331"/>
    </row>
    <row r="33" spans="1:32" ht="18.95" customHeight="1" x14ac:dyDescent="0.2">
      <c r="B33" s="596"/>
      <c r="C33" s="574" t="s">
        <v>559</v>
      </c>
      <c r="D33" s="571"/>
      <c r="E33" s="571"/>
      <c r="F33" s="571"/>
      <c r="G33" s="571"/>
      <c r="H33" s="571"/>
      <c r="I33" s="571"/>
      <c r="J33" s="571"/>
      <c r="K33" s="571"/>
      <c r="L33" s="571"/>
      <c r="M33" s="571"/>
      <c r="N33" s="571"/>
      <c r="O33" s="571"/>
      <c r="P33" s="571"/>
      <c r="Q33" s="616"/>
      <c r="R33" s="617"/>
      <c r="S33" s="614">
        <v>54.826283598407798</v>
      </c>
      <c r="T33" s="615"/>
      <c r="U33" s="616"/>
      <c r="V33" s="617"/>
      <c r="W33" s="614">
        <v>54.878246361135965</v>
      </c>
      <c r="X33" s="615"/>
      <c r="Y33" s="614">
        <v>5.1962762728166467E-2</v>
      </c>
      <c r="Z33" s="615"/>
      <c r="AA33" s="327"/>
      <c r="AB33" s="481"/>
      <c r="AC33" s="332"/>
      <c r="AD33" s="613"/>
      <c r="AE33" s="613"/>
      <c r="AF33" s="331"/>
    </row>
    <row r="34" spans="1:32" ht="18.95" customHeight="1" x14ac:dyDescent="0.2">
      <c r="B34" s="596"/>
      <c r="C34" s="574" t="s">
        <v>560</v>
      </c>
      <c r="D34" s="571"/>
      <c r="E34" s="571"/>
      <c r="F34" s="571"/>
      <c r="G34" s="571"/>
      <c r="H34" s="571"/>
      <c r="I34" s="571"/>
      <c r="J34" s="571"/>
      <c r="K34" s="571"/>
      <c r="L34" s="571"/>
      <c r="M34" s="571"/>
      <c r="N34" s="571"/>
      <c r="O34" s="571"/>
      <c r="P34" s="571"/>
      <c r="Q34" s="604"/>
      <c r="R34" s="605"/>
      <c r="S34" s="606">
        <v>216976.65599999999</v>
      </c>
      <c r="T34" s="607"/>
      <c r="U34" s="604"/>
      <c r="V34" s="605"/>
      <c r="W34" s="606">
        <v>216976.65599999999</v>
      </c>
      <c r="X34" s="607"/>
      <c r="Y34" s="606">
        <v>0</v>
      </c>
      <c r="Z34" s="607"/>
      <c r="AA34" s="327"/>
      <c r="AB34" s="481"/>
      <c r="AC34" s="332"/>
      <c r="AD34" s="613"/>
      <c r="AE34" s="613"/>
      <c r="AF34" s="331"/>
    </row>
    <row r="35" spans="1:32" ht="18.95" customHeight="1" x14ac:dyDescent="0.2">
      <c r="B35" s="596"/>
      <c r="C35" s="574" t="s">
        <v>561</v>
      </c>
      <c r="D35" s="571"/>
      <c r="E35" s="571"/>
      <c r="F35" s="571"/>
      <c r="G35" s="571"/>
      <c r="H35" s="571"/>
      <c r="I35" s="571"/>
      <c r="J35" s="571"/>
      <c r="K35" s="571"/>
      <c r="L35" s="571"/>
      <c r="M35" s="571"/>
      <c r="N35" s="571"/>
      <c r="O35" s="571"/>
      <c r="P35" s="571"/>
      <c r="Q35" s="604">
        <v>0.56820000000000004</v>
      </c>
      <c r="R35" s="605"/>
      <c r="S35" s="606">
        <v>0.41593181818181818</v>
      </c>
      <c r="T35" s="606"/>
      <c r="U35" s="604"/>
      <c r="V35" s="605"/>
      <c r="W35" s="606">
        <v>0.37811983471074373</v>
      </c>
      <c r="X35" s="606"/>
      <c r="Y35" s="606">
        <v>-0.19008016528925631</v>
      </c>
      <c r="Z35" s="606"/>
      <c r="AA35" s="327"/>
      <c r="AB35" s="481"/>
      <c r="AC35" s="332"/>
      <c r="AD35" s="613"/>
      <c r="AE35" s="613"/>
      <c r="AF35" s="331"/>
    </row>
    <row r="36" spans="1:32" ht="18.95" customHeight="1" x14ac:dyDescent="0.25">
      <c r="B36" s="596"/>
      <c r="C36" s="574" t="s">
        <v>562</v>
      </c>
      <c r="D36" s="571"/>
      <c r="E36" s="571"/>
      <c r="F36" s="571"/>
      <c r="G36" s="571"/>
      <c r="H36" s="571"/>
      <c r="I36" s="571"/>
      <c r="J36" s="571"/>
      <c r="K36" s="571"/>
      <c r="L36" s="571"/>
      <c r="M36" s="571"/>
      <c r="N36" s="571"/>
      <c r="O36" s="571"/>
      <c r="P36" s="571"/>
      <c r="Q36" s="626"/>
      <c r="R36" s="626"/>
      <c r="S36" s="625">
        <v>1.0031684876338627</v>
      </c>
      <c r="T36" s="625"/>
      <c r="U36" s="626"/>
      <c r="V36" s="626"/>
      <c r="W36" s="628">
        <v>1.0022186138759392</v>
      </c>
      <c r="X36" s="628"/>
      <c r="Y36" s="625">
        <v>-9.498737579234362E-4</v>
      </c>
      <c r="Z36" s="625"/>
      <c r="AA36" s="327"/>
      <c r="AB36" s="481"/>
      <c r="AC36" s="332"/>
      <c r="AD36" s="613"/>
      <c r="AE36" s="613"/>
      <c r="AF36" s="331"/>
    </row>
    <row r="37" spans="1:32" ht="18.95" customHeight="1" x14ac:dyDescent="0.25">
      <c r="B37" s="596"/>
      <c r="C37" s="574" t="s">
        <v>563</v>
      </c>
      <c r="D37" s="571"/>
      <c r="E37" s="571"/>
      <c r="F37" s="571"/>
      <c r="G37" s="571"/>
      <c r="H37" s="571"/>
      <c r="I37" s="571"/>
      <c r="J37" s="571"/>
      <c r="K37" s="571"/>
      <c r="L37" s="571"/>
      <c r="M37" s="571"/>
      <c r="N37" s="571"/>
      <c r="O37" s="571"/>
      <c r="P37" s="571"/>
      <c r="Q37" s="626"/>
      <c r="R37" s="626"/>
      <c r="S37" s="625">
        <v>0.97271113338082571</v>
      </c>
      <c r="T37" s="625"/>
      <c r="U37" s="626"/>
      <c r="V37" s="626"/>
      <c r="W37" s="628">
        <v>0.9719890995299949</v>
      </c>
      <c r="X37" s="628"/>
      <c r="Y37" s="625">
        <v>-35</v>
      </c>
      <c r="Z37" s="625"/>
      <c r="AA37" s="327"/>
      <c r="AB37" s="481"/>
      <c r="AC37" s="332"/>
      <c r="AD37" s="476"/>
      <c r="AE37" s="476"/>
      <c r="AF37" s="331"/>
    </row>
    <row r="38" spans="1:32" ht="18.95" customHeight="1" x14ac:dyDescent="0.25">
      <c r="B38" s="596"/>
      <c r="C38" s="574" t="s">
        <v>564</v>
      </c>
      <c r="D38" s="571"/>
      <c r="E38" s="571"/>
      <c r="F38" s="571"/>
      <c r="G38" s="571"/>
      <c r="H38" s="571"/>
      <c r="I38" s="571"/>
      <c r="J38" s="571"/>
      <c r="K38" s="571"/>
      <c r="L38" s="571"/>
      <c r="M38" s="571"/>
      <c r="N38" s="571"/>
      <c r="O38" s="571"/>
      <c r="P38" s="571"/>
      <c r="Q38" s="626"/>
      <c r="R38" s="626"/>
      <c r="S38" s="625">
        <v>0.95209344094274018</v>
      </c>
      <c r="T38" s="625"/>
      <c r="U38" s="626"/>
      <c r="V38" s="626"/>
      <c r="W38" s="628">
        <v>0.95111457656669318</v>
      </c>
      <c r="X38" s="628"/>
      <c r="Y38" s="625">
        <v>-35</v>
      </c>
      <c r="Z38" s="625"/>
      <c r="AA38" s="327"/>
      <c r="AB38" s="481"/>
      <c r="AC38" s="332"/>
      <c r="AD38" s="613"/>
      <c r="AE38" s="613"/>
      <c r="AF38" s="331"/>
    </row>
    <row r="39" spans="1:32" ht="18.95" customHeight="1" x14ac:dyDescent="0.25">
      <c r="B39" s="596"/>
      <c r="C39" s="574" t="s">
        <v>565</v>
      </c>
      <c r="D39" s="571"/>
      <c r="E39" s="571"/>
      <c r="F39" s="571"/>
      <c r="G39" s="571"/>
      <c r="H39" s="571"/>
      <c r="I39" s="571"/>
      <c r="J39" s="571"/>
      <c r="K39" s="571"/>
      <c r="L39" s="571"/>
      <c r="M39" s="571"/>
      <c r="N39" s="571"/>
      <c r="O39" s="571"/>
      <c r="P39" s="571"/>
      <c r="Q39" s="626"/>
      <c r="R39" s="626"/>
      <c r="S39" s="625">
        <v>0.89845798741690674</v>
      </c>
      <c r="T39" s="625"/>
      <c r="U39" s="626"/>
      <c r="V39" s="626"/>
      <c r="W39" s="628">
        <v>0.89573277115018701</v>
      </c>
      <c r="X39" s="628"/>
      <c r="Y39" s="625">
        <v>0</v>
      </c>
      <c r="Z39" s="625"/>
      <c r="AA39" s="327"/>
      <c r="AB39" s="481"/>
      <c r="AC39" s="332"/>
      <c r="AD39" s="613"/>
      <c r="AE39" s="613"/>
      <c r="AF39" s="331"/>
    </row>
    <row r="40" spans="1:32" ht="18.95" customHeight="1" x14ac:dyDescent="0.25">
      <c r="B40" s="596"/>
      <c r="C40" s="574" t="s">
        <v>566</v>
      </c>
      <c r="D40" s="571"/>
      <c r="E40" s="571"/>
      <c r="F40" s="571"/>
      <c r="G40" s="571"/>
      <c r="H40" s="571"/>
      <c r="I40" s="571"/>
      <c r="J40" s="571"/>
      <c r="K40" s="571"/>
      <c r="L40" s="571"/>
      <c r="M40" s="571"/>
      <c r="N40" s="571"/>
      <c r="O40" s="571"/>
      <c r="P40" s="571"/>
      <c r="Q40" s="626"/>
      <c r="R40" s="626"/>
      <c r="S40" s="627">
        <v>-81.595134049578391</v>
      </c>
      <c r="T40" s="627"/>
      <c r="U40" s="626"/>
      <c r="V40" s="626"/>
      <c r="W40" s="627">
        <v>-82.533325834915829</v>
      </c>
      <c r="X40" s="627"/>
      <c r="Y40" s="625">
        <v>-0.93819178533743752</v>
      </c>
      <c r="Z40" s="625"/>
      <c r="AA40" s="327"/>
      <c r="AB40" s="481"/>
      <c r="AC40" s="332"/>
      <c r="AD40" s="613"/>
      <c r="AE40" s="613"/>
      <c r="AF40" s="331"/>
    </row>
    <row r="41" spans="1:32" ht="18.95" customHeight="1" x14ac:dyDescent="0.25">
      <c r="B41" s="596"/>
      <c r="C41" s="574" t="s">
        <v>567</v>
      </c>
      <c r="D41" s="571"/>
      <c r="E41" s="571"/>
      <c r="F41" s="571"/>
      <c r="G41" s="571"/>
      <c r="H41" s="571"/>
      <c r="I41" s="571"/>
      <c r="J41" s="571"/>
      <c r="K41" s="571"/>
      <c r="L41" s="571"/>
      <c r="M41" s="571"/>
      <c r="N41" s="571"/>
      <c r="O41" s="571"/>
      <c r="P41" s="571"/>
      <c r="Q41" s="626"/>
      <c r="R41" s="626"/>
      <c r="S41" s="627">
        <v>-293.85904444558986</v>
      </c>
      <c r="T41" s="627"/>
      <c r="U41" s="626"/>
      <c r="V41" s="626"/>
      <c r="W41" s="627">
        <v>-301.50094486995414</v>
      </c>
      <c r="X41" s="627"/>
      <c r="Y41" s="625">
        <v>-7.6419004243642803</v>
      </c>
      <c r="Z41" s="625"/>
      <c r="AA41" s="327"/>
      <c r="AB41" s="481"/>
      <c r="AC41" s="332"/>
      <c r="AD41" s="613"/>
      <c r="AE41" s="613"/>
      <c r="AF41" s="331"/>
    </row>
    <row r="42" spans="1:32" ht="18.95" customHeight="1" x14ac:dyDescent="0.2">
      <c r="B42" s="596"/>
      <c r="C42" s="574" t="s">
        <v>568</v>
      </c>
      <c r="D42" s="571"/>
      <c r="E42" s="571"/>
      <c r="F42" s="571"/>
      <c r="G42" s="571"/>
      <c r="H42" s="571"/>
      <c r="I42" s="571"/>
      <c r="J42" s="571"/>
      <c r="K42" s="571"/>
      <c r="L42" s="571"/>
      <c r="M42" s="571"/>
      <c r="N42" s="571"/>
      <c r="O42" s="571"/>
      <c r="P42" s="571"/>
      <c r="Q42" s="604"/>
      <c r="R42" s="605"/>
      <c r="S42" s="606">
        <v>3957.5298882067791</v>
      </c>
      <c r="T42" s="607"/>
      <c r="U42" s="604"/>
      <c r="V42" s="605"/>
      <c r="W42" s="606">
        <v>3953.782607631937</v>
      </c>
      <c r="X42" s="607"/>
      <c r="Y42" s="606">
        <v>-3.7472805748420797</v>
      </c>
      <c r="Z42" s="607"/>
      <c r="AA42" s="327"/>
      <c r="AB42" s="481"/>
      <c r="AC42" s="332"/>
      <c r="AD42" s="613"/>
      <c r="AE42" s="613"/>
      <c r="AF42" s="331"/>
    </row>
    <row r="43" spans="1:32" ht="18.95" customHeight="1" x14ac:dyDescent="0.2">
      <c r="B43" s="596"/>
      <c r="C43" s="574" t="s">
        <v>569</v>
      </c>
      <c r="D43" s="571"/>
      <c r="E43" s="571"/>
      <c r="F43" s="571"/>
      <c r="G43" s="571"/>
      <c r="H43" s="571"/>
      <c r="I43" s="571"/>
      <c r="J43" s="571"/>
      <c r="K43" s="571"/>
      <c r="L43" s="571"/>
      <c r="M43" s="571"/>
      <c r="N43" s="571"/>
      <c r="O43" s="571"/>
      <c r="P43" s="571"/>
      <c r="Q43" s="623"/>
      <c r="R43" s="571"/>
      <c r="S43" s="624">
        <v>1.4611080738236025E-8</v>
      </c>
      <c r="T43" s="581"/>
      <c r="U43" s="623"/>
      <c r="V43" s="571"/>
      <c r="W43" s="624">
        <v>1.1314820923689978E-8</v>
      </c>
      <c r="X43" s="581"/>
      <c r="Y43" s="624">
        <v>-3.2962598145460475E-9</v>
      </c>
      <c r="Z43" s="581"/>
      <c r="AA43" s="327"/>
      <c r="AB43" s="481"/>
      <c r="AC43" s="332"/>
      <c r="AD43" s="613"/>
      <c r="AE43" s="613"/>
      <c r="AF43" s="331"/>
    </row>
    <row r="44" spans="1:32" ht="18.95" customHeight="1" x14ac:dyDescent="0.2">
      <c r="B44" s="596"/>
      <c r="C44" s="574" t="s">
        <v>570</v>
      </c>
      <c r="D44" s="571"/>
      <c r="E44" s="571"/>
      <c r="F44" s="571"/>
      <c r="G44" s="571"/>
      <c r="H44" s="571"/>
      <c r="I44" s="571"/>
      <c r="J44" s="571"/>
      <c r="K44" s="571"/>
      <c r="L44" s="571"/>
      <c r="M44" s="571"/>
      <c r="N44" s="571"/>
      <c r="O44" s="571"/>
      <c r="P44" s="571"/>
      <c r="Q44" s="621"/>
      <c r="R44" s="622"/>
      <c r="S44" s="619">
        <v>1.4320459295999999E-3</v>
      </c>
      <c r="T44" s="620"/>
      <c r="U44" s="621"/>
      <c r="V44" s="622"/>
      <c r="W44" s="619">
        <v>1.2602004180479998E-3</v>
      </c>
      <c r="X44" s="620"/>
      <c r="Y44" s="619">
        <v>-1.7184551155200009E-4</v>
      </c>
      <c r="Z44" s="619"/>
      <c r="AA44" s="327"/>
      <c r="AB44" s="481"/>
      <c r="AC44" s="332"/>
      <c r="AD44" s="613"/>
      <c r="AE44" s="613"/>
      <c r="AF44" s="331"/>
    </row>
    <row r="45" spans="1:32" ht="18.95" customHeight="1" x14ac:dyDescent="0.2">
      <c r="B45" s="596"/>
      <c r="C45" s="574" t="s">
        <v>571</v>
      </c>
      <c r="D45" s="571"/>
      <c r="E45" s="571"/>
      <c r="F45" s="571"/>
      <c r="G45" s="571"/>
      <c r="H45" s="571"/>
      <c r="I45" s="571"/>
      <c r="J45" s="571"/>
      <c r="K45" s="571"/>
      <c r="L45" s="571"/>
      <c r="M45" s="571"/>
      <c r="N45" s="571"/>
      <c r="O45" s="571"/>
      <c r="P45" s="571"/>
      <c r="Q45" s="621"/>
      <c r="R45" s="622"/>
      <c r="S45" s="619">
        <v>0.10334598149147432</v>
      </c>
      <c r="T45" s="620"/>
      <c r="U45" s="621"/>
      <c r="V45" s="622"/>
      <c r="W45" s="619">
        <v>9.0944463712497398E-2</v>
      </c>
      <c r="X45" s="620"/>
      <c r="Y45" s="619">
        <v>-1.2401517778976925E-2</v>
      </c>
      <c r="Z45" s="619"/>
      <c r="AA45" s="327"/>
      <c r="AB45" s="481"/>
      <c r="AC45" s="332"/>
      <c r="AD45" s="613"/>
      <c r="AE45" s="613"/>
      <c r="AF45" s="331"/>
    </row>
    <row r="46" spans="1:32" ht="18.95" customHeight="1" x14ac:dyDescent="0.2">
      <c r="B46" s="596"/>
      <c r="C46" s="574" t="s">
        <v>572</v>
      </c>
      <c r="D46" s="571"/>
      <c r="E46" s="571"/>
      <c r="F46" s="571"/>
      <c r="G46" s="571"/>
      <c r="H46" s="571"/>
      <c r="I46" s="571"/>
      <c r="J46" s="571"/>
      <c r="K46" s="571"/>
      <c r="L46" s="571"/>
      <c r="M46" s="560"/>
      <c r="N46" s="571"/>
      <c r="O46" s="561"/>
      <c r="P46" s="571"/>
      <c r="Q46" s="621"/>
      <c r="R46" s="622"/>
      <c r="S46" s="619">
        <v>0.13389629450439064</v>
      </c>
      <c r="T46" s="620"/>
      <c r="U46" s="621"/>
      <c r="V46" s="622"/>
      <c r="W46" s="619">
        <v>0.11782873916386377</v>
      </c>
      <c r="X46" s="620"/>
      <c r="Y46" s="619">
        <v>-1.6067555340526868E-2</v>
      </c>
      <c r="Z46" s="619"/>
      <c r="AA46" s="327"/>
      <c r="AB46" s="481"/>
      <c r="AC46" s="332"/>
      <c r="AD46" s="613"/>
      <c r="AE46" s="613"/>
      <c r="AF46" s="331"/>
    </row>
    <row r="47" spans="1:32" ht="18.95" customHeight="1" x14ac:dyDescent="0.2">
      <c r="A47" s="325"/>
      <c r="B47" s="596"/>
      <c r="C47" s="574" t="s">
        <v>573</v>
      </c>
      <c r="D47" s="571"/>
      <c r="E47" s="571"/>
      <c r="F47" s="571"/>
      <c r="G47" s="571"/>
      <c r="H47" s="571"/>
      <c r="I47" s="571"/>
      <c r="J47" s="571"/>
      <c r="K47" s="571"/>
      <c r="L47" s="571"/>
      <c r="M47" s="571"/>
      <c r="N47" s="571"/>
      <c r="O47" s="571"/>
      <c r="P47" s="571"/>
      <c r="Q47" s="604"/>
      <c r="R47" s="605"/>
      <c r="S47" s="606">
        <v>8564.8248765782046</v>
      </c>
      <c r="T47" s="607"/>
      <c r="U47" s="604"/>
      <c r="V47" s="605"/>
      <c r="W47" s="606">
        <v>7708.3423889203841</v>
      </c>
      <c r="X47" s="607"/>
      <c r="Y47" s="606">
        <v>-856.48248765782046</v>
      </c>
      <c r="Z47" s="606"/>
      <c r="AA47" s="327"/>
      <c r="AB47" s="481"/>
      <c r="AC47" s="332"/>
      <c r="AD47" s="613"/>
      <c r="AE47" s="613"/>
      <c r="AF47" s="331"/>
    </row>
    <row r="48" spans="1:32" ht="18.95" customHeight="1" x14ac:dyDescent="0.2">
      <c r="B48" s="596"/>
      <c r="C48" s="574"/>
      <c r="D48" s="571"/>
      <c r="E48" s="571"/>
      <c r="F48" s="571"/>
      <c r="G48" s="571"/>
      <c r="H48" s="571"/>
      <c r="I48" s="571"/>
      <c r="J48" s="571"/>
      <c r="K48" s="571"/>
      <c r="L48" s="571"/>
      <c r="M48" s="571"/>
      <c r="N48" s="571"/>
      <c r="O48" s="571"/>
      <c r="P48" s="571"/>
      <c r="Q48" s="571"/>
      <c r="R48" s="571"/>
      <c r="S48" s="571"/>
      <c r="T48" s="571"/>
      <c r="U48" s="571"/>
      <c r="V48" s="571"/>
      <c r="W48" s="571"/>
      <c r="AA48" s="327"/>
      <c r="AB48" s="481"/>
      <c r="AC48" s="332"/>
      <c r="AD48" s="613"/>
      <c r="AE48" s="613"/>
      <c r="AF48" s="331"/>
    </row>
    <row r="49" spans="2:32" ht="18.95" customHeight="1" x14ac:dyDescent="0.2">
      <c r="B49" s="596"/>
      <c r="C49" s="574" t="s">
        <v>574</v>
      </c>
      <c r="D49" s="571"/>
      <c r="E49" s="571"/>
      <c r="F49" s="571"/>
      <c r="G49" s="571"/>
      <c r="H49" s="571"/>
      <c r="I49" s="571"/>
      <c r="J49" s="571"/>
      <c r="K49" s="571"/>
      <c r="L49" s="571"/>
      <c r="M49" s="580">
        <v>3155</v>
      </c>
      <c r="N49" s="581"/>
      <c r="Q49" s="618" t="s">
        <v>543</v>
      </c>
      <c r="R49" s="618"/>
      <c r="U49" s="618" t="s">
        <v>544</v>
      </c>
      <c r="V49" s="618"/>
      <c r="AA49" s="327"/>
      <c r="AB49" s="481"/>
      <c r="AC49" s="332"/>
      <c r="AD49" s="613"/>
      <c r="AE49" s="613"/>
      <c r="AF49" s="331"/>
    </row>
    <row r="50" spans="2:32" ht="18.95" customHeight="1" x14ac:dyDescent="0.2">
      <c r="B50" s="596"/>
      <c r="C50" s="574"/>
      <c r="D50" s="571"/>
      <c r="E50" s="571"/>
      <c r="F50" s="571"/>
      <c r="G50" s="571"/>
      <c r="H50" s="571"/>
      <c r="I50" s="571"/>
      <c r="J50" s="571"/>
      <c r="K50" s="571"/>
      <c r="L50" s="571"/>
      <c r="M50" s="571"/>
      <c r="N50" s="571"/>
      <c r="O50" s="571"/>
      <c r="P50" s="571"/>
      <c r="Q50" s="618"/>
      <c r="R50" s="618"/>
      <c r="S50" s="581" t="s">
        <v>546</v>
      </c>
      <c r="T50" s="581"/>
      <c r="U50" s="618"/>
      <c r="V50" s="618"/>
      <c r="W50" s="581" t="s">
        <v>547</v>
      </c>
      <c r="X50" s="581"/>
      <c r="Y50" s="581" t="s">
        <v>548</v>
      </c>
      <c r="Z50" s="581"/>
      <c r="AA50" s="327"/>
      <c r="AB50" s="481"/>
      <c r="AC50" s="332"/>
      <c r="AD50" s="613"/>
      <c r="AE50" s="613"/>
      <c r="AF50" s="331"/>
    </row>
    <row r="51" spans="2:32" ht="18.95" customHeight="1" x14ac:dyDescent="0.2">
      <c r="B51" s="596"/>
      <c r="C51" s="574" t="s">
        <v>559</v>
      </c>
      <c r="D51" s="571"/>
      <c r="E51" s="571"/>
      <c r="F51" s="571"/>
      <c r="G51" s="571"/>
      <c r="H51" s="571"/>
      <c r="I51" s="571"/>
      <c r="J51" s="571"/>
      <c r="K51" s="571"/>
      <c r="L51" s="571"/>
      <c r="M51" s="571"/>
      <c r="N51" s="571"/>
      <c r="O51" s="571"/>
      <c r="P51" s="571"/>
      <c r="Q51" s="616"/>
      <c r="R51" s="617"/>
      <c r="S51" s="614">
        <v>34.822083112254518</v>
      </c>
      <c r="T51" s="615"/>
      <c r="U51" s="616"/>
      <c r="V51" s="617"/>
      <c r="W51" s="614">
        <v>32.880043646977477</v>
      </c>
      <c r="X51" s="615"/>
      <c r="Y51" s="614">
        <v>-1.9420394652770412</v>
      </c>
      <c r="Z51" s="615"/>
      <c r="AA51" s="327"/>
      <c r="AB51" s="481"/>
      <c r="AC51" s="332"/>
      <c r="AD51" s="613"/>
      <c r="AE51" s="613"/>
      <c r="AF51" s="331"/>
    </row>
    <row r="52" spans="2:32" ht="18.95" customHeight="1" x14ac:dyDescent="0.2">
      <c r="B52" s="596"/>
      <c r="C52" s="574" t="s">
        <v>560</v>
      </c>
      <c r="D52" s="571"/>
      <c r="E52" s="571"/>
      <c r="F52" s="571"/>
      <c r="G52" s="571"/>
      <c r="H52" s="571"/>
      <c r="I52" s="571"/>
      <c r="J52" s="571"/>
      <c r="K52" s="571"/>
      <c r="L52" s="571"/>
      <c r="M52" s="571"/>
      <c r="N52" s="571"/>
      <c r="O52" s="571"/>
      <c r="P52" s="571"/>
      <c r="Q52" s="604"/>
      <c r="R52" s="605"/>
      <c r="S52" s="606">
        <v>6310</v>
      </c>
      <c r="T52" s="607"/>
      <c r="U52" s="604"/>
      <c r="V52" s="605"/>
      <c r="W52" s="606">
        <v>6310</v>
      </c>
      <c r="X52" s="607"/>
      <c r="Y52" s="606">
        <v>0</v>
      </c>
      <c r="Z52" s="607"/>
      <c r="AA52" s="327"/>
      <c r="AB52" s="481"/>
      <c r="AC52" s="332"/>
      <c r="AD52" s="613"/>
      <c r="AE52" s="613"/>
      <c r="AF52" s="331"/>
    </row>
    <row r="53" spans="2:32" ht="18.95" customHeight="1" x14ac:dyDescent="0.2">
      <c r="B53" s="596"/>
      <c r="C53" s="574" t="s">
        <v>561</v>
      </c>
      <c r="D53" s="571"/>
      <c r="E53" s="571"/>
      <c r="F53" s="571"/>
      <c r="G53" s="571"/>
      <c r="H53" s="571"/>
      <c r="I53" s="571"/>
      <c r="J53" s="571"/>
      <c r="K53" s="571"/>
      <c r="L53" s="571"/>
      <c r="M53" s="571"/>
      <c r="N53" s="571"/>
      <c r="O53" s="571"/>
      <c r="P53" s="571"/>
      <c r="Q53" s="604"/>
      <c r="R53" s="605"/>
      <c r="S53" s="606">
        <v>0.49296875000000001</v>
      </c>
      <c r="T53" s="606"/>
      <c r="U53" s="604"/>
      <c r="V53" s="605"/>
      <c r="W53" s="606">
        <v>0.75841346153846156</v>
      </c>
      <c r="X53" s="606"/>
      <c r="Y53" s="606">
        <v>0.26544471153846155</v>
      </c>
      <c r="Z53" s="606"/>
      <c r="AA53" s="327"/>
      <c r="AB53" s="481"/>
      <c r="AC53" s="332"/>
      <c r="AD53" s="613"/>
      <c r="AE53" s="613"/>
      <c r="AF53" s="331"/>
    </row>
    <row r="54" spans="2:32" ht="18.95" customHeight="1" x14ac:dyDescent="0.2">
      <c r="B54" s="596"/>
      <c r="C54" s="574" t="s">
        <v>568</v>
      </c>
      <c r="D54" s="571"/>
      <c r="E54" s="571"/>
      <c r="F54" s="571"/>
      <c r="G54" s="571"/>
      <c r="H54" s="571"/>
      <c r="I54" s="571"/>
      <c r="J54" s="571"/>
      <c r="K54" s="571"/>
      <c r="L54" s="571"/>
      <c r="M54" s="571"/>
      <c r="N54" s="571"/>
      <c r="O54" s="571"/>
      <c r="P54" s="571"/>
      <c r="Q54" s="604"/>
      <c r="R54" s="605"/>
      <c r="S54" s="606">
        <v>181.20685025243068</v>
      </c>
      <c r="T54" s="607"/>
      <c r="U54" s="604"/>
      <c r="V54" s="605"/>
      <c r="W54" s="606">
        <v>191.90972091608072</v>
      </c>
      <c r="X54" s="607"/>
      <c r="Y54" s="606">
        <v>10.702870663650032</v>
      </c>
      <c r="Z54" s="607"/>
      <c r="AA54" s="327"/>
      <c r="AB54" s="481"/>
      <c r="AC54" s="332"/>
      <c r="AD54" s="613"/>
      <c r="AE54" s="613"/>
      <c r="AF54" s="331"/>
    </row>
    <row r="55" spans="2:32" ht="18.95" customHeight="1" thickBot="1" x14ac:dyDescent="0.25">
      <c r="B55" s="597"/>
      <c r="C55" s="589"/>
      <c r="D55" s="590"/>
      <c r="E55" s="590"/>
      <c r="F55" s="590"/>
      <c r="G55" s="590"/>
      <c r="H55" s="590"/>
      <c r="I55" s="590"/>
      <c r="J55" s="590"/>
      <c r="K55" s="590"/>
      <c r="L55" s="590"/>
      <c r="M55" s="590"/>
      <c r="N55" s="590"/>
      <c r="O55" s="590"/>
      <c r="P55" s="590"/>
      <c r="Q55" s="590"/>
      <c r="R55" s="590"/>
      <c r="S55" s="590"/>
      <c r="T55" s="590"/>
      <c r="U55" s="590"/>
      <c r="V55" s="590"/>
      <c r="W55" s="488"/>
      <c r="AA55" s="327"/>
      <c r="AB55" s="481"/>
      <c r="AC55" s="334"/>
      <c r="AD55" s="608"/>
      <c r="AE55" s="608"/>
      <c r="AF55" s="335"/>
    </row>
    <row r="56" spans="2:32" ht="18.95" customHeight="1" x14ac:dyDescent="0.2">
      <c r="B56" s="595" t="s">
        <v>527</v>
      </c>
      <c r="C56" s="479"/>
      <c r="D56" s="480"/>
      <c r="E56" s="480"/>
      <c r="F56" s="480"/>
      <c r="G56" s="480"/>
      <c r="H56" s="480"/>
      <c r="I56" s="480"/>
      <c r="J56" s="480"/>
      <c r="K56" s="480"/>
      <c r="L56" s="480"/>
      <c r="M56" s="480"/>
      <c r="N56" s="480"/>
      <c r="O56" s="480"/>
      <c r="P56" s="480"/>
      <c r="Q56" s="480"/>
      <c r="R56" s="479"/>
      <c r="S56" s="480"/>
      <c r="X56" s="480"/>
      <c r="Y56" s="480"/>
      <c r="Z56" s="480"/>
      <c r="AA56" s="480"/>
    </row>
    <row r="57" spans="2:32" ht="18.95" customHeight="1" x14ac:dyDescent="0.25">
      <c r="B57" s="596"/>
      <c r="C57" s="609" t="s">
        <v>575</v>
      </c>
      <c r="D57" s="610"/>
      <c r="E57" s="610"/>
      <c r="F57" s="610"/>
      <c r="G57" s="610"/>
      <c r="H57" s="610"/>
      <c r="I57" s="610"/>
      <c r="J57" s="610"/>
      <c r="K57" s="610"/>
      <c r="R57" s="481"/>
    </row>
    <row r="58" spans="2:32" ht="18.95" customHeight="1" x14ac:dyDescent="0.2">
      <c r="B58" s="596"/>
      <c r="C58" s="574" t="s">
        <v>576</v>
      </c>
      <c r="D58" s="571"/>
      <c r="E58" s="571"/>
      <c r="F58" s="571"/>
      <c r="G58" s="571"/>
      <c r="H58" s="571"/>
      <c r="I58" s="571"/>
      <c r="J58" s="571"/>
      <c r="K58" s="571"/>
      <c r="L58" s="571"/>
      <c r="M58" s="576"/>
      <c r="N58" s="611"/>
      <c r="O58" s="612">
        <v>0.1</v>
      </c>
      <c r="P58" s="611"/>
      <c r="R58" s="481"/>
    </row>
    <row r="59" spans="2:32" ht="18.95" customHeight="1" x14ac:dyDescent="0.2">
      <c r="B59" s="596"/>
      <c r="C59" s="574" t="s">
        <v>577</v>
      </c>
      <c r="D59" s="571"/>
      <c r="E59" s="571"/>
      <c r="F59" s="571"/>
      <c r="G59" s="571"/>
      <c r="H59" s="571"/>
      <c r="I59" s="571"/>
      <c r="J59" s="571"/>
      <c r="K59" s="571"/>
      <c r="L59" s="571"/>
      <c r="M59" s="576"/>
      <c r="N59" s="611"/>
      <c r="O59" s="612">
        <v>-0.35</v>
      </c>
      <c r="P59" s="611"/>
      <c r="R59" s="481"/>
    </row>
    <row r="60" spans="2:32" ht="18.95" customHeight="1" x14ac:dyDescent="0.2">
      <c r="B60" s="596"/>
      <c r="C60" s="481"/>
      <c r="R60" s="481"/>
    </row>
    <row r="61" spans="2:32" ht="18.95" customHeight="1" x14ac:dyDescent="0.2">
      <c r="B61" s="596"/>
      <c r="C61" s="574" t="s">
        <v>578</v>
      </c>
      <c r="D61" s="571"/>
      <c r="E61" s="571"/>
      <c r="F61" s="571"/>
      <c r="G61" s="571"/>
      <c r="H61" s="571"/>
      <c r="I61" s="571"/>
      <c r="J61" s="571"/>
      <c r="K61" s="571"/>
      <c r="L61" s="571"/>
      <c r="M61" s="576"/>
      <c r="N61" s="576"/>
      <c r="O61" s="612">
        <v>0.12</v>
      </c>
      <c r="P61" s="576"/>
      <c r="R61" s="481"/>
    </row>
    <row r="62" spans="2:32" ht="18.95" customHeight="1" x14ac:dyDescent="0.2">
      <c r="B62" s="596"/>
      <c r="C62" s="574" t="s">
        <v>579</v>
      </c>
      <c r="D62" s="571"/>
      <c r="E62" s="571"/>
      <c r="F62" s="571"/>
      <c r="G62" s="571"/>
      <c r="H62" s="571"/>
      <c r="I62" s="571"/>
      <c r="J62" s="571"/>
      <c r="K62" s="571"/>
      <c r="L62" s="571"/>
      <c r="M62" s="576"/>
      <c r="N62" s="576"/>
      <c r="O62" s="612">
        <v>0</v>
      </c>
      <c r="P62" s="576"/>
      <c r="R62" s="481"/>
    </row>
    <row r="63" spans="2:32" ht="18.95" customHeight="1" x14ac:dyDescent="0.2">
      <c r="B63" s="596"/>
      <c r="C63" s="481"/>
      <c r="R63" s="481"/>
    </row>
    <row r="64" spans="2:32" ht="18.95" customHeight="1" x14ac:dyDescent="0.2">
      <c r="B64" s="596"/>
      <c r="C64" s="574" t="s">
        <v>580</v>
      </c>
      <c r="D64" s="571"/>
      <c r="E64" s="571"/>
      <c r="F64" s="571"/>
      <c r="G64" s="571"/>
      <c r="H64" s="571"/>
      <c r="I64" s="571"/>
      <c r="J64" s="571"/>
      <c r="K64" s="571"/>
      <c r="L64" s="571"/>
      <c r="M64" s="576"/>
      <c r="N64" s="576"/>
      <c r="O64" s="612">
        <v>0.1</v>
      </c>
      <c r="P64" s="576"/>
      <c r="R64" s="481"/>
    </row>
    <row r="65" spans="2:22" ht="18.95" customHeight="1" thickBot="1" x14ac:dyDescent="0.25">
      <c r="B65" s="596"/>
      <c r="C65" s="481"/>
      <c r="R65" s="481"/>
    </row>
    <row r="66" spans="2:22" ht="18.95" customHeight="1" x14ac:dyDescent="0.2">
      <c r="B66" s="595" t="s">
        <v>581</v>
      </c>
      <c r="C66" s="483"/>
      <c r="D66" s="484"/>
      <c r="E66" s="484"/>
      <c r="F66" s="484"/>
      <c r="G66" s="484"/>
      <c r="H66" s="484"/>
      <c r="I66" s="484"/>
      <c r="J66" s="484"/>
      <c r="K66" s="484"/>
      <c r="L66" s="484"/>
      <c r="M66" s="484"/>
      <c r="N66" s="484"/>
      <c r="O66" s="484"/>
      <c r="P66" s="484"/>
      <c r="Q66" s="642"/>
      <c r="R66" s="642"/>
      <c r="S66" s="338"/>
      <c r="T66" s="338"/>
      <c r="U66" s="336"/>
    </row>
    <row r="67" spans="2:22" ht="18.95" customHeight="1" x14ac:dyDescent="0.2">
      <c r="B67" s="596"/>
      <c r="C67" s="574" t="s">
        <v>582</v>
      </c>
      <c r="D67" s="571"/>
      <c r="E67" s="571"/>
      <c r="F67" s="571"/>
      <c r="G67" s="571"/>
      <c r="H67" s="571"/>
      <c r="I67" s="571"/>
      <c r="J67" s="571"/>
      <c r="K67" s="571"/>
      <c r="L67" s="571"/>
      <c r="M67" s="571"/>
      <c r="N67" s="571"/>
      <c r="O67" s="571"/>
      <c r="P67" s="571"/>
      <c r="Q67" s="643"/>
      <c r="R67" s="643"/>
      <c r="S67" s="606">
        <v>1.5667802815135206</v>
      </c>
      <c r="T67" s="607"/>
      <c r="U67" s="339"/>
    </row>
    <row r="68" spans="2:22" ht="18.95" customHeight="1" x14ac:dyDescent="0.2">
      <c r="B68" s="596"/>
      <c r="C68" s="475"/>
      <c r="D68" s="474"/>
      <c r="E68" s="474"/>
      <c r="F68" s="474"/>
      <c r="G68" s="474"/>
      <c r="H68" s="474"/>
      <c r="I68" s="474"/>
      <c r="J68" s="474"/>
      <c r="K68" s="474"/>
      <c r="L68" s="474"/>
      <c r="M68" s="474"/>
      <c r="N68" s="474"/>
      <c r="O68" s="474"/>
      <c r="P68" s="474"/>
      <c r="Q68" s="340"/>
      <c r="R68" s="340"/>
      <c r="S68" s="341"/>
      <c r="T68" s="341"/>
      <c r="U68" s="339"/>
    </row>
    <row r="69" spans="2:22" ht="18.95" customHeight="1" x14ac:dyDescent="0.2">
      <c r="B69" s="596"/>
      <c r="C69" s="574" t="s">
        <v>583</v>
      </c>
      <c r="D69" s="571"/>
      <c r="E69" s="571"/>
      <c r="F69" s="571"/>
      <c r="G69" s="571"/>
      <c r="H69" s="571"/>
      <c r="I69" s="571"/>
      <c r="J69" s="571"/>
      <c r="K69" s="571"/>
      <c r="L69" s="571"/>
      <c r="M69" s="560"/>
      <c r="N69" s="560"/>
      <c r="O69" s="644">
        <v>1</v>
      </c>
      <c r="P69" s="644"/>
      <c r="Q69" s="342"/>
      <c r="R69" s="342"/>
      <c r="S69" s="343"/>
      <c r="T69" s="343"/>
      <c r="U69" s="339"/>
    </row>
    <row r="70" spans="2:22" ht="18.95" customHeight="1" x14ac:dyDescent="0.2">
      <c r="B70" s="596"/>
      <c r="C70" s="574" t="s">
        <v>584</v>
      </c>
      <c r="D70" s="571"/>
      <c r="E70" s="571"/>
      <c r="F70" s="571"/>
      <c r="G70" s="571"/>
      <c r="H70" s="571"/>
      <c r="I70" s="571"/>
      <c r="J70" s="571"/>
      <c r="K70" s="571"/>
      <c r="L70" s="571"/>
      <c r="M70" s="560"/>
      <c r="N70" s="560"/>
      <c r="O70" s="644">
        <v>1.2</v>
      </c>
      <c r="P70" s="644"/>
      <c r="Q70" s="342"/>
      <c r="R70" s="342"/>
      <c r="S70" s="343"/>
      <c r="T70" s="343"/>
      <c r="U70" s="339"/>
    </row>
    <row r="71" spans="2:22" ht="18.95" customHeight="1" x14ac:dyDescent="0.2">
      <c r="B71" s="596"/>
      <c r="C71" s="574" t="s">
        <v>585</v>
      </c>
      <c r="D71" s="571"/>
      <c r="E71" s="571"/>
      <c r="F71" s="571"/>
      <c r="G71" s="571"/>
      <c r="H71" s="571"/>
      <c r="I71" s="571"/>
      <c r="J71" s="571"/>
      <c r="K71" s="571"/>
      <c r="L71" s="571"/>
      <c r="M71" s="580"/>
      <c r="N71" s="581"/>
      <c r="O71" s="602">
        <v>30.8</v>
      </c>
      <c r="P71" s="603"/>
      <c r="Q71" s="342"/>
      <c r="R71" s="342"/>
      <c r="S71" s="343"/>
      <c r="T71" s="343"/>
      <c r="U71" s="339"/>
    </row>
    <row r="72" spans="2:22" ht="18.95" customHeight="1" x14ac:dyDescent="0.2">
      <c r="B72" s="596"/>
      <c r="C72" s="574" t="s">
        <v>586</v>
      </c>
      <c r="D72" s="571"/>
      <c r="E72" s="571"/>
      <c r="F72" s="571"/>
      <c r="G72" s="571"/>
      <c r="H72" s="571"/>
      <c r="I72" s="571"/>
      <c r="J72" s="571"/>
      <c r="K72" s="571"/>
      <c r="L72" s="571"/>
      <c r="M72" s="580"/>
      <c r="N72" s="581"/>
      <c r="O72" s="602">
        <v>16.5</v>
      </c>
      <c r="P72" s="603"/>
      <c r="Q72" s="342"/>
      <c r="R72" s="342"/>
      <c r="S72" s="343"/>
      <c r="T72" s="343"/>
      <c r="U72" s="339"/>
    </row>
    <row r="73" spans="2:22" ht="18.95" customHeight="1" x14ac:dyDescent="0.2">
      <c r="B73" s="596"/>
      <c r="C73" s="574" t="s">
        <v>587</v>
      </c>
      <c r="D73" s="571"/>
      <c r="E73" s="571"/>
      <c r="F73" s="571"/>
      <c r="G73" s="571"/>
      <c r="H73" s="571"/>
      <c r="I73" s="571"/>
      <c r="J73" s="571"/>
      <c r="K73" s="571"/>
      <c r="L73" s="571"/>
      <c r="M73" s="580"/>
      <c r="N73" s="581"/>
      <c r="O73" s="602">
        <v>27.9</v>
      </c>
      <c r="P73" s="603"/>
      <c r="Q73" s="342"/>
      <c r="R73" s="342"/>
      <c r="S73" s="343"/>
      <c r="T73" s="343"/>
      <c r="U73" s="339"/>
    </row>
    <row r="74" spans="2:22" ht="18.95" customHeight="1" x14ac:dyDescent="0.2">
      <c r="B74" s="596"/>
      <c r="C74" s="574"/>
      <c r="D74" s="571"/>
      <c r="E74" s="571"/>
      <c r="F74" s="571"/>
      <c r="G74" s="571"/>
      <c r="H74" s="571"/>
      <c r="I74" s="571"/>
      <c r="J74" s="571"/>
      <c r="K74" s="571"/>
      <c r="L74" s="571"/>
      <c r="M74" s="571"/>
      <c r="N74" s="571"/>
      <c r="O74" s="571"/>
      <c r="P74" s="571"/>
      <c r="Q74" s="342"/>
      <c r="R74" s="342"/>
      <c r="S74" s="343"/>
      <c r="T74" s="343"/>
      <c r="U74" s="339"/>
    </row>
    <row r="75" spans="2:22" ht="18.95" customHeight="1" thickBot="1" x14ac:dyDescent="0.25">
      <c r="B75" s="597"/>
      <c r="C75" s="589" t="s">
        <v>588</v>
      </c>
      <c r="D75" s="590"/>
      <c r="E75" s="590"/>
      <c r="F75" s="590"/>
      <c r="G75" s="590"/>
      <c r="H75" s="590"/>
      <c r="I75" s="590"/>
      <c r="J75" s="590"/>
      <c r="K75" s="590"/>
      <c r="L75" s="590"/>
      <c r="M75" s="590"/>
      <c r="N75" s="590"/>
      <c r="O75" s="590"/>
      <c r="P75" s="590"/>
      <c r="Q75" s="591"/>
      <c r="R75" s="591"/>
      <c r="S75" s="593">
        <v>32.644747695852409</v>
      </c>
      <c r="T75" s="594"/>
      <c r="U75" s="344"/>
    </row>
    <row r="76" spans="2:22" ht="18.95" customHeight="1" x14ac:dyDescent="0.2">
      <c r="B76" s="595" t="s">
        <v>78</v>
      </c>
      <c r="C76" s="598"/>
      <c r="D76" s="599"/>
      <c r="E76" s="599"/>
      <c r="F76" s="599"/>
      <c r="G76" s="599"/>
      <c r="H76" s="599"/>
      <c r="I76" s="599"/>
      <c r="J76" s="599"/>
      <c r="K76" s="599"/>
      <c r="L76" s="599"/>
      <c r="M76" s="599"/>
      <c r="N76" s="599"/>
      <c r="O76" s="599"/>
      <c r="P76" s="599"/>
      <c r="Q76" s="599"/>
      <c r="R76" s="599"/>
      <c r="S76" s="599"/>
      <c r="T76" s="599"/>
      <c r="U76" s="336"/>
      <c r="V76" s="481"/>
    </row>
    <row r="77" spans="2:22" ht="18.95" customHeight="1" x14ac:dyDescent="0.2">
      <c r="B77" s="596"/>
      <c r="C77" s="574" t="s">
        <v>589</v>
      </c>
      <c r="D77" s="571"/>
      <c r="E77" s="571"/>
      <c r="F77" s="571"/>
      <c r="G77" s="571"/>
      <c r="H77" s="571"/>
      <c r="I77" s="571"/>
      <c r="J77" s="571"/>
      <c r="K77" s="571"/>
      <c r="L77" s="571"/>
      <c r="M77" s="571"/>
      <c r="N77" s="571"/>
      <c r="O77" s="571"/>
      <c r="P77" s="571"/>
      <c r="Q77" s="604"/>
      <c r="R77" s="605"/>
      <c r="S77" s="606">
        <v>-34.847506344927837</v>
      </c>
      <c r="T77" s="607"/>
      <c r="V77" s="481"/>
    </row>
    <row r="78" spans="2:22" ht="18.95" customHeight="1" x14ac:dyDescent="0.2">
      <c r="B78" s="596"/>
      <c r="C78" s="588"/>
      <c r="D78" s="581"/>
      <c r="E78" s="581"/>
      <c r="F78" s="581"/>
      <c r="G78" s="581"/>
      <c r="H78" s="581"/>
      <c r="I78" s="581"/>
      <c r="J78" s="581"/>
      <c r="K78" s="581"/>
      <c r="L78" s="581"/>
      <c r="M78" s="581"/>
      <c r="N78" s="581"/>
      <c r="O78" s="581"/>
      <c r="P78" s="581"/>
      <c r="Q78" s="581"/>
      <c r="R78" s="581"/>
      <c r="S78" s="581"/>
      <c r="T78" s="581"/>
      <c r="V78" s="481"/>
    </row>
    <row r="79" spans="2:22" ht="18.95" customHeight="1" x14ac:dyDescent="0.2">
      <c r="B79" s="596"/>
      <c r="C79" s="574" t="s">
        <v>585</v>
      </c>
      <c r="D79" s="571"/>
      <c r="E79" s="571"/>
      <c r="F79" s="571"/>
      <c r="G79" s="571"/>
      <c r="H79" s="571"/>
      <c r="I79" s="571"/>
      <c r="J79" s="571"/>
      <c r="K79" s="571"/>
      <c r="L79" s="571"/>
      <c r="M79" s="580"/>
      <c r="N79" s="581"/>
      <c r="O79" s="602">
        <v>30.8</v>
      </c>
      <c r="P79" s="603"/>
      <c r="Q79" s="581"/>
      <c r="R79" s="581"/>
      <c r="S79" s="581"/>
      <c r="T79" s="581"/>
      <c r="V79" s="481"/>
    </row>
    <row r="80" spans="2:22" ht="18.95" customHeight="1" x14ac:dyDescent="0.2">
      <c r="B80" s="596"/>
      <c r="C80" s="574" t="s">
        <v>586</v>
      </c>
      <c r="D80" s="571"/>
      <c r="E80" s="571"/>
      <c r="F80" s="571"/>
      <c r="G80" s="571"/>
      <c r="H80" s="571"/>
      <c r="I80" s="571"/>
      <c r="J80" s="571"/>
      <c r="K80" s="571"/>
      <c r="L80" s="571"/>
      <c r="M80" s="580"/>
      <c r="N80" s="581"/>
      <c r="O80" s="602">
        <v>16.5</v>
      </c>
      <c r="P80" s="603"/>
      <c r="Q80" s="581"/>
      <c r="R80" s="581"/>
      <c r="S80" s="581"/>
      <c r="T80" s="581"/>
      <c r="V80" s="481"/>
    </row>
    <row r="81" spans="2:23" ht="18.95" customHeight="1" x14ac:dyDescent="0.2">
      <c r="B81" s="596"/>
      <c r="C81" s="574" t="s">
        <v>587</v>
      </c>
      <c r="D81" s="571"/>
      <c r="E81" s="571"/>
      <c r="F81" s="571"/>
      <c r="G81" s="571"/>
      <c r="H81" s="571"/>
      <c r="I81" s="571"/>
      <c r="J81" s="571"/>
      <c r="K81" s="571"/>
      <c r="L81" s="571"/>
      <c r="M81" s="580"/>
      <c r="N81" s="581"/>
      <c r="O81" s="602">
        <v>27.9</v>
      </c>
      <c r="P81" s="603"/>
      <c r="Q81" s="581"/>
      <c r="R81" s="581"/>
      <c r="S81" s="581"/>
      <c r="T81" s="581"/>
      <c r="V81" s="481"/>
    </row>
    <row r="82" spans="2:23" ht="18.95" customHeight="1" x14ac:dyDescent="0.2">
      <c r="B82" s="596"/>
      <c r="C82" s="588"/>
      <c r="D82" s="581"/>
      <c r="E82" s="581"/>
      <c r="F82" s="581"/>
      <c r="G82" s="581"/>
      <c r="H82" s="581"/>
      <c r="I82" s="581"/>
      <c r="J82" s="581"/>
      <c r="K82" s="581"/>
      <c r="L82" s="581"/>
      <c r="M82" s="581"/>
      <c r="N82" s="581"/>
      <c r="O82" s="581"/>
      <c r="P82" s="581"/>
      <c r="Q82" s="581"/>
      <c r="R82" s="581"/>
      <c r="S82" s="581"/>
      <c r="T82" s="581"/>
      <c r="V82" s="481"/>
    </row>
    <row r="83" spans="2:23" ht="18.95" customHeight="1" thickBot="1" x14ac:dyDescent="0.25">
      <c r="B83" s="597"/>
      <c r="C83" s="589" t="s">
        <v>590</v>
      </c>
      <c r="D83" s="590"/>
      <c r="E83" s="590"/>
      <c r="F83" s="590"/>
      <c r="G83" s="590"/>
      <c r="H83" s="590"/>
      <c r="I83" s="590"/>
      <c r="J83" s="590"/>
      <c r="K83" s="590"/>
      <c r="L83" s="590"/>
      <c r="M83" s="590"/>
      <c r="N83" s="590"/>
      <c r="O83" s="590"/>
      <c r="P83" s="590"/>
      <c r="Q83" s="591"/>
      <c r="R83" s="592"/>
      <c r="S83" s="593">
        <v>-709.1697534734692</v>
      </c>
      <c r="T83" s="594"/>
      <c r="V83" s="481"/>
    </row>
    <row r="84" spans="2:23" ht="18.95" customHeight="1" x14ac:dyDescent="0.2">
      <c r="B84" s="639" t="s">
        <v>591</v>
      </c>
      <c r="C84" s="598"/>
      <c r="D84" s="599"/>
      <c r="E84" s="599"/>
      <c r="F84" s="599"/>
      <c r="G84" s="599"/>
      <c r="H84" s="599"/>
      <c r="I84" s="599"/>
      <c r="J84" s="599"/>
      <c r="K84" s="599"/>
      <c r="L84" s="599"/>
      <c r="M84" s="599"/>
      <c r="N84" s="599"/>
      <c r="O84" s="599"/>
      <c r="P84" s="599"/>
      <c r="Q84" s="599"/>
      <c r="R84" s="599"/>
      <c r="S84" s="599"/>
      <c r="T84" s="599"/>
      <c r="U84" s="336"/>
      <c r="V84" s="481"/>
      <c r="W84" s="485"/>
    </row>
    <row r="85" spans="2:23" ht="18.95" customHeight="1" x14ac:dyDescent="0.2">
      <c r="B85" s="640"/>
      <c r="C85" s="574" t="s">
        <v>592</v>
      </c>
      <c r="D85" s="571"/>
      <c r="E85" s="571"/>
      <c r="F85" s="571"/>
      <c r="G85" s="571"/>
      <c r="H85" s="571"/>
      <c r="I85" s="571"/>
      <c r="J85" s="571"/>
      <c r="K85" s="571"/>
      <c r="L85" s="571"/>
      <c r="M85" s="571"/>
      <c r="N85" s="571"/>
      <c r="O85" s="571"/>
      <c r="P85" s="571"/>
      <c r="Q85" s="604"/>
      <c r="R85" s="605"/>
      <c r="S85" s="606">
        <v>3.5832092736555812E-3</v>
      </c>
      <c r="T85" s="607"/>
      <c r="V85" s="481"/>
    </row>
    <row r="86" spans="2:23" ht="18.95" customHeight="1" x14ac:dyDescent="0.2">
      <c r="B86" s="640"/>
      <c r="C86" s="574"/>
      <c r="D86" s="571"/>
      <c r="E86" s="571"/>
      <c r="F86" s="571"/>
      <c r="G86" s="571"/>
      <c r="H86" s="571"/>
      <c r="I86" s="571"/>
      <c r="J86" s="571"/>
      <c r="K86" s="571"/>
      <c r="L86" s="571"/>
      <c r="M86" s="571"/>
      <c r="N86" s="571"/>
      <c r="O86" s="571"/>
      <c r="P86" s="571"/>
      <c r="Q86" s="571"/>
      <c r="R86" s="571"/>
      <c r="S86" s="571"/>
      <c r="T86" s="571"/>
      <c r="V86" s="481"/>
    </row>
    <row r="87" spans="2:23" ht="18.95" customHeight="1" x14ac:dyDescent="0.2">
      <c r="B87" s="640"/>
      <c r="C87" s="574" t="s">
        <v>593</v>
      </c>
      <c r="D87" s="571"/>
      <c r="E87" s="571"/>
      <c r="F87" s="571"/>
      <c r="G87" s="571"/>
      <c r="H87" s="571"/>
      <c r="I87" s="571"/>
      <c r="J87" s="571"/>
      <c r="K87" s="571"/>
      <c r="L87" s="571"/>
      <c r="M87" s="580"/>
      <c r="N87" s="581"/>
      <c r="O87" s="602">
        <v>30.8</v>
      </c>
      <c r="P87" s="603"/>
      <c r="Q87" s="581"/>
      <c r="R87" s="581"/>
      <c r="S87" s="581"/>
      <c r="T87" s="581"/>
      <c r="V87" s="481"/>
    </row>
    <row r="88" spans="2:23" ht="18.95" customHeight="1" x14ac:dyDescent="0.2">
      <c r="B88" s="640"/>
      <c r="C88" s="574" t="s">
        <v>594</v>
      </c>
      <c r="D88" s="571"/>
      <c r="E88" s="571"/>
      <c r="F88" s="571"/>
      <c r="G88" s="571"/>
      <c r="H88" s="571"/>
      <c r="I88" s="571"/>
      <c r="J88" s="571"/>
      <c r="K88" s="571"/>
      <c r="L88" s="571"/>
      <c r="M88" s="580"/>
      <c r="N88" s="581"/>
      <c r="O88" s="602">
        <v>16.5</v>
      </c>
      <c r="P88" s="603"/>
      <c r="Q88" s="581"/>
      <c r="R88" s="581"/>
      <c r="S88" s="581"/>
      <c r="T88" s="581"/>
      <c r="V88" s="481"/>
    </row>
    <row r="89" spans="2:23" ht="18.95" customHeight="1" x14ac:dyDescent="0.2">
      <c r="B89" s="640"/>
      <c r="C89" s="574" t="s">
        <v>595</v>
      </c>
      <c r="D89" s="571"/>
      <c r="E89" s="571"/>
      <c r="F89" s="571"/>
      <c r="G89" s="571"/>
      <c r="H89" s="571"/>
      <c r="I89" s="571"/>
      <c r="J89" s="571"/>
      <c r="K89" s="571"/>
      <c r="L89" s="571"/>
      <c r="M89" s="580"/>
      <c r="N89" s="581"/>
      <c r="O89" s="602">
        <v>27.9</v>
      </c>
      <c r="P89" s="603"/>
      <c r="Q89" s="581"/>
      <c r="R89" s="581"/>
      <c r="S89" s="581"/>
      <c r="T89" s="581"/>
      <c r="V89" s="481"/>
    </row>
    <row r="90" spans="2:23" ht="18.95" customHeight="1" x14ac:dyDescent="0.2">
      <c r="B90" s="640"/>
      <c r="C90" s="574"/>
      <c r="D90" s="571"/>
      <c r="E90" s="571"/>
      <c r="F90" s="571"/>
      <c r="G90" s="571"/>
      <c r="H90" s="571"/>
      <c r="I90" s="571"/>
      <c r="J90" s="571"/>
      <c r="K90" s="571"/>
      <c r="L90" s="571"/>
      <c r="M90" s="571"/>
      <c r="N90" s="571"/>
      <c r="O90" s="571"/>
      <c r="P90" s="571"/>
      <c r="Q90" s="571"/>
      <c r="R90" s="571"/>
      <c r="S90" s="571"/>
      <c r="T90" s="571"/>
      <c r="V90" s="481"/>
    </row>
    <row r="91" spans="2:23" ht="18.95" customHeight="1" thickBot="1" x14ac:dyDescent="0.25">
      <c r="B91" s="641"/>
      <c r="C91" s="589" t="s">
        <v>596</v>
      </c>
      <c r="D91" s="590"/>
      <c r="E91" s="590"/>
      <c r="F91" s="590"/>
      <c r="G91" s="590"/>
      <c r="H91" s="590"/>
      <c r="I91" s="590"/>
      <c r="J91" s="590"/>
      <c r="K91" s="590"/>
      <c r="L91" s="590"/>
      <c r="M91" s="590"/>
      <c r="N91" s="590"/>
      <c r="O91" s="590"/>
      <c r="P91" s="590"/>
      <c r="Q91" s="591"/>
      <c r="R91" s="592"/>
      <c r="S91" s="593">
        <v>7.2920673637011699E-2</v>
      </c>
      <c r="T91" s="594"/>
      <c r="V91" s="481"/>
    </row>
    <row r="92" spans="2:23" ht="18.95" customHeight="1" x14ac:dyDescent="0.2">
      <c r="B92" s="595" t="s">
        <v>597</v>
      </c>
      <c r="C92" s="629"/>
      <c r="D92" s="630"/>
      <c r="E92" s="630"/>
      <c r="F92" s="630"/>
      <c r="G92" s="630"/>
      <c r="H92" s="630"/>
      <c r="I92" s="630"/>
      <c r="J92" s="630"/>
      <c r="K92" s="630"/>
      <c r="L92" s="630"/>
      <c r="M92" s="630"/>
      <c r="N92" s="630"/>
      <c r="O92" s="630"/>
      <c r="P92" s="630"/>
      <c r="Q92" s="630"/>
      <c r="R92" s="630"/>
      <c r="S92" s="630"/>
      <c r="T92" s="630"/>
      <c r="U92" s="336"/>
      <c r="V92" s="481"/>
    </row>
    <row r="93" spans="2:23" ht="18.95" customHeight="1" x14ac:dyDescent="0.2">
      <c r="B93" s="596"/>
      <c r="C93" s="574" t="s">
        <v>598</v>
      </c>
      <c r="D93" s="571"/>
      <c r="E93" s="571"/>
      <c r="F93" s="571"/>
      <c r="G93" s="571"/>
      <c r="H93" s="571"/>
      <c r="I93" s="571"/>
      <c r="J93" s="571"/>
      <c r="K93" s="571"/>
      <c r="L93" s="571"/>
      <c r="M93" s="580"/>
      <c r="N93" s="581"/>
      <c r="O93" s="602">
        <v>2.82</v>
      </c>
      <c r="P93" s="603"/>
      <c r="Q93" s="581"/>
      <c r="R93" s="581"/>
      <c r="S93" s="581"/>
      <c r="T93" s="581"/>
      <c r="V93" s="481"/>
    </row>
    <row r="94" spans="2:23" ht="18.95" customHeight="1" x14ac:dyDescent="0.2">
      <c r="B94" s="596"/>
      <c r="C94" s="588"/>
      <c r="D94" s="581"/>
      <c r="E94" s="581"/>
      <c r="F94" s="581"/>
      <c r="G94" s="581"/>
      <c r="H94" s="581"/>
      <c r="I94" s="581"/>
      <c r="J94" s="581"/>
      <c r="K94" s="581"/>
      <c r="L94" s="581"/>
      <c r="M94" s="581"/>
      <c r="N94" s="581"/>
      <c r="O94" s="581"/>
      <c r="P94" s="581"/>
      <c r="Q94" s="581"/>
      <c r="R94" s="581"/>
      <c r="S94" s="581"/>
      <c r="T94" s="581"/>
      <c r="V94" s="481"/>
    </row>
    <row r="95" spans="2:23" ht="18.95" customHeight="1" thickBot="1" x14ac:dyDescent="0.25">
      <c r="B95" s="597"/>
      <c r="C95" s="589" t="s">
        <v>599</v>
      </c>
      <c r="D95" s="590"/>
      <c r="E95" s="590"/>
      <c r="F95" s="590"/>
      <c r="G95" s="590"/>
      <c r="H95" s="590"/>
      <c r="I95" s="590"/>
      <c r="J95" s="590"/>
      <c r="K95" s="590"/>
      <c r="L95" s="590"/>
      <c r="M95" s="590"/>
      <c r="N95" s="590"/>
      <c r="O95" s="590"/>
      <c r="P95" s="590"/>
      <c r="Q95" s="591"/>
      <c r="R95" s="592"/>
      <c r="S95" s="593">
        <v>7245.8418455851606</v>
      </c>
      <c r="T95" s="594"/>
      <c r="V95" s="481"/>
    </row>
    <row r="96" spans="2:23" ht="18.95" customHeight="1" x14ac:dyDescent="0.2">
      <c r="B96" s="595" t="s">
        <v>57</v>
      </c>
      <c r="C96" s="598"/>
      <c r="D96" s="599"/>
      <c r="E96" s="599"/>
      <c r="F96" s="599"/>
      <c r="G96" s="599"/>
      <c r="H96" s="599"/>
      <c r="I96" s="599"/>
      <c r="J96" s="599"/>
      <c r="K96" s="599"/>
      <c r="L96" s="599"/>
      <c r="M96" s="599"/>
      <c r="N96" s="599"/>
      <c r="O96" s="599"/>
      <c r="P96" s="599"/>
      <c r="Q96" s="599"/>
      <c r="R96" s="599"/>
      <c r="S96" s="599"/>
      <c r="T96" s="599"/>
      <c r="V96" s="481"/>
    </row>
    <row r="97" spans="2:22" ht="18.95" customHeight="1" x14ac:dyDescent="0.2">
      <c r="B97" s="596"/>
      <c r="C97" s="574" t="s">
        <v>600</v>
      </c>
      <c r="D97" s="571"/>
      <c r="E97" s="571"/>
      <c r="F97" s="571"/>
      <c r="G97" s="571"/>
      <c r="H97" s="571"/>
      <c r="I97" s="571"/>
      <c r="J97" s="571"/>
      <c r="K97" s="571"/>
      <c r="L97" s="571"/>
      <c r="M97" s="580"/>
      <c r="N97" s="581"/>
      <c r="O97" s="600">
        <v>12071000</v>
      </c>
      <c r="P97" s="601"/>
      <c r="Q97" s="581"/>
      <c r="R97" s="581"/>
      <c r="S97" s="581"/>
      <c r="T97" s="581"/>
      <c r="V97" s="481"/>
    </row>
    <row r="98" spans="2:22" ht="18.95" customHeight="1" x14ac:dyDescent="0.2">
      <c r="B98" s="596"/>
      <c r="C98" s="574" t="s">
        <v>601</v>
      </c>
      <c r="D98" s="571"/>
      <c r="E98" s="571"/>
      <c r="F98" s="571"/>
      <c r="G98" s="571"/>
      <c r="H98" s="571"/>
      <c r="I98" s="571"/>
      <c r="J98" s="571"/>
      <c r="K98" s="571"/>
      <c r="L98" s="571"/>
      <c r="M98" s="580"/>
      <c r="N98" s="581"/>
      <c r="O98" s="600">
        <v>284100</v>
      </c>
      <c r="P98" s="601"/>
      <c r="Q98" s="581"/>
      <c r="R98" s="581"/>
      <c r="S98" s="581"/>
      <c r="T98" s="581"/>
      <c r="V98" s="481"/>
    </row>
    <row r="99" spans="2:22" ht="18.95" customHeight="1" x14ac:dyDescent="0.2">
      <c r="B99" s="596"/>
      <c r="C99" s="574" t="s">
        <v>602</v>
      </c>
      <c r="D99" s="571"/>
      <c r="E99" s="571"/>
      <c r="F99" s="571"/>
      <c r="G99" s="571"/>
      <c r="H99" s="571"/>
      <c r="I99" s="571"/>
      <c r="J99" s="571"/>
      <c r="K99" s="571"/>
      <c r="L99" s="571"/>
      <c r="M99" s="580"/>
      <c r="N99" s="581"/>
      <c r="O99" s="600">
        <v>4500</v>
      </c>
      <c r="P99" s="601"/>
      <c r="Q99" s="581"/>
      <c r="R99" s="581"/>
      <c r="S99" s="581"/>
      <c r="T99" s="581"/>
      <c r="V99" s="481"/>
    </row>
    <row r="100" spans="2:22" ht="18.95" customHeight="1" x14ac:dyDescent="0.2">
      <c r="B100" s="596"/>
      <c r="C100" s="588"/>
      <c r="D100" s="581"/>
      <c r="E100" s="581"/>
      <c r="F100" s="581"/>
      <c r="G100" s="581"/>
      <c r="H100" s="581"/>
      <c r="I100" s="581"/>
      <c r="J100" s="581"/>
      <c r="K100" s="581"/>
      <c r="L100" s="581"/>
      <c r="M100" s="581"/>
      <c r="N100" s="581"/>
      <c r="O100" s="601"/>
      <c r="P100" s="601"/>
      <c r="Q100" s="601"/>
      <c r="R100" s="601"/>
      <c r="S100" s="601"/>
      <c r="T100" s="601"/>
      <c r="V100" s="481"/>
    </row>
    <row r="101" spans="2:22" ht="18.95" customHeight="1" thickBot="1" x14ac:dyDescent="0.25">
      <c r="B101" s="597"/>
      <c r="C101" s="589" t="s">
        <v>603</v>
      </c>
      <c r="D101" s="590"/>
      <c r="E101" s="590"/>
      <c r="F101" s="590"/>
      <c r="G101" s="590"/>
      <c r="H101" s="590"/>
      <c r="I101" s="590"/>
      <c r="J101" s="590"/>
      <c r="K101" s="590"/>
      <c r="L101" s="590"/>
      <c r="M101" s="590"/>
      <c r="N101" s="590"/>
      <c r="O101" s="590"/>
      <c r="P101" s="590"/>
      <c r="Q101" s="591"/>
      <c r="R101" s="592"/>
      <c r="S101" s="593">
        <v>17009.767109951725</v>
      </c>
      <c r="T101" s="594"/>
      <c r="V101" s="481"/>
    </row>
    <row r="102" spans="2:22" ht="18.95" customHeight="1" x14ac:dyDescent="0.2">
      <c r="C102" s="581"/>
      <c r="D102" s="581"/>
      <c r="E102" s="581"/>
      <c r="F102" s="581"/>
      <c r="G102" s="581"/>
      <c r="H102" s="581"/>
      <c r="I102" s="581"/>
      <c r="J102" s="581"/>
      <c r="K102" s="581"/>
      <c r="L102" s="581"/>
      <c r="M102" s="581"/>
      <c r="N102" s="581"/>
      <c r="O102" s="581"/>
      <c r="P102" s="581"/>
      <c r="Q102" s="581"/>
      <c r="R102" s="581"/>
      <c r="U102" s="480"/>
    </row>
    <row r="103" spans="2:22" ht="18.95" customHeight="1" x14ac:dyDescent="0.2">
      <c r="C103" s="571" t="s">
        <v>535</v>
      </c>
      <c r="D103" s="571"/>
      <c r="E103" s="571"/>
      <c r="F103" s="571"/>
      <c r="G103" s="571"/>
      <c r="H103" s="571"/>
      <c r="I103" s="571"/>
      <c r="J103" s="571"/>
      <c r="K103" s="571"/>
      <c r="L103" s="571"/>
      <c r="M103" s="580"/>
      <c r="N103" s="581"/>
      <c r="O103" s="581"/>
      <c r="P103" s="581"/>
      <c r="Q103" s="581"/>
      <c r="R103" s="581"/>
    </row>
    <row r="104" spans="2:22" ht="18.95" customHeight="1" x14ac:dyDescent="0.2">
      <c r="C104" s="581"/>
      <c r="D104" s="581"/>
      <c r="E104" s="581"/>
      <c r="F104" s="581"/>
      <c r="G104" s="581"/>
      <c r="H104" s="581"/>
      <c r="I104" s="581"/>
      <c r="J104" s="581"/>
      <c r="K104" s="581"/>
      <c r="L104" s="581"/>
      <c r="M104" s="581"/>
      <c r="N104" s="581"/>
      <c r="O104" s="581"/>
      <c r="P104" s="581"/>
      <c r="Q104" s="581"/>
      <c r="R104" s="581"/>
    </row>
    <row r="105" spans="2:22" x14ac:dyDescent="0.2">
      <c r="C105" s="571" t="s">
        <v>604</v>
      </c>
      <c r="D105" s="571"/>
      <c r="E105" s="571"/>
      <c r="F105" s="571"/>
      <c r="G105" s="571"/>
      <c r="H105" s="571"/>
      <c r="I105" s="571"/>
      <c r="J105" s="571"/>
      <c r="K105" s="571"/>
      <c r="L105" s="571"/>
      <c r="M105" s="580"/>
      <c r="N105" s="581"/>
      <c r="O105" s="585">
        <v>365</v>
      </c>
      <c r="P105" s="581"/>
    </row>
    <row r="107" spans="2:22" x14ac:dyDescent="0.2">
      <c r="C107" s="581" t="s">
        <v>673</v>
      </c>
      <c r="D107" s="581"/>
      <c r="E107" s="581"/>
      <c r="F107" s="581"/>
      <c r="G107" s="581"/>
      <c r="H107" s="581"/>
      <c r="I107" s="581"/>
      <c r="J107" s="581"/>
      <c r="K107" s="581"/>
      <c r="L107" s="581"/>
      <c r="M107" s="581"/>
      <c r="N107" s="581"/>
      <c r="O107" s="581"/>
      <c r="P107" s="581"/>
      <c r="Q107" s="586"/>
      <c r="R107" s="581"/>
      <c r="S107" s="587">
        <v>8606392.2577080112</v>
      </c>
      <c r="T107" s="587"/>
    </row>
  </sheetData>
  <mergeCells count="375">
    <mergeCell ref="C73:L73"/>
    <mergeCell ref="M73:N73"/>
    <mergeCell ref="O73:P73"/>
    <mergeCell ref="M70:N70"/>
    <mergeCell ref="O70:P70"/>
    <mergeCell ref="C71:L71"/>
    <mergeCell ref="M71:N71"/>
    <mergeCell ref="O71:P71"/>
    <mergeCell ref="Q66:R66"/>
    <mergeCell ref="C67:P67"/>
    <mergeCell ref="Q67:R67"/>
    <mergeCell ref="C69:L69"/>
    <mergeCell ref="M69:N69"/>
    <mergeCell ref="O69:P69"/>
    <mergeCell ref="C70:L70"/>
    <mergeCell ref="C72:L72"/>
    <mergeCell ref="M72:N72"/>
    <mergeCell ref="O72:P72"/>
    <mergeCell ref="S67:T67"/>
    <mergeCell ref="C64:L64"/>
    <mergeCell ref="M64:N64"/>
    <mergeCell ref="O64:P64"/>
    <mergeCell ref="B92:B95"/>
    <mergeCell ref="C92:T92"/>
    <mergeCell ref="C93:L93"/>
    <mergeCell ref="M93:N93"/>
    <mergeCell ref="O93:P93"/>
    <mergeCell ref="Q93:T93"/>
    <mergeCell ref="C74:P74"/>
    <mergeCell ref="C75:P75"/>
    <mergeCell ref="Q75:R75"/>
    <mergeCell ref="B84:B91"/>
    <mergeCell ref="C84:T84"/>
    <mergeCell ref="C85:P85"/>
    <mergeCell ref="Q85:R85"/>
    <mergeCell ref="S85:T85"/>
    <mergeCell ref="C86:T86"/>
    <mergeCell ref="C87:L87"/>
    <mergeCell ref="M87:N87"/>
    <mergeCell ref="O87:P87"/>
    <mergeCell ref="Q87:T87"/>
    <mergeCell ref="C88:L88"/>
    <mergeCell ref="C7:L7"/>
    <mergeCell ref="M7:N7"/>
    <mergeCell ref="B8:L8"/>
    <mergeCell ref="W32:X32"/>
    <mergeCell ref="C29:W29"/>
    <mergeCell ref="W33:X33"/>
    <mergeCell ref="W34:X34"/>
    <mergeCell ref="C34:P34"/>
    <mergeCell ref="Q34:R34"/>
    <mergeCell ref="S34:T34"/>
    <mergeCell ref="U34:V34"/>
    <mergeCell ref="C24:L24"/>
    <mergeCell ref="M24:N24"/>
    <mergeCell ref="O24:P24"/>
    <mergeCell ref="Q24:R25"/>
    <mergeCell ref="U24:V25"/>
    <mergeCell ref="C27:W27"/>
    <mergeCell ref="AC11:AF11"/>
    <mergeCell ref="B12:B29"/>
    <mergeCell ref="C12:W12"/>
    <mergeCell ref="AD12:AE12"/>
    <mergeCell ref="C13:L13"/>
    <mergeCell ref="M13:N13"/>
    <mergeCell ref="O13:W13"/>
    <mergeCell ref="AD13:AE13"/>
    <mergeCell ref="C14:W14"/>
    <mergeCell ref="AD14:AE14"/>
    <mergeCell ref="C15:L15"/>
    <mergeCell ref="M15:N15"/>
    <mergeCell ref="O15:P15"/>
    <mergeCell ref="Q15:R16"/>
    <mergeCell ref="U15:V16"/>
    <mergeCell ref="AD15:AE15"/>
    <mergeCell ref="Y16:Z16"/>
    <mergeCell ref="AD16:AE16"/>
    <mergeCell ref="C17:L17"/>
    <mergeCell ref="M17:N17"/>
    <mergeCell ref="O17:P17"/>
    <mergeCell ref="Q17:R17"/>
    <mergeCell ref="S17:T17"/>
    <mergeCell ref="U17:V17"/>
    <mergeCell ref="Y17:Z17"/>
    <mergeCell ref="AD17:AE17"/>
    <mergeCell ref="W17:X17"/>
    <mergeCell ref="W16:X16"/>
    <mergeCell ref="C16:L16"/>
    <mergeCell ref="M16:N16"/>
    <mergeCell ref="O16:P16"/>
    <mergeCell ref="S16:T16"/>
    <mergeCell ref="C21:L21"/>
    <mergeCell ref="M21:N21"/>
    <mergeCell ref="O21:W21"/>
    <mergeCell ref="AD21:AE21"/>
    <mergeCell ref="AD22:AE22"/>
    <mergeCell ref="M23:N23"/>
    <mergeCell ref="AD23:AE23"/>
    <mergeCell ref="AD18:AE18"/>
    <mergeCell ref="C19:L19"/>
    <mergeCell ref="M19:N19"/>
    <mergeCell ref="O19:P19"/>
    <mergeCell ref="Q19:W19"/>
    <mergeCell ref="AD19:AE19"/>
    <mergeCell ref="AD20:AE20"/>
    <mergeCell ref="C18:W18"/>
    <mergeCell ref="AD24:AE24"/>
    <mergeCell ref="C25:L25"/>
    <mergeCell ref="M25:N25"/>
    <mergeCell ref="O25:P25"/>
    <mergeCell ref="S25:T25"/>
    <mergeCell ref="Y25:Z25"/>
    <mergeCell ref="AD25:AE25"/>
    <mergeCell ref="W25:X25"/>
    <mergeCell ref="Y26:Z26"/>
    <mergeCell ref="AD26:AE26"/>
    <mergeCell ref="AD27:AE27"/>
    <mergeCell ref="C28:L28"/>
    <mergeCell ref="M28:N28"/>
    <mergeCell ref="O28:P28"/>
    <mergeCell ref="Q28:W28"/>
    <mergeCell ref="AD28:AE28"/>
    <mergeCell ref="W26:X26"/>
    <mergeCell ref="C26:L26"/>
    <mergeCell ref="M26:N26"/>
    <mergeCell ref="O26:P26"/>
    <mergeCell ref="Q26:R26"/>
    <mergeCell ref="S26:T26"/>
    <mergeCell ref="U26:V26"/>
    <mergeCell ref="AD29:AE29"/>
    <mergeCell ref="B30:B55"/>
    <mergeCell ref="C30:V30"/>
    <mergeCell ref="AD30:AE30"/>
    <mergeCell ref="C31:L31"/>
    <mergeCell ref="M31:N31"/>
    <mergeCell ref="Q31:R32"/>
    <mergeCell ref="U31:V32"/>
    <mergeCell ref="AD31:AE31"/>
    <mergeCell ref="C32:P32"/>
    <mergeCell ref="S32:T32"/>
    <mergeCell ref="Y32:Z32"/>
    <mergeCell ref="AD32:AE32"/>
    <mergeCell ref="C33:P33"/>
    <mergeCell ref="Q33:R33"/>
    <mergeCell ref="S33:T33"/>
    <mergeCell ref="U33:V33"/>
    <mergeCell ref="Y33:Z33"/>
    <mergeCell ref="AD33:AE33"/>
    <mergeCell ref="C55:V55"/>
    <mergeCell ref="Y34:Z34"/>
    <mergeCell ref="AD34:AE34"/>
    <mergeCell ref="C35:P35"/>
    <mergeCell ref="Q35:R35"/>
    <mergeCell ref="Y35:Z35"/>
    <mergeCell ref="AD35:AE35"/>
    <mergeCell ref="W35:X35"/>
    <mergeCell ref="Y36:Z36"/>
    <mergeCell ref="AD36:AE36"/>
    <mergeCell ref="C37:P37"/>
    <mergeCell ref="Q37:R37"/>
    <mergeCell ref="S37:T37"/>
    <mergeCell ref="U37:V37"/>
    <mergeCell ref="W37:X37"/>
    <mergeCell ref="Y37:Z37"/>
    <mergeCell ref="W36:X36"/>
    <mergeCell ref="C36:P36"/>
    <mergeCell ref="Q36:R36"/>
    <mergeCell ref="S36:T36"/>
    <mergeCell ref="U36:V36"/>
    <mergeCell ref="S35:T35"/>
    <mergeCell ref="U35:V35"/>
    <mergeCell ref="Y38:Z38"/>
    <mergeCell ref="AD38:AE38"/>
    <mergeCell ref="C39:P39"/>
    <mergeCell ref="Q39:R39"/>
    <mergeCell ref="S39:T39"/>
    <mergeCell ref="U39:V39"/>
    <mergeCell ref="Y39:Z39"/>
    <mergeCell ref="AD39:AE39"/>
    <mergeCell ref="W38:X38"/>
    <mergeCell ref="W39:X39"/>
    <mergeCell ref="C38:P38"/>
    <mergeCell ref="Q38:R38"/>
    <mergeCell ref="S38:T38"/>
    <mergeCell ref="U38:V38"/>
    <mergeCell ref="Y40:Z40"/>
    <mergeCell ref="AD40:AE40"/>
    <mergeCell ref="C41:P41"/>
    <mergeCell ref="Q41:R41"/>
    <mergeCell ref="S41:T41"/>
    <mergeCell ref="U41:V41"/>
    <mergeCell ref="Y41:Z41"/>
    <mergeCell ref="AD41:AE41"/>
    <mergeCell ref="W40:X40"/>
    <mergeCell ref="W41:X41"/>
    <mergeCell ref="C40:P40"/>
    <mergeCell ref="Q40:R40"/>
    <mergeCell ref="S40:T40"/>
    <mergeCell ref="U40:V40"/>
    <mergeCell ref="Y42:Z42"/>
    <mergeCell ref="AD42:AE42"/>
    <mergeCell ref="C43:P43"/>
    <mergeCell ref="Q43:R43"/>
    <mergeCell ref="S43:T43"/>
    <mergeCell ref="U43:V43"/>
    <mergeCell ref="Y43:Z43"/>
    <mergeCell ref="AD43:AE43"/>
    <mergeCell ref="W42:X42"/>
    <mergeCell ref="W43:X43"/>
    <mergeCell ref="C42:P42"/>
    <mergeCell ref="Q42:R42"/>
    <mergeCell ref="S42:T42"/>
    <mergeCell ref="U42:V42"/>
    <mergeCell ref="Y44:Z44"/>
    <mergeCell ref="AD44:AE44"/>
    <mergeCell ref="C45:P45"/>
    <mergeCell ref="Q45:R45"/>
    <mergeCell ref="S45:T45"/>
    <mergeCell ref="U45:V45"/>
    <mergeCell ref="Y45:Z45"/>
    <mergeCell ref="AD45:AE45"/>
    <mergeCell ref="W44:X44"/>
    <mergeCell ref="W45:X45"/>
    <mergeCell ref="C44:P44"/>
    <mergeCell ref="Q44:R44"/>
    <mergeCell ref="S44:T44"/>
    <mergeCell ref="U44:V44"/>
    <mergeCell ref="Y46:Z46"/>
    <mergeCell ref="AD46:AE46"/>
    <mergeCell ref="C47:P47"/>
    <mergeCell ref="Q47:R47"/>
    <mergeCell ref="S47:T47"/>
    <mergeCell ref="U47:V47"/>
    <mergeCell ref="Y47:Z47"/>
    <mergeCell ref="AD47:AE47"/>
    <mergeCell ref="W46:X46"/>
    <mergeCell ref="W47:X47"/>
    <mergeCell ref="C46:P46"/>
    <mergeCell ref="Q46:R46"/>
    <mergeCell ref="S46:T46"/>
    <mergeCell ref="U46:V46"/>
    <mergeCell ref="AD48:AE48"/>
    <mergeCell ref="C49:L49"/>
    <mergeCell ref="M49:N49"/>
    <mergeCell ref="Q49:R50"/>
    <mergeCell ref="U49:V50"/>
    <mergeCell ref="AD49:AE49"/>
    <mergeCell ref="C50:P50"/>
    <mergeCell ref="S50:T50"/>
    <mergeCell ref="Y50:Z50"/>
    <mergeCell ref="AD50:AE50"/>
    <mergeCell ref="C48:W48"/>
    <mergeCell ref="W50:X50"/>
    <mergeCell ref="Y51:Z51"/>
    <mergeCell ref="AD51:AE51"/>
    <mergeCell ref="C52:P52"/>
    <mergeCell ref="Q52:R52"/>
    <mergeCell ref="S52:T52"/>
    <mergeCell ref="U52:V52"/>
    <mergeCell ref="Y52:Z52"/>
    <mergeCell ref="AD52:AE52"/>
    <mergeCell ref="W51:X51"/>
    <mergeCell ref="C51:P51"/>
    <mergeCell ref="Q51:R51"/>
    <mergeCell ref="S51:T51"/>
    <mergeCell ref="U51:V51"/>
    <mergeCell ref="W52:X52"/>
    <mergeCell ref="C53:P53"/>
    <mergeCell ref="Q53:R53"/>
    <mergeCell ref="S53:T53"/>
    <mergeCell ref="U53:V53"/>
    <mergeCell ref="Y53:Z53"/>
    <mergeCell ref="AD53:AE53"/>
    <mergeCell ref="C54:P54"/>
    <mergeCell ref="Q54:R54"/>
    <mergeCell ref="S54:T54"/>
    <mergeCell ref="U54:V54"/>
    <mergeCell ref="Y54:Z54"/>
    <mergeCell ref="AD54:AE54"/>
    <mergeCell ref="W53:X53"/>
    <mergeCell ref="W54:X54"/>
    <mergeCell ref="AD55:AE55"/>
    <mergeCell ref="B56:B65"/>
    <mergeCell ref="C57:K57"/>
    <mergeCell ref="C58:L58"/>
    <mergeCell ref="M58:N58"/>
    <mergeCell ref="O58:P58"/>
    <mergeCell ref="C59:L59"/>
    <mergeCell ref="M59:N59"/>
    <mergeCell ref="O59:P59"/>
    <mergeCell ref="C61:L61"/>
    <mergeCell ref="M61:N61"/>
    <mergeCell ref="O61:P61"/>
    <mergeCell ref="C62:L62"/>
    <mergeCell ref="M62:N62"/>
    <mergeCell ref="O62:P62"/>
    <mergeCell ref="S75:T75"/>
    <mergeCell ref="B76:B83"/>
    <mergeCell ref="C76:T76"/>
    <mergeCell ref="C77:P77"/>
    <mergeCell ref="Q77:R77"/>
    <mergeCell ref="S77:T77"/>
    <mergeCell ref="C78:T78"/>
    <mergeCell ref="C79:L79"/>
    <mergeCell ref="M79:N79"/>
    <mergeCell ref="O79:P79"/>
    <mergeCell ref="Q79:T79"/>
    <mergeCell ref="C80:L80"/>
    <mergeCell ref="M80:N80"/>
    <mergeCell ref="O80:P80"/>
    <mergeCell ref="Q80:T80"/>
    <mergeCell ref="C81:L81"/>
    <mergeCell ref="M81:N81"/>
    <mergeCell ref="O81:P81"/>
    <mergeCell ref="Q81:T81"/>
    <mergeCell ref="Q83:R83"/>
    <mergeCell ref="S83:T83"/>
    <mergeCell ref="C82:T82"/>
    <mergeCell ref="C83:P83"/>
    <mergeCell ref="B66:B75"/>
    <mergeCell ref="Q88:T88"/>
    <mergeCell ref="C89:L89"/>
    <mergeCell ref="M89:N89"/>
    <mergeCell ref="O89:P89"/>
    <mergeCell ref="Q89:T89"/>
    <mergeCell ref="C90:T90"/>
    <mergeCell ref="C91:P91"/>
    <mergeCell ref="Q91:R91"/>
    <mergeCell ref="S91:T91"/>
    <mergeCell ref="M88:N88"/>
    <mergeCell ref="O88:P88"/>
    <mergeCell ref="C94:T94"/>
    <mergeCell ref="C95:P95"/>
    <mergeCell ref="Q95:R95"/>
    <mergeCell ref="S95:T95"/>
    <mergeCell ref="B96:B101"/>
    <mergeCell ref="C96:T96"/>
    <mergeCell ref="C97:L97"/>
    <mergeCell ref="M97:N97"/>
    <mergeCell ref="O97:P97"/>
    <mergeCell ref="Q97:T97"/>
    <mergeCell ref="C98:L98"/>
    <mergeCell ref="M98:N98"/>
    <mergeCell ref="O98:P98"/>
    <mergeCell ref="Q98:T98"/>
    <mergeCell ref="C99:L99"/>
    <mergeCell ref="M99:N99"/>
    <mergeCell ref="O99:P99"/>
    <mergeCell ref="Q99:T99"/>
    <mergeCell ref="C100:L100"/>
    <mergeCell ref="M100:N100"/>
    <mergeCell ref="O100:T100"/>
    <mergeCell ref="C101:P101"/>
    <mergeCell ref="Q101:R101"/>
    <mergeCell ref="S101:T101"/>
    <mergeCell ref="O105:P105"/>
    <mergeCell ref="C107:L107"/>
    <mergeCell ref="M107:N107"/>
    <mergeCell ref="O107:P107"/>
    <mergeCell ref="Q107:R107"/>
    <mergeCell ref="S107:T107"/>
    <mergeCell ref="C102:L102"/>
    <mergeCell ref="M102:N102"/>
    <mergeCell ref="O102:P102"/>
    <mergeCell ref="Q102:R102"/>
    <mergeCell ref="C103:L103"/>
    <mergeCell ref="M103:N103"/>
    <mergeCell ref="O103:P103"/>
    <mergeCell ref="Q103:R103"/>
    <mergeCell ref="C104:L104"/>
    <mergeCell ref="M104:N104"/>
    <mergeCell ref="O104:P104"/>
    <mergeCell ref="Q104:R104"/>
    <mergeCell ref="C105:L105"/>
    <mergeCell ref="M105:N105"/>
  </mergeCells>
  <pageMargins left="0.7" right="0.7" top="0.75" bottom="0.75" header="0.3" footer="0.3"/>
  <pageSetup scale="56" fitToHeight="0" orientation="landscape" horizontalDpi="90" verticalDpi="90" r:id="rId1"/>
  <rowBreaks count="2" manualBreakCount="2">
    <brk id="29" min="1" max="26" man="1"/>
    <brk id="65" min="1" max="26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844E2-59D9-48A4-B88C-72F05B6C41D9}">
  <sheetPr>
    <tabColor rgb="FFDCE6F1"/>
    <pageSetUpPr fitToPage="1"/>
  </sheetPr>
  <dimension ref="A2:AF106"/>
  <sheetViews>
    <sheetView tabSelected="1" view="pageBreakPreview" topLeftCell="A82" zoomScale="60" zoomScaleNormal="100" workbookViewId="0">
      <selection activeCell="C105" sqref="C105:J105"/>
    </sheetView>
  </sheetViews>
  <sheetFormatPr defaultColWidth="9.140625" defaultRowHeight="12.75" x14ac:dyDescent="0.2"/>
  <cols>
    <col min="1" max="7" width="8.42578125" style="478" customWidth="1"/>
    <col min="8" max="18" width="6.7109375" style="478" customWidth="1"/>
    <col min="19" max="19" width="9" style="478" customWidth="1"/>
    <col min="20" max="28" width="6.7109375" style="478" customWidth="1"/>
    <col min="29" max="32" width="11.5703125" style="478" customWidth="1"/>
    <col min="33" max="52" width="6.7109375" style="478" customWidth="1"/>
    <col min="53" max="118" width="12.140625" style="478" customWidth="1"/>
    <col min="119" max="16384" width="9.140625" style="478"/>
  </cols>
  <sheetData>
    <row r="2" spans="1:32" ht="26.25" x14ac:dyDescent="0.4">
      <c r="B2" s="345" t="s">
        <v>515</v>
      </c>
    </row>
    <row r="3" spans="1:32" ht="18.95" customHeight="1" x14ac:dyDescent="0.3">
      <c r="B3" s="323" t="s">
        <v>516</v>
      </c>
      <c r="C3" s="346"/>
      <c r="D3" s="346"/>
      <c r="E3" s="346"/>
      <c r="F3" s="346"/>
      <c r="G3" s="346"/>
      <c r="H3" s="346"/>
      <c r="I3" s="346"/>
      <c r="J3" s="346"/>
      <c r="P3" s="326"/>
      <c r="Q3" s="326"/>
      <c r="R3" s="326"/>
      <c r="S3" s="326"/>
      <c r="T3" s="326"/>
      <c r="U3" s="326"/>
    </row>
    <row r="4" spans="1:32" ht="18.95" customHeight="1" x14ac:dyDescent="0.3">
      <c r="B4" s="323" t="s">
        <v>517</v>
      </c>
      <c r="C4" s="346"/>
      <c r="D4" s="346"/>
      <c r="E4" s="346"/>
      <c r="F4" s="346"/>
      <c r="G4" s="346"/>
      <c r="H4" s="346"/>
      <c r="I4" s="346"/>
      <c r="J4" s="346"/>
      <c r="P4" s="326"/>
      <c r="Q4" s="326"/>
      <c r="R4" s="326"/>
      <c r="S4" s="326"/>
      <c r="T4" s="326"/>
      <c r="U4" s="326"/>
    </row>
    <row r="5" spans="1:32" ht="18.95" customHeight="1" x14ac:dyDescent="0.35">
      <c r="C5" s="324" t="s">
        <v>483</v>
      </c>
      <c r="D5" s="324"/>
      <c r="E5" s="324"/>
      <c r="F5" s="324"/>
      <c r="G5" s="324"/>
      <c r="H5" s="324"/>
      <c r="I5" s="324"/>
      <c r="J5" s="324"/>
    </row>
    <row r="6" spans="1:32" ht="18.95" customHeight="1" x14ac:dyDescent="0.2"/>
    <row r="7" spans="1:32" ht="18.95" customHeight="1" x14ac:dyDescent="0.2">
      <c r="C7" s="571" t="s">
        <v>538</v>
      </c>
      <c r="D7" s="571"/>
      <c r="E7" s="571"/>
      <c r="F7" s="571"/>
      <c r="G7" s="571"/>
      <c r="H7" s="571"/>
      <c r="I7" s="571"/>
      <c r="J7" s="571"/>
      <c r="K7" s="580">
        <v>4</v>
      </c>
      <c r="L7" s="581"/>
      <c r="W7" s="326"/>
    </row>
    <row r="8" spans="1:32" ht="18.95" customHeight="1" x14ac:dyDescent="0.2">
      <c r="A8" s="325"/>
      <c r="C8" s="474"/>
      <c r="D8" s="474"/>
      <c r="E8" s="474"/>
      <c r="F8" s="474"/>
      <c r="G8" s="474"/>
      <c r="H8" s="474"/>
      <c r="I8" s="474"/>
      <c r="J8" s="474"/>
      <c r="W8" s="326"/>
    </row>
    <row r="9" spans="1:32" ht="18.95" customHeight="1" x14ac:dyDescent="0.2">
      <c r="C9" s="474"/>
      <c r="D9" s="474"/>
      <c r="E9" s="474"/>
      <c r="F9" s="474"/>
      <c r="G9" s="474"/>
      <c r="H9" s="474"/>
      <c r="I9" s="474"/>
      <c r="J9" s="474"/>
      <c r="W9" s="326"/>
    </row>
    <row r="10" spans="1:32" ht="18.95" customHeight="1" thickBot="1" x14ac:dyDescent="0.25">
      <c r="B10" s="326" t="s">
        <v>520</v>
      </c>
    </row>
    <row r="11" spans="1:32" ht="18.95" customHeight="1" thickBot="1" x14ac:dyDescent="0.4">
      <c r="C11" s="474"/>
      <c r="D11" s="474"/>
      <c r="E11" s="474"/>
      <c r="F11" s="474"/>
      <c r="G11" s="474"/>
      <c r="H11" s="474"/>
      <c r="I11" s="474"/>
      <c r="J11" s="474"/>
      <c r="AC11" s="633" t="s">
        <v>521</v>
      </c>
      <c r="AD11" s="634"/>
      <c r="AE11" s="634"/>
      <c r="AF11" s="635"/>
    </row>
    <row r="12" spans="1:32" ht="18.95" customHeight="1" thickBot="1" x14ac:dyDescent="0.35">
      <c r="B12" s="595" t="s">
        <v>540</v>
      </c>
      <c r="C12" s="664"/>
      <c r="D12" s="665"/>
      <c r="E12" s="665"/>
      <c r="F12" s="665"/>
      <c r="G12" s="665"/>
      <c r="H12" s="665"/>
      <c r="I12" s="665"/>
      <c r="J12" s="665"/>
      <c r="K12" s="665"/>
      <c r="L12" s="665"/>
      <c r="M12" s="665"/>
      <c r="N12" s="665"/>
      <c r="O12" s="665"/>
      <c r="P12" s="665"/>
      <c r="Q12" s="665"/>
      <c r="R12" s="665"/>
      <c r="S12" s="665"/>
      <c r="T12" s="665"/>
      <c r="U12" s="665"/>
      <c r="V12" s="665"/>
      <c r="W12" s="665"/>
      <c r="X12" s="665"/>
      <c r="Y12" s="666"/>
      <c r="AC12" s="347" t="s">
        <v>523</v>
      </c>
      <c r="AD12" s="636" t="s">
        <v>524</v>
      </c>
      <c r="AE12" s="636"/>
      <c r="AF12" s="348" t="s">
        <v>525</v>
      </c>
    </row>
    <row r="13" spans="1:32" ht="18.95" customHeight="1" x14ac:dyDescent="0.2">
      <c r="B13" s="596"/>
      <c r="C13" s="574" t="s">
        <v>605</v>
      </c>
      <c r="D13" s="571">
        <v>3</v>
      </c>
      <c r="E13" s="571"/>
      <c r="F13" s="571"/>
      <c r="G13" s="571"/>
      <c r="H13" s="571"/>
      <c r="I13" s="571"/>
      <c r="J13" s="571"/>
      <c r="K13" s="580">
        <v>2</v>
      </c>
      <c r="L13" s="581"/>
      <c r="M13" s="632"/>
      <c r="N13" s="632"/>
      <c r="O13" s="632"/>
      <c r="P13" s="632"/>
      <c r="Q13" s="632"/>
      <c r="R13" s="632"/>
      <c r="S13" s="632"/>
      <c r="T13" s="632"/>
      <c r="U13" s="632"/>
      <c r="V13" s="632"/>
      <c r="W13" s="632"/>
      <c r="X13" s="632"/>
      <c r="Y13" s="663"/>
      <c r="AC13" s="328"/>
      <c r="AD13" s="637"/>
      <c r="AE13" s="637"/>
      <c r="AF13" s="329"/>
    </row>
    <row r="14" spans="1:32" ht="18.95" customHeight="1" x14ac:dyDescent="0.2">
      <c r="B14" s="596"/>
      <c r="C14" s="481"/>
      <c r="O14" s="618" t="s">
        <v>543</v>
      </c>
      <c r="P14" s="618"/>
      <c r="S14" s="618" t="s">
        <v>544</v>
      </c>
      <c r="T14" s="618"/>
      <c r="Y14" s="339"/>
      <c r="AC14" s="330"/>
      <c r="AD14" s="613"/>
      <c r="AE14" s="613"/>
      <c r="AF14" s="331"/>
    </row>
    <row r="15" spans="1:32" ht="18.95" customHeight="1" x14ac:dyDescent="0.2">
      <c r="B15" s="596"/>
      <c r="C15" s="574" t="s">
        <v>542</v>
      </c>
      <c r="D15" s="571"/>
      <c r="E15" s="571"/>
      <c r="F15" s="571"/>
      <c r="G15" s="571"/>
      <c r="H15" s="571"/>
      <c r="I15" s="571"/>
      <c r="J15" s="571"/>
      <c r="K15" s="580">
        <v>5.9279999999999999</v>
      </c>
      <c r="L15" s="581"/>
      <c r="M15" s="581"/>
      <c r="N15" s="581"/>
      <c r="O15" s="618"/>
      <c r="P15" s="618"/>
      <c r="Q15" s="581" t="s">
        <v>546</v>
      </c>
      <c r="R15" s="581"/>
      <c r="S15" s="618"/>
      <c r="T15" s="618"/>
      <c r="U15" s="581" t="s">
        <v>547</v>
      </c>
      <c r="V15" s="581"/>
      <c r="W15" s="581" t="s">
        <v>548</v>
      </c>
      <c r="X15" s="581"/>
      <c r="Y15" s="339"/>
      <c r="AC15" s="330"/>
      <c r="AD15" s="613"/>
      <c r="AE15" s="613"/>
      <c r="AF15" s="331"/>
    </row>
    <row r="16" spans="1:32" ht="18.95" customHeight="1" x14ac:dyDescent="0.2">
      <c r="B16" s="596"/>
      <c r="C16" s="574" t="s">
        <v>545</v>
      </c>
      <c r="D16" s="571"/>
      <c r="E16" s="571"/>
      <c r="F16" s="571"/>
      <c r="G16" s="571"/>
      <c r="H16" s="571"/>
      <c r="I16" s="571"/>
      <c r="J16" s="571"/>
      <c r="K16" s="580">
        <v>10</v>
      </c>
      <c r="L16" s="581"/>
      <c r="M16" s="581"/>
      <c r="N16" s="581"/>
      <c r="O16" s="586"/>
      <c r="P16" s="581"/>
      <c r="Q16" s="624">
        <v>10</v>
      </c>
      <c r="R16" s="581"/>
      <c r="S16" s="586"/>
      <c r="T16" s="581"/>
      <c r="U16" s="624">
        <v>3</v>
      </c>
      <c r="V16" s="581"/>
      <c r="W16" s="624">
        <v>-7</v>
      </c>
      <c r="X16" s="581"/>
      <c r="Y16" s="339"/>
      <c r="AC16" s="330"/>
      <c r="AD16" s="613"/>
      <c r="AE16" s="613"/>
      <c r="AF16" s="331"/>
    </row>
    <row r="17" spans="2:32" ht="18.95" customHeight="1" x14ac:dyDescent="0.2">
      <c r="B17" s="596"/>
      <c r="C17" s="574" t="s">
        <v>606</v>
      </c>
      <c r="D17" s="571"/>
      <c r="E17" s="571"/>
      <c r="F17" s="571"/>
      <c r="G17" s="571"/>
      <c r="H17" s="571"/>
      <c r="I17" s="571"/>
      <c r="J17" s="571"/>
      <c r="K17" s="580"/>
      <c r="L17" s="581"/>
      <c r="M17" s="585">
        <v>88000</v>
      </c>
      <c r="N17" s="581"/>
      <c r="O17" s="586"/>
      <c r="P17" s="670"/>
      <c r="Q17" s="624">
        <v>88000</v>
      </c>
      <c r="R17" s="581"/>
      <c r="S17" s="586"/>
      <c r="T17" s="670"/>
      <c r="U17" s="624">
        <v>92400</v>
      </c>
      <c r="V17" s="581"/>
      <c r="W17" s="624">
        <v>4400</v>
      </c>
      <c r="X17" s="581"/>
      <c r="Y17" s="339"/>
      <c r="AC17" s="330"/>
      <c r="AD17" s="613"/>
      <c r="AE17" s="613"/>
      <c r="AF17" s="331"/>
    </row>
    <row r="18" spans="2:32" ht="18.95" customHeight="1" x14ac:dyDescent="0.2">
      <c r="B18" s="596"/>
      <c r="C18" s="673"/>
      <c r="D18" s="632"/>
      <c r="E18" s="632"/>
      <c r="F18" s="632"/>
      <c r="G18" s="632"/>
      <c r="H18" s="632"/>
      <c r="I18" s="632"/>
      <c r="J18" s="632"/>
      <c r="K18" s="632"/>
      <c r="L18" s="632"/>
      <c r="M18" s="632"/>
      <c r="N18" s="632"/>
      <c r="O18" s="632"/>
      <c r="P18" s="632"/>
      <c r="Q18" s="632"/>
      <c r="R18" s="632"/>
      <c r="S18" s="632"/>
      <c r="T18" s="632"/>
      <c r="U18" s="632"/>
      <c r="V18" s="632"/>
      <c r="W18" s="632"/>
      <c r="X18" s="632"/>
      <c r="Y18" s="663"/>
      <c r="AA18" s="327"/>
      <c r="AC18" s="332"/>
      <c r="AD18" s="613"/>
      <c r="AE18" s="613"/>
      <c r="AF18" s="331"/>
    </row>
    <row r="19" spans="2:32" ht="18.95" customHeight="1" x14ac:dyDescent="0.2">
      <c r="B19" s="596"/>
      <c r="C19" s="574" t="s">
        <v>550</v>
      </c>
      <c r="D19" s="571"/>
      <c r="E19" s="571"/>
      <c r="F19" s="571"/>
      <c r="G19" s="571"/>
      <c r="H19" s="571"/>
      <c r="I19" s="571"/>
      <c r="J19" s="571"/>
      <c r="K19" s="580">
        <v>55</v>
      </c>
      <c r="L19" s="581"/>
      <c r="M19" s="585">
        <v>55</v>
      </c>
      <c r="N19" s="581"/>
      <c r="O19" s="632"/>
      <c r="P19" s="632"/>
      <c r="Q19" s="632"/>
      <c r="R19" s="632"/>
      <c r="S19" s="632"/>
      <c r="T19" s="632"/>
      <c r="U19" s="632"/>
      <c r="V19" s="632"/>
      <c r="W19" s="632"/>
      <c r="X19" s="632"/>
      <c r="Y19" s="663"/>
      <c r="AA19" s="327" t="s">
        <v>532</v>
      </c>
      <c r="AC19" s="332" t="s">
        <v>532</v>
      </c>
      <c r="AD19" s="613"/>
      <c r="AE19" s="613"/>
      <c r="AF19" s="331"/>
    </row>
    <row r="20" spans="2:32" ht="18.95" customHeight="1" thickBot="1" x14ac:dyDescent="0.25">
      <c r="B20" s="597"/>
      <c r="C20" s="667"/>
      <c r="D20" s="668"/>
      <c r="E20" s="668"/>
      <c r="F20" s="668"/>
      <c r="G20" s="668"/>
      <c r="H20" s="668"/>
      <c r="I20" s="668"/>
      <c r="J20" s="668"/>
      <c r="K20" s="671"/>
      <c r="L20" s="668"/>
      <c r="M20" s="672"/>
      <c r="N20" s="668"/>
      <c r="O20" s="668"/>
      <c r="P20" s="668"/>
      <c r="Q20" s="668"/>
      <c r="R20" s="668"/>
      <c r="S20" s="668"/>
      <c r="T20" s="668"/>
      <c r="U20" s="668"/>
      <c r="V20" s="668"/>
      <c r="W20" s="668"/>
      <c r="X20" s="668"/>
      <c r="Y20" s="669"/>
      <c r="AA20" s="327"/>
      <c r="AC20" s="332"/>
      <c r="AD20" s="613"/>
      <c r="AE20" s="613"/>
      <c r="AF20" s="331"/>
    </row>
    <row r="21" spans="2:32" ht="18.95" customHeight="1" x14ac:dyDescent="0.2">
      <c r="B21" s="595" t="s">
        <v>522</v>
      </c>
      <c r="C21" s="664"/>
      <c r="D21" s="665"/>
      <c r="E21" s="665"/>
      <c r="F21" s="665"/>
      <c r="G21" s="665"/>
      <c r="H21" s="665"/>
      <c r="I21" s="665"/>
      <c r="J21" s="665"/>
      <c r="K21" s="665"/>
      <c r="L21" s="665"/>
      <c r="M21" s="665"/>
      <c r="N21" s="665"/>
      <c r="O21" s="665"/>
      <c r="P21" s="665"/>
      <c r="Q21" s="665"/>
      <c r="R21" s="665"/>
      <c r="S21" s="665"/>
      <c r="T21" s="665"/>
      <c r="U21" s="665"/>
      <c r="V21" s="665"/>
      <c r="W21" s="665"/>
      <c r="X21" s="665"/>
      <c r="Y21" s="666"/>
      <c r="AA21" s="327"/>
      <c r="AC21" s="332"/>
      <c r="AD21" s="613"/>
      <c r="AE21" s="613"/>
      <c r="AF21" s="331"/>
    </row>
    <row r="22" spans="2:32" ht="18.95" customHeight="1" x14ac:dyDescent="0.2">
      <c r="B22" s="596"/>
      <c r="C22" s="574" t="s">
        <v>607</v>
      </c>
      <c r="D22" s="571"/>
      <c r="E22" s="571"/>
      <c r="F22" s="571"/>
      <c r="G22" s="571"/>
      <c r="H22" s="571"/>
      <c r="I22" s="571"/>
      <c r="J22" s="571"/>
      <c r="K22" s="580">
        <v>36602</v>
      </c>
      <c r="L22" s="581"/>
      <c r="O22" s="618" t="s">
        <v>543</v>
      </c>
      <c r="P22" s="618"/>
      <c r="S22" s="618" t="s">
        <v>544</v>
      </c>
      <c r="T22" s="618"/>
      <c r="Y22" s="339"/>
      <c r="AA22" s="327"/>
      <c r="AC22" s="332"/>
      <c r="AD22" s="613"/>
      <c r="AE22" s="613"/>
      <c r="AF22" s="331"/>
    </row>
    <row r="23" spans="2:32" ht="18.95" customHeight="1" x14ac:dyDescent="0.2">
      <c r="B23" s="596"/>
      <c r="C23" s="574"/>
      <c r="D23" s="571"/>
      <c r="E23" s="571"/>
      <c r="F23" s="571"/>
      <c r="G23" s="571"/>
      <c r="H23" s="571"/>
      <c r="I23" s="571"/>
      <c r="J23" s="571"/>
      <c r="K23" s="571"/>
      <c r="L23" s="571"/>
      <c r="M23" s="571"/>
      <c r="N23" s="571"/>
      <c r="O23" s="618"/>
      <c r="P23" s="618"/>
      <c r="Q23" s="581" t="s">
        <v>546</v>
      </c>
      <c r="R23" s="581"/>
      <c r="S23" s="618"/>
      <c r="T23" s="618"/>
      <c r="U23" s="581" t="s">
        <v>547</v>
      </c>
      <c r="V23" s="581"/>
      <c r="W23" s="581" t="s">
        <v>548</v>
      </c>
      <c r="X23" s="581"/>
      <c r="Y23" s="339"/>
      <c r="AC23" s="332"/>
      <c r="AD23" s="613"/>
      <c r="AE23" s="613"/>
      <c r="AF23" s="331"/>
    </row>
    <row r="24" spans="2:32" ht="18.95" customHeight="1" x14ac:dyDescent="0.2">
      <c r="B24" s="596"/>
      <c r="C24" s="574" t="s">
        <v>559</v>
      </c>
      <c r="D24" s="571"/>
      <c r="E24" s="571"/>
      <c r="F24" s="571"/>
      <c r="G24" s="571"/>
      <c r="H24" s="571"/>
      <c r="I24" s="571"/>
      <c r="J24" s="571"/>
      <c r="K24" s="571"/>
      <c r="L24" s="571"/>
      <c r="M24" s="571"/>
      <c r="N24" s="571"/>
      <c r="O24" s="662"/>
      <c r="P24" s="615"/>
      <c r="Q24" s="614">
        <v>54.826283598407798</v>
      </c>
      <c r="R24" s="615"/>
      <c r="S24" s="662"/>
      <c r="T24" s="615"/>
      <c r="U24" s="614">
        <v>57.594816368328651</v>
      </c>
      <c r="V24" s="615"/>
      <c r="W24" s="614">
        <v>2.7685327699208528</v>
      </c>
      <c r="X24" s="615"/>
      <c r="Y24" s="339"/>
      <c r="AC24" s="332"/>
      <c r="AD24" s="613"/>
      <c r="AE24" s="613"/>
      <c r="AF24" s="331"/>
    </row>
    <row r="25" spans="2:32" ht="18.95" customHeight="1" x14ac:dyDescent="0.2">
      <c r="B25" s="596"/>
      <c r="C25" s="574" t="s">
        <v>560</v>
      </c>
      <c r="D25" s="571"/>
      <c r="E25" s="571"/>
      <c r="F25" s="571"/>
      <c r="G25" s="571"/>
      <c r="H25" s="571"/>
      <c r="I25" s="571"/>
      <c r="J25" s="571"/>
      <c r="K25" s="571"/>
      <c r="L25" s="571"/>
      <c r="M25" s="571"/>
      <c r="N25" s="571"/>
      <c r="O25" s="656"/>
      <c r="P25" s="607"/>
      <c r="Q25" s="606">
        <v>216976.65599999999</v>
      </c>
      <c r="R25" s="607"/>
      <c r="S25" s="656"/>
      <c r="T25" s="607"/>
      <c r="U25" s="606">
        <v>216976.65599999999</v>
      </c>
      <c r="V25" s="607"/>
      <c r="W25" s="606">
        <v>0</v>
      </c>
      <c r="X25" s="607"/>
      <c r="Y25" s="339"/>
      <c r="AC25" s="332"/>
      <c r="AD25" s="613"/>
      <c r="AE25" s="613"/>
      <c r="AF25" s="331"/>
    </row>
    <row r="26" spans="2:32" ht="18.95" customHeight="1" x14ac:dyDescent="0.2">
      <c r="B26" s="596"/>
      <c r="C26" s="574" t="s">
        <v>561</v>
      </c>
      <c r="D26" s="571"/>
      <c r="E26" s="571"/>
      <c r="F26" s="571"/>
      <c r="G26" s="571"/>
      <c r="H26" s="571"/>
      <c r="I26" s="571"/>
      <c r="J26" s="571"/>
      <c r="K26" s="571"/>
      <c r="L26" s="571"/>
      <c r="M26" s="571"/>
      <c r="N26" s="571"/>
      <c r="O26" s="656"/>
      <c r="P26" s="606"/>
      <c r="Q26" s="606">
        <v>0.41593181818181818</v>
      </c>
      <c r="R26" s="606"/>
      <c r="S26" s="656"/>
      <c r="T26" s="606"/>
      <c r="U26" s="606">
        <v>0.3961255411255411</v>
      </c>
      <c r="V26" s="606"/>
      <c r="W26" s="606">
        <v>-1.9806277056277077E-2</v>
      </c>
      <c r="X26" s="606"/>
      <c r="Y26" s="339"/>
      <c r="AC26" s="332"/>
      <c r="AD26" s="613"/>
      <c r="AE26" s="613"/>
      <c r="AF26" s="331"/>
    </row>
    <row r="27" spans="2:32" ht="18.95" customHeight="1" x14ac:dyDescent="0.25">
      <c r="B27" s="596"/>
      <c r="C27" s="660" t="s">
        <v>562</v>
      </c>
      <c r="D27" s="661"/>
      <c r="E27" s="661"/>
      <c r="F27" s="661"/>
      <c r="G27" s="661"/>
      <c r="H27" s="661"/>
      <c r="I27" s="661"/>
      <c r="J27" s="661"/>
      <c r="K27" s="661"/>
      <c r="L27" s="661"/>
      <c r="M27" s="661"/>
      <c r="N27" s="661"/>
      <c r="O27" s="626"/>
      <c r="P27" s="626"/>
      <c r="Q27" s="625">
        <v>1.0031684876338627</v>
      </c>
      <c r="R27" s="625"/>
      <c r="S27" s="626"/>
      <c r="T27" s="626"/>
      <c r="U27" s="625">
        <v>0.9549470502391334</v>
      </c>
      <c r="V27" s="625"/>
      <c r="W27" s="625">
        <v>-4.8221437394729283E-2</v>
      </c>
      <c r="X27" s="625"/>
      <c r="Y27" s="339"/>
      <c r="AC27" s="332"/>
      <c r="AD27" s="613"/>
      <c r="AE27" s="613"/>
      <c r="AF27" s="331"/>
    </row>
    <row r="28" spans="2:32" ht="18.95" customHeight="1" x14ac:dyDescent="0.25">
      <c r="B28" s="596"/>
      <c r="C28" s="660" t="s">
        <v>563</v>
      </c>
      <c r="D28" s="661"/>
      <c r="E28" s="661"/>
      <c r="F28" s="661"/>
      <c r="G28" s="661"/>
      <c r="H28" s="661"/>
      <c r="I28" s="661"/>
      <c r="J28" s="661"/>
      <c r="K28" s="661"/>
      <c r="L28" s="661"/>
      <c r="M28" s="661"/>
      <c r="N28" s="661"/>
      <c r="O28" s="626"/>
      <c r="P28" s="626"/>
      <c r="Q28" s="625">
        <v>0.97271113338082571</v>
      </c>
      <c r="R28" s="625"/>
      <c r="S28" s="626"/>
      <c r="T28" s="626"/>
      <c r="U28" s="628">
        <v>0.93648461206008382</v>
      </c>
      <c r="V28" s="628"/>
      <c r="W28" s="625">
        <v>-3.6226521320741889E-2</v>
      </c>
      <c r="X28" s="625"/>
      <c r="Y28" s="339"/>
      <c r="AC28" s="332"/>
      <c r="AD28" s="613"/>
      <c r="AE28" s="613"/>
      <c r="AF28" s="331"/>
    </row>
    <row r="29" spans="2:32" ht="18.95" customHeight="1" x14ac:dyDescent="0.25">
      <c r="B29" s="596"/>
      <c r="C29" s="660" t="s">
        <v>564</v>
      </c>
      <c r="D29" s="661"/>
      <c r="E29" s="661"/>
      <c r="F29" s="661"/>
      <c r="G29" s="661"/>
      <c r="H29" s="661"/>
      <c r="I29" s="661"/>
      <c r="J29" s="661"/>
      <c r="K29" s="661"/>
      <c r="L29" s="661"/>
      <c r="M29" s="661"/>
      <c r="N29" s="661"/>
      <c r="O29" s="626"/>
      <c r="P29" s="626"/>
      <c r="Q29" s="625">
        <v>0.95209344094274018</v>
      </c>
      <c r="R29" s="625"/>
      <c r="S29" s="626"/>
      <c r="T29" s="626"/>
      <c r="U29" s="628">
        <v>0.90354391669020584</v>
      </c>
      <c r="V29" s="628"/>
      <c r="W29" s="625">
        <v>-3.6226521320741889E-2</v>
      </c>
      <c r="X29" s="625"/>
      <c r="Y29" s="339"/>
      <c r="AC29" s="332"/>
      <c r="AD29" s="613"/>
      <c r="AE29" s="613"/>
      <c r="AF29" s="331"/>
    </row>
    <row r="30" spans="2:32" ht="18.95" customHeight="1" x14ac:dyDescent="0.25">
      <c r="B30" s="596"/>
      <c r="C30" s="660" t="s">
        <v>565</v>
      </c>
      <c r="D30" s="661"/>
      <c r="E30" s="661"/>
      <c r="F30" s="661"/>
      <c r="G30" s="661"/>
      <c r="H30" s="661"/>
      <c r="I30" s="661"/>
      <c r="J30" s="661"/>
      <c r="K30" s="661"/>
      <c r="L30" s="661"/>
      <c r="M30" s="661"/>
      <c r="N30" s="661"/>
      <c r="O30" s="626"/>
      <c r="P30" s="626"/>
      <c r="Q30" s="625">
        <v>0.89845798741690674</v>
      </c>
      <c r="R30" s="625"/>
      <c r="S30" s="626"/>
      <c r="T30" s="626"/>
      <c r="U30" s="628">
        <v>0.75916656797629234</v>
      </c>
      <c r="V30" s="628"/>
      <c r="W30" s="625">
        <v>-4.8549524252534337E-2</v>
      </c>
      <c r="X30" s="625"/>
      <c r="Y30" s="339"/>
      <c r="AC30" s="332"/>
      <c r="AD30" s="613"/>
      <c r="AE30" s="613"/>
      <c r="AF30" s="331"/>
    </row>
    <row r="31" spans="2:32" ht="18.95" customHeight="1" x14ac:dyDescent="0.25">
      <c r="B31" s="596"/>
      <c r="C31" s="660" t="s">
        <v>566</v>
      </c>
      <c r="D31" s="661"/>
      <c r="E31" s="661"/>
      <c r="F31" s="661"/>
      <c r="G31" s="661"/>
      <c r="H31" s="661"/>
      <c r="I31" s="661"/>
      <c r="J31" s="661"/>
      <c r="K31" s="661"/>
      <c r="L31" s="661"/>
      <c r="M31" s="661"/>
      <c r="N31" s="661"/>
      <c r="O31" s="626"/>
      <c r="P31" s="626"/>
      <c r="Q31" s="627">
        <v>-81.595134049578391</v>
      </c>
      <c r="R31" s="627"/>
      <c r="S31" s="626"/>
      <c r="T31" s="626"/>
      <c r="U31" s="627">
        <v>-124.09731254219498</v>
      </c>
      <c r="V31" s="627"/>
      <c r="W31" s="625">
        <v>-42.502178492616594</v>
      </c>
      <c r="X31" s="625"/>
      <c r="Y31" s="339"/>
      <c r="AC31" s="332"/>
      <c r="AD31" s="613"/>
      <c r="AE31" s="613"/>
      <c r="AF31" s="331"/>
    </row>
    <row r="32" spans="2:32" ht="18.95" customHeight="1" x14ac:dyDescent="0.25">
      <c r="B32" s="596"/>
      <c r="C32" s="660" t="s">
        <v>567</v>
      </c>
      <c r="D32" s="661"/>
      <c r="E32" s="661"/>
      <c r="F32" s="661"/>
      <c r="G32" s="661"/>
      <c r="H32" s="661"/>
      <c r="I32" s="661"/>
      <c r="J32" s="661"/>
      <c r="K32" s="661"/>
      <c r="L32" s="661"/>
      <c r="M32" s="661"/>
      <c r="N32" s="661"/>
      <c r="O32" s="626"/>
      <c r="P32" s="626"/>
      <c r="Q32" s="627">
        <v>-293.85904444558986</v>
      </c>
      <c r="R32" s="627"/>
      <c r="S32" s="626"/>
      <c r="T32" s="626"/>
      <c r="U32" s="627">
        <v>-668.0093570871843</v>
      </c>
      <c r="V32" s="627"/>
      <c r="W32" s="625">
        <v>-374.15031264159444</v>
      </c>
      <c r="X32" s="625"/>
      <c r="Y32" s="339"/>
      <c r="AC32" s="332"/>
      <c r="AD32" s="613"/>
      <c r="AE32" s="613"/>
      <c r="AF32" s="331"/>
    </row>
    <row r="33" spans="1:32" ht="18" customHeight="1" x14ac:dyDescent="0.2">
      <c r="B33" s="596"/>
      <c r="C33" s="574" t="s">
        <v>568</v>
      </c>
      <c r="D33" s="571"/>
      <c r="E33" s="571"/>
      <c r="F33" s="571"/>
      <c r="G33" s="571"/>
      <c r="H33" s="571"/>
      <c r="I33" s="571"/>
      <c r="J33" s="571"/>
      <c r="K33" s="571"/>
      <c r="L33" s="571"/>
      <c r="M33" s="571"/>
      <c r="N33" s="571"/>
      <c r="O33" s="656"/>
      <c r="P33" s="607"/>
      <c r="Q33" s="606">
        <v>3957.5298882067791</v>
      </c>
      <c r="R33" s="607"/>
      <c r="S33" s="656"/>
      <c r="T33" s="607"/>
      <c r="U33" s="606">
        <v>3767.2948657809302</v>
      </c>
      <c r="V33" s="607"/>
      <c r="W33" s="606">
        <v>-190.23502242584891</v>
      </c>
      <c r="X33" s="607"/>
      <c r="Y33" s="339"/>
      <c r="AC33" s="332"/>
      <c r="AD33" s="613"/>
      <c r="AE33" s="613"/>
      <c r="AF33" s="331"/>
    </row>
    <row r="34" spans="1:32" ht="18.95" customHeight="1" x14ac:dyDescent="0.2">
      <c r="B34" s="596"/>
      <c r="C34" s="574" t="s">
        <v>569</v>
      </c>
      <c r="D34" s="571"/>
      <c r="E34" s="571"/>
      <c r="F34" s="571"/>
      <c r="G34" s="571"/>
      <c r="H34" s="571"/>
      <c r="I34" s="571"/>
      <c r="J34" s="571"/>
      <c r="K34" s="571"/>
      <c r="L34" s="571"/>
      <c r="M34" s="571"/>
      <c r="N34" s="571"/>
      <c r="O34" s="586"/>
      <c r="P34" s="581"/>
      <c r="Q34" s="624">
        <v>2.2763185947373643E-9</v>
      </c>
      <c r="R34" s="581"/>
      <c r="S34" s="586"/>
      <c r="T34" s="581"/>
      <c r="U34" s="624">
        <v>1.9687879525883461E-9</v>
      </c>
      <c r="V34" s="581"/>
      <c r="W34" s="624">
        <v>-3.0753064214901816E-10</v>
      </c>
      <c r="X34" s="581"/>
      <c r="Y34" s="339"/>
      <c r="AC34" s="332"/>
      <c r="AD34" s="613"/>
      <c r="AE34" s="613"/>
      <c r="AF34" s="331"/>
    </row>
    <row r="35" spans="1:32" ht="18.95" customHeight="1" x14ac:dyDescent="0.2">
      <c r="B35" s="596"/>
      <c r="C35" s="574" t="s">
        <v>570</v>
      </c>
      <c r="D35" s="571"/>
      <c r="E35" s="571"/>
      <c r="F35" s="571"/>
      <c r="G35" s="571"/>
      <c r="H35" s="571"/>
      <c r="I35" s="571"/>
      <c r="J35" s="571"/>
      <c r="K35" s="571"/>
      <c r="L35" s="571"/>
      <c r="M35" s="571"/>
      <c r="N35" s="571"/>
      <c r="O35" s="659"/>
      <c r="P35" s="620"/>
      <c r="Q35" s="619">
        <v>1.4320459295999999E-3</v>
      </c>
      <c r="R35" s="620"/>
      <c r="S35" s="659"/>
      <c r="T35" s="620"/>
      <c r="U35" s="619">
        <v>1.3318027145279999E-3</v>
      </c>
      <c r="V35" s="620"/>
      <c r="W35" s="619">
        <v>-1.00243215072E-4</v>
      </c>
      <c r="X35" s="619"/>
      <c r="Y35" s="339"/>
      <c r="AC35" s="332"/>
      <c r="AD35" s="613"/>
      <c r="AE35" s="613"/>
      <c r="AF35" s="331"/>
    </row>
    <row r="36" spans="1:32" ht="18.95" customHeight="1" x14ac:dyDescent="0.2">
      <c r="B36" s="596"/>
      <c r="C36" s="574" t="s">
        <v>571</v>
      </c>
      <c r="D36" s="571"/>
      <c r="E36" s="571"/>
      <c r="F36" s="571"/>
      <c r="G36" s="571"/>
      <c r="H36" s="571"/>
      <c r="I36" s="571"/>
      <c r="J36" s="571"/>
      <c r="K36" s="571"/>
      <c r="L36" s="571"/>
      <c r="M36" s="571"/>
      <c r="N36" s="571"/>
      <c r="O36" s="659"/>
      <c r="P36" s="620"/>
      <c r="Q36" s="619">
        <v>0.10334598149147432</v>
      </c>
      <c r="R36" s="620"/>
      <c r="S36" s="659"/>
      <c r="T36" s="620"/>
      <c r="U36" s="619">
        <v>9.611176278707112E-2</v>
      </c>
      <c r="V36" s="620"/>
      <c r="W36" s="619">
        <v>-7.234218704403203E-3</v>
      </c>
      <c r="X36" s="619"/>
      <c r="Y36" s="339"/>
      <c r="AC36" s="332"/>
      <c r="AD36" s="613"/>
      <c r="AE36" s="613"/>
      <c r="AF36" s="331"/>
    </row>
    <row r="37" spans="1:32" ht="18.95" customHeight="1" x14ac:dyDescent="0.2">
      <c r="B37" s="596"/>
      <c r="C37" s="574" t="s">
        <v>572</v>
      </c>
      <c r="D37" s="571"/>
      <c r="E37" s="571"/>
      <c r="F37" s="571"/>
      <c r="G37" s="571"/>
      <c r="H37" s="571"/>
      <c r="I37" s="571"/>
      <c r="J37" s="571"/>
      <c r="K37" s="571"/>
      <c r="L37" s="571"/>
      <c r="M37" s="571"/>
      <c r="N37" s="571"/>
      <c r="O37" s="659"/>
      <c r="P37" s="620"/>
      <c r="Q37" s="619">
        <v>0.13389629450439064</v>
      </c>
      <c r="R37" s="620"/>
      <c r="S37" s="659"/>
      <c r="T37" s="620"/>
      <c r="U37" s="619">
        <v>0.12452355388908329</v>
      </c>
      <c r="V37" s="620"/>
      <c r="W37" s="619">
        <v>-9.3727406153073511E-3</v>
      </c>
      <c r="X37" s="619"/>
      <c r="Y37" s="339"/>
      <c r="AC37" s="332"/>
      <c r="AD37" s="613"/>
      <c r="AE37" s="613"/>
      <c r="AF37" s="331"/>
    </row>
    <row r="38" spans="1:32" ht="18.95" customHeight="1" x14ac:dyDescent="0.2">
      <c r="B38" s="596"/>
      <c r="C38" s="574" t="s">
        <v>573</v>
      </c>
      <c r="D38" s="571"/>
      <c r="E38" s="571"/>
      <c r="F38" s="571"/>
      <c r="G38" s="571"/>
      <c r="H38" s="571"/>
      <c r="I38" s="571"/>
      <c r="J38" s="571"/>
      <c r="K38" s="571"/>
      <c r="L38" s="571"/>
      <c r="M38" s="571"/>
      <c r="N38" s="571"/>
      <c r="O38" s="656"/>
      <c r="P38" s="607"/>
      <c r="Q38" s="606">
        <v>8564.8248765782046</v>
      </c>
      <c r="R38" s="607"/>
      <c r="S38" s="656"/>
      <c r="T38" s="607"/>
      <c r="U38" s="606">
        <v>8564.8248765782046</v>
      </c>
      <c r="V38" s="607"/>
      <c r="W38" s="606">
        <v>0</v>
      </c>
      <c r="X38" s="606"/>
      <c r="Y38" s="339"/>
      <c r="AC38" s="332"/>
      <c r="AD38" s="613"/>
      <c r="AE38" s="613"/>
      <c r="AF38" s="331"/>
    </row>
    <row r="39" spans="1:32" ht="18.95" customHeight="1" thickBot="1" x14ac:dyDescent="0.25">
      <c r="B39" s="597"/>
      <c r="C39" s="667"/>
      <c r="D39" s="668"/>
      <c r="E39" s="668"/>
      <c r="F39" s="668"/>
      <c r="G39" s="668"/>
      <c r="H39" s="668"/>
      <c r="I39" s="668"/>
      <c r="J39" s="668"/>
      <c r="K39" s="668"/>
      <c r="L39" s="668"/>
      <c r="M39" s="668"/>
      <c r="N39" s="668"/>
      <c r="O39" s="668"/>
      <c r="P39" s="668"/>
      <c r="Q39" s="668"/>
      <c r="R39" s="668"/>
      <c r="S39" s="668"/>
      <c r="T39" s="668"/>
      <c r="U39" s="668"/>
      <c r="V39" s="668"/>
      <c r="W39" s="668"/>
      <c r="X39" s="668"/>
      <c r="Y39" s="669"/>
      <c r="AA39" s="327"/>
      <c r="AC39" s="334"/>
      <c r="AD39" s="608"/>
      <c r="AE39" s="608"/>
      <c r="AF39" s="335"/>
    </row>
    <row r="40" spans="1:32" ht="18.95" customHeight="1" x14ac:dyDescent="0.2">
      <c r="B40" s="595" t="s">
        <v>527</v>
      </c>
      <c r="C40" s="479"/>
      <c r="D40" s="480"/>
      <c r="E40" s="480"/>
      <c r="F40" s="480"/>
      <c r="G40" s="480"/>
      <c r="H40" s="480"/>
      <c r="I40" s="480"/>
      <c r="J40" s="480"/>
      <c r="K40" s="480"/>
      <c r="L40" s="480"/>
      <c r="M40" s="480"/>
      <c r="N40" s="480"/>
      <c r="O40" s="336"/>
      <c r="P40" s="480"/>
      <c r="Q40" s="480"/>
    </row>
    <row r="41" spans="1:32" ht="18.95" customHeight="1" x14ac:dyDescent="0.25">
      <c r="B41" s="596"/>
      <c r="C41" s="609" t="s">
        <v>575</v>
      </c>
      <c r="D41" s="610"/>
      <c r="E41" s="610"/>
      <c r="F41" s="610"/>
      <c r="G41" s="610"/>
      <c r="H41" s="610"/>
      <c r="I41" s="610"/>
      <c r="O41" s="339"/>
    </row>
    <row r="42" spans="1:32" ht="18.95" customHeight="1" x14ac:dyDescent="0.2">
      <c r="B42" s="596"/>
      <c r="C42" s="574" t="s">
        <v>608</v>
      </c>
      <c r="D42" s="571"/>
      <c r="E42" s="571"/>
      <c r="F42" s="571"/>
      <c r="G42" s="571"/>
      <c r="H42" s="571"/>
      <c r="I42" s="571"/>
      <c r="J42" s="571"/>
      <c r="K42" s="576"/>
      <c r="L42" s="611"/>
      <c r="M42" s="612">
        <v>0.05</v>
      </c>
      <c r="N42" s="611"/>
      <c r="O42" s="339"/>
    </row>
    <row r="43" spans="1:32" ht="18.95" customHeight="1" x14ac:dyDescent="0.2">
      <c r="B43" s="596"/>
      <c r="C43" s="574" t="s">
        <v>609</v>
      </c>
      <c r="D43" s="571"/>
      <c r="E43" s="571"/>
      <c r="F43" s="571"/>
      <c r="G43" s="571"/>
      <c r="H43" s="571"/>
      <c r="I43" s="571"/>
      <c r="J43" s="571"/>
      <c r="K43" s="576"/>
      <c r="L43" s="611"/>
      <c r="M43" s="612">
        <v>0.05</v>
      </c>
      <c r="N43" s="611"/>
      <c r="O43" s="339"/>
    </row>
    <row r="44" spans="1:32" ht="18.95" customHeight="1" x14ac:dyDescent="0.2">
      <c r="B44" s="596"/>
      <c r="C44" s="574" t="s">
        <v>610</v>
      </c>
      <c r="D44" s="571"/>
      <c r="E44" s="571"/>
      <c r="F44" s="571"/>
      <c r="G44" s="571"/>
      <c r="H44" s="571"/>
      <c r="I44" s="571"/>
      <c r="J44" s="571"/>
      <c r="K44" s="580"/>
      <c r="L44" s="581"/>
      <c r="M44" s="585">
        <v>0</v>
      </c>
      <c r="N44" s="581"/>
      <c r="O44" s="339"/>
    </row>
    <row r="45" spans="1:32" ht="18.95" customHeight="1" x14ac:dyDescent="0.2">
      <c r="B45" s="596"/>
      <c r="C45" s="481"/>
      <c r="O45" s="339"/>
    </row>
    <row r="46" spans="1:32" ht="18.95" customHeight="1" x14ac:dyDescent="0.2">
      <c r="B46" s="596"/>
      <c r="C46" s="574" t="s">
        <v>611</v>
      </c>
      <c r="D46" s="571"/>
      <c r="E46" s="571"/>
      <c r="F46" s="571"/>
      <c r="G46" s="571"/>
      <c r="H46" s="571"/>
      <c r="I46" s="571"/>
      <c r="J46" s="571"/>
      <c r="K46" s="576"/>
      <c r="L46" s="576"/>
      <c r="M46" s="612">
        <v>7.0000000000000007E-2</v>
      </c>
      <c r="N46" s="576"/>
      <c r="O46" s="339"/>
    </row>
    <row r="47" spans="1:32" ht="18.95" customHeight="1" x14ac:dyDescent="0.2">
      <c r="A47" s="325"/>
      <c r="B47" s="596"/>
      <c r="C47" s="574" t="s">
        <v>612</v>
      </c>
      <c r="D47" s="571"/>
      <c r="E47" s="571"/>
      <c r="F47" s="571"/>
      <c r="G47" s="571"/>
      <c r="H47" s="571"/>
      <c r="I47" s="571"/>
      <c r="J47" s="571"/>
      <c r="K47" s="576"/>
      <c r="L47" s="576"/>
      <c r="M47" s="612">
        <v>0</v>
      </c>
      <c r="N47" s="576"/>
      <c r="O47" s="339"/>
    </row>
    <row r="48" spans="1:32" ht="18.95" customHeight="1" x14ac:dyDescent="0.2">
      <c r="B48" s="596"/>
      <c r="C48" s="481"/>
      <c r="O48" s="339"/>
    </row>
    <row r="49" spans="2:19" ht="18.95" customHeight="1" x14ac:dyDescent="0.2">
      <c r="B49" s="596"/>
      <c r="C49" s="574" t="s">
        <v>580</v>
      </c>
      <c r="D49" s="571"/>
      <c r="E49" s="571"/>
      <c r="F49" s="571"/>
      <c r="G49" s="571"/>
      <c r="H49" s="571"/>
      <c r="I49" s="571"/>
      <c r="J49" s="571"/>
      <c r="K49" s="576"/>
      <c r="L49" s="576"/>
      <c r="M49" s="612">
        <v>0</v>
      </c>
      <c r="N49" s="576"/>
      <c r="O49" s="339"/>
    </row>
    <row r="50" spans="2:19" ht="18.95" customHeight="1" x14ac:dyDescent="0.2">
      <c r="B50" s="596"/>
      <c r="C50" s="481"/>
      <c r="O50" s="339"/>
    </row>
    <row r="51" spans="2:19" ht="18.95" customHeight="1" x14ac:dyDescent="0.25">
      <c r="B51" s="596"/>
      <c r="C51" s="609" t="s">
        <v>613</v>
      </c>
      <c r="D51" s="610"/>
      <c r="E51" s="610"/>
      <c r="F51" s="610"/>
      <c r="G51" s="610"/>
      <c r="H51" s="610"/>
      <c r="I51" s="610"/>
      <c r="O51" s="339"/>
    </row>
    <row r="52" spans="2:19" ht="18.95" customHeight="1" x14ac:dyDescent="0.2">
      <c r="B52" s="596"/>
      <c r="C52" s="574" t="s">
        <v>528</v>
      </c>
      <c r="D52" s="571"/>
      <c r="E52" s="571"/>
      <c r="F52" s="571"/>
      <c r="G52" s="571"/>
      <c r="H52" s="571"/>
      <c r="I52" s="571"/>
      <c r="J52" s="571"/>
      <c r="K52" s="576"/>
      <c r="L52" s="611"/>
      <c r="M52" s="612">
        <v>0.05</v>
      </c>
      <c r="N52" s="611"/>
      <c r="O52" s="339"/>
    </row>
    <row r="53" spans="2:19" ht="18.95" customHeight="1" x14ac:dyDescent="0.2">
      <c r="B53" s="596"/>
      <c r="C53" s="574" t="s">
        <v>614</v>
      </c>
      <c r="D53" s="571"/>
      <c r="E53" s="571"/>
      <c r="F53" s="571"/>
      <c r="G53" s="571"/>
      <c r="H53" s="571"/>
      <c r="I53" s="571"/>
      <c r="J53" s="571"/>
      <c r="K53" s="576"/>
      <c r="L53" s="611"/>
      <c r="M53" s="612">
        <v>0.1</v>
      </c>
      <c r="N53" s="611"/>
      <c r="O53" s="339"/>
    </row>
    <row r="54" spans="2:19" ht="18.95" customHeight="1" x14ac:dyDescent="0.2">
      <c r="B54" s="596"/>
      <c r="C54" s="574" t="s">
        <v>615</v>
      </c>
      <c r="D54" s="571"/>
      <c r="E54" s="571"/>
      <c r="F54" s="571"/>
      <c r="G54" s="571"/>
      <c r="H54" s="571"/>
      <c r="I54" s="571"/>
      <c r="J54" s="571"/>
      <c r="K54" s="579"/>
      <c r="L54" s="657"/>
      <c r="M54" s="658">
        <v>5</v>
      </c>
      <c r="N54" s="657"/>
      <c r="O54" s="339"/>
    </row>
    <row r="55" spans="2:19" ht="18.95" customHeight="1" thickBot="1" x14ac:dyDescent="0.25">
      <c r="B55" s="597"/>
      <c r="C55" s="487"/>
      <c r="D55" s="488"/>
      <c r="E55" s="488"/>
      <c r="F55" s="488"/>
      <c r="G55" s="488"/>
      <c r="H55" s="488"/>
      <c r="I55" s="488"/>
      <c r="J55" s="488"/>
      <c r="K55" s="488"/>
      <c r="L55" s="488"/>
      <c r="M55" s="488"/>
      <c r="N55" s="488"/>
      <c r="O55" s="344"/>
    </row>
    <row r="56" spans="2:19" ht="18.95" customHeight="1" x14ac:dyDescent="0.2">
      <c r="B56" s="595" t="s">
        <v>581</v>
      </c>
      <c r="C56" s="483"/>
      <c r="D56" s="484"/>
      <c r="E56" s="484"/>
      <c r="F56" s="484"/>
      <c r="G56" s="484"/>
      <c r="H56" s="484"/>
      <c r="I56" s="484"/>
      <c r="J56" s="484"/>
      <c r="K56" s="484"/>
      <c r="L56" s="484"/>
      <c r="M56" s="484"/>
      <c r="N56" s="484"/>
      <c r="O56" s="642"/>
      <c r="P56" s="642"/>
      <c r="Q56" s="338"/>
      <c r="R56" s="338"/>
      <c r="S56" s="336"/>
    </row>
    <row r="57" spans="2:19" ht="18.95" customHeight="1" x14ac:dyDescent="0.2">
      <c r="B57" s="596"/>
      <c r="C57" s="574" t="s">
        <v>582</v>
      </c>
      <c r="D57" s="571"/>
      <c r="E57" s="571"/>
      <c r="F57" s="571"/>
      <c r="G57" s="571"/>
      <c r="H57" s="571"/>
      <c r="I57" s="571"/>
      <c r="J57" s="571"/>
      <c r="K57" s="571"/>
      <c r="L57" s="571"/>
      <c r="M57" s="571"/>
      <c r="N57" s="571"/>
      <c r="O57" s="643"/>
      <c r="P57" s="643"/>
      <c r="Q57" s="606">
        <v>70.978638082669704</v>
      </c>
      <c r="R57" s="607"/>
      <c r="S57" s="339"/>
    </row>
    <row r="58" spans="2:19" ht="18.95" customHeight="1" x14ac:dyDescent="0.2">
      <c r="B58" s="596"/>
      <c r="C58" s="475"/>
      <c r="D58" s="474"/>
      <c r="E58" s="474"/>
      <c r="F58" s="474"/>
      <c r="G58" s="474"/>
      <c r="H58" s="474"/>
      <c r="I58" s="474"/>
      <c r="J58" s="474"/>
      <c r="K58" s="474"/>
      <c r="L58" s="474"/>
      <c r="M58" s="474"/>
      <c r="N58" s="474"/>
      <c r="O58" s="340"/>
      <c r="P58" s="340"/>
      <c r="Q58" s="341"/>
      <c r="R58" s="341"/>
      <c r="S58" s="339"/>
    </row>
    <row r="59" spans="2:19" ht="18.95" customHeight="1" x14ac:dyDescent="0.2">
      <c r="B59" s="596"/>
      <c r="C59" s="574" t="s">
        <v>583</v>
      </c>
      <c r="D59" s="571"/>
      <c r="E59" s="571"/>
      <c r="F59" s="571"/>
      <c r="G59" s="571"/>
      <c r="H59" s="571"/>
      <c r="I59" s="571"/>
      <c r="J59" s="571"/>
      <c r="K59" s="560"/>
      <c r="L59" s="560"/>
      <c r="M59" s="644">
        <v>1</v>
      </c>
      <c r="N59" s="644"/>
      <c r="O59" s="342"/>
      <c r="P59" s="342"/>
      <c r="Q59" s="343"/>
      <c r="R59" s="343"/>
      <c r="S59" s="339"/>
    </row>
    <row r="60" spans="2:19" ht="18.95" customHeight="1" x14ac:dyDescent="0.2">
      <c r="B60" s="596"/>
      <c r="C60" s="574" t="s">
        <v>584</v>
      </c>
      <c r="D60" s="571"/>
      <c r="E60" s="571"/>
      <c r="F60" s="571"/>
      <c r="G60" s="571"/>
      <c r="H60" s="571"/>
      <c r="I60" s="571"/>
      <c r="J60" s="571"/>
      <c r="K60" s="560"/>
      <c r="L60" s="560"/>
      <c r="M60" s="644">
        <v>1.2</v>
      </c>
      <c r="N60" s="644"/>
      <c r="O60" s="342"/>
      <c r="P60" s="342"/>
      <c r="Q60" s="343"/>
      <c r="R60" s="343"/>
      <c r="S60" s="339"/>
    </row>
    <row r="61" spans="2:19" ht="18.95" customHeight="1" x14ac:dyDescent="0.2">
      <c r="B61" s="596"/>
      <c r="C61" s="574" t="s">
        <v>585</v>
      </c>
      <c r="D61" s="571"/>
      <c r="E61" s="571"/>
      <c r="F61" s="571"/>
      <c r="G61" s="571"/>
      <c r="H61" s="571"/>
      <c r="I61" s="571"/>
      <c r="J61" s="571"/>
      <c r="K61" s="580"/>
      <c r="L61" s="581"/>
      <c r="M61" s="602">
        <v>30.8</v>
      </c>
      <c r="N61" s="603"/>
      <c r="O61" s="342"/>
      <c r="P61" s="342"/>
      <c r="Q61" s="343"/>
      <c r="R61" s="343"/>
      <c r="S61" s="339"/>
    </row>
    <row r="62" spans="2:19" ht="18.95" customHeight="1" x14ac:dyDescent="0.2">
      <c r="B62" s="596"/>
      <c r="C62" s="574" t="s">
        <v>586</v>
      </c>
      <c r="D62" s="571"/>
      <c r="E62" s="571"/>
      <c r="F62" s="571"/>
      <c r="G62" s="571"/>
      <c r="H62" s="571"/>
      <c r="I62" s="571"/>
      <c r="J62" s="571"/>
      <c r="K62" s="580"/>
      <c r="L62" s="581"/>
      <c r="M62" s="602">
        <v>16.5</v>
      </c>
      <c r="N62" s="603"/>
      <c r="O62" s="342"/>
      <c r="P62" s="342"/>
      <c r="Q62" s="343"/>
      <c r="R62" s="343"/>
      <c r="S62" s="339"/>
    </row>
    <row r="63" spans="2:19" ht="18.95" customHeight="1" x14ac:dyDescent="0.2">
      <c r="B63" s="596"/>
      <c r="C63" s="574" t="s">
        <v>587</v>
      </c>
      <c r="D63" s="571"/>
      <c r="E63" s="571"/>
      <c r="F63" s="571"/>
      <c r="G63" s="571"/>
      <c r="H63" s="571"/>
      <c r="I63" s="571"/>
      <c r="J63" s="571"/>
      <c r="K63" s="580"/>
      <c r="L63" s="581"/>
      <c r="M63" s="602">
        <v>27.9</v>
      </c>
      <c r="N63" s="603"/>
      <c r="O63" s="342"/>
      <c r="P63" s="342"/>
      <c r="Q63" s="343"/>
      <c r="R63" s="343"/>
      <c r="S63" s="339"/>
    </row>
    <row r="64" spans="2:19" ht="18.95" customHeight="1" x14ac:dyDescent="0.2">
      <c r="B64" s="596"/>
      <c r="C64" s="481"/>
      <c r="O64" s="342"/>
      <c r="P64" s="342"/>
      <c r="Q64" s="343"/>
      <c r="R64" s="343"/>
      <c r="S64" s="339"/>
    </row>
    <row r="65" spans="2:20" ht="18.95" customHeight="1" thickBot="1" x14ac:dyDescent="0.25">
      <c r="B65" s="597"/>
      <c r="C65" s="589" t="s">
        <v>588</v>
      </c>
      <c r="D65" s="590"/>
      <c r="E65" s="590"/>
      <c r="F65" s="590"/>
      <c r="G65" s="590"/>
      <c r="H65" s="590"/>
      <c r="I65" s="590"/>
      <c r="J65" s="590"/>
      <c r="K65" s="590"/>
      <c r="L65" s="590"/>
      <c r="M65" s="590"/>
      <c r="N65" s="590"/>
      <c r="O65" s="591"/>
      <c r="P65" s="591"/>
      <c r="Q65" s="593">
        <v>1478.8798144470256</v>
      </c>
      <c r="R65" s="594"/>
      <c r="S65" s="344"/>
    </row>
    <row r="66" spans="2:20" ht="18.95" customHeight="1" x14ac:dyDescent="0.2">
      <c r="B66" s="595" t="s">
        <v>78</v>
      </c>
      <c r="C66" s="598"/>
      <c r="D66" s="599"/>
      <c r="E66" s="599"/>
      <c r="F66" s="599"/>
      <c r="G66" s="599"/>
      <c r="H66" s="599"/>
      <c r="I66" s="599"/>
      <c r="J66" s="599"/>
      <c r="K66" s="599"/>
      <c r="L66" s="599"/>
      <c r="M66" s="599"/>
      <c r="N66" s="599"/>
      <c r="O66" s="599"/>
      <c r="P66" s="599"/>
      <c r="Q66" s="599"/>
      <c r="R66" s="599"/>
      <c r="S66" s="336"/>
    </row>
    <row r="67" spans="2:20" ht="18.95" customHeight="1" x14ac:dyDescent="0.2">
      <c r="B67" s="596"/>
      <c r="C67" s="574" t="s">
        <v>589</v>
      </c>
      <c r="D67" s="571"/>
      <c r="E67" s="571"/>
      <c r="F67" s="571"/>
      <c r="G67" s="571"/>
      <c r="H67" s="571"/>
      <c r="I67" s="571"/>
      <c r="J67" s="571"/>
      <c r="K67" s="571"/>
      <c r="L67" s="571"/>
      <c r="M67" s="571"/>
      <c r="N67" s="571"/>
      <c r="O67" s="656"/>
      <c r="P67" s="607"/>
      <c r="Q67" s="606">
        <v>317.69248745116766</v>
      </c>
      <c r="R67" s="607"/>
      <c r="S67" s="339"/>
    </row>
    <row r="68" spans="2:20" ht="18.95" customHeight="1" x14ac:dyDescent="0.2">
      <c r="B68" s="596"/>
      <c r="C68" s="588"/>
      <c r="D68" s="581"/>
      <c r="E68" s="581"/>
      <c r="F68" s="581"/>
      <c r="G68" s="581"/>
      <c r="H68" s="581"/>
      <c r="I68" s="581"/>
      <c r="J68" s="581"/>
      <c r="K68" s="581"/>
      <c r="L68" s="581"/>
      <c r="M68" s="581"/>
      <c r="N68" s="581"/>
      <c r="O68" s="581"/>
      <c r="P68" s="581"/>
      <c r="Q68" s="581"/>
      <c r="R68" s="581"/>
      <c r="S68" s="339"/>
    </row>
    <row r="69" spans="2:20" ht="18.95" customHeight="1" x14ac:dyDescent="0.2">
      <c r="B69" s="596"/>
      <c r="C69" s="574" t="s">
        <v>585</v>
      </c>
      <c r="D69" s="571"/>
      <c r="E69" s="571"/>
      <c r="F69" s="571"/>
      <c r="G69" s="571"/>
      <c r="H69" s="571"/>
      <c r="I69" s="571"/>
      <c r="J69" s="571"/>
      <c r="K69" s="580"/>
      <c r="L69" s="581"/>
      <c r="M69" s="602">
        <v>30.8</v>
      </c>
      <c r="N69" s="603"/>
      <c r="O69" s="581"/>
      <c r="P69" s="581"/>
      <c r="Q69" s="581"/>
      <c r="R69" s="581"/>
      <c r="S69" s="339"/>
    </row>
    <row r="70" spans="2:20" ht="18.95" customHeight="1" x14ac:dyDescent="0.2">
      <c r="B70" s="596"/>
      <c r="C70" s="574" t="s">
        <v>586</v>
      </c>
      <c r="D70" s="571"/>
      <c r="E70" s="571"/>
      <c r="F70" s="571"/>
      <c r="G70" s="571"/>
      <c r="H70" s="571"/>
      <c r="I70" s="571"/>
      <c r="J70" s="571"/>
      <c r="K70" s="580"/>
      <c r="L70" s="581"/>
      <c r="M70" s="602">
        <v>16.5</v>
      </c>
      <c r="N70" s="603"/>
      <c r="O70" s="581"/>
      <c r="P70" s="581"/>
      <c r="Q70" s="581"/>
      <c r="R70" s="581"/>
      <c r="S70" s="339"/>
    </row>
    <row r="71" spans="2:20" ht="18.95" customHeight="1" x14ac:dyDescent="0.2">
      <c r="B71" s="596"/>
      <c r="C71" s="574" t="s">
        <v>587</v>
      </c>
      <c r="D71" s="571"/>
      <c r="E71" s="571"/>
      <c r="F71" s="571"/>
      <c r="G71" s="571"/>
      <c r="H71" s="571"/>
      <c r="I71" s="571"/>
      <c r="J71" s="571"/>
      <c r="K71" s="580"/>
      <c r="L71" s="581"/>
      <c r="M71" s="602">
        <v>27.9</v>
      </c>
      <c r="N71" s="603"/>
      <c r="O71" s="581"/>
      <c r="P71" s="581"/>
      <c r="Q71" s="581"/>
      <c r="R71" s="581"/>
      <c r="S71" s="339"/>
    </row>
    <row r="72" spans="2:20" ht="18.95" customHeight="1" x14ac:dyDescent="0.2">
      <c r="B72" s="596"/>
      <c r="C72" s="588"/>
      <c r="D72" s="581"/>
      <c r="E72" s="581"/>
      <c r="F72" s="581"/>
      <c r="G72" s="581"/>
      <c r="H72" s="581"/>
      <c r="I72" s="581"/>
      <c r="J72" s="581"/>
      <c r="K72" s="581"/>
      <c r="L72" s="581"/>
      <c r="M72" s="581"/>
      <c r="N72" s="581"/>
      <c r="O72" s="581"/>
      <c r="P72" s="581"/>
      <c r="Q72" s="581"/>
      <c r="R72" s="581"/>
      <c r="S72" s="339"/>
    </row>
    <row r="73" spans="2:20" ht="18.95" customHeight="1" thickBot="1" x14ac:dyDescent="0.25">
      <c r="B73" s="597"/>
      <c r="C73" s="589" t="s">
        <v>590</v>
      </c>
      <c r="D73" s="590"/>
      <c r="E73" s="590"/>
      <c r="F73" s="590"/>
      <c r="G73" s="590"/>
      <c r="H73" s="590"/>
      <c r="I73" s="590"/>
      <c r="J73" s="590"/>
      <c r="K73" s="590"/>
      <c r="L73" s="590"/>
      <c r="M73" s="590"/>
      <c r="N73" s="590"/>
      <c r="O73" s="648"/>
      <c r="P73" s="649"/>
      <c r="Q73" s="593">
        <v>6465.2517966729802</v>
      </c>
      <c r="R73" s="594"/>
      <c r="S73" s="344"/>
    </row>
    <row r="74" spans="2:20" ht="18.95" customHeight="1" x14ac:dyDescent="0.2">
      <c r="B74" s="595" t="s">
        <v>533</v>
      </c>
      <c r="C74" s="629"/>
      <c r="D74" s="630"/>
      <c r="E74" s="630"/>
      <c r="F74" s="630"/>
      <c r="G74" s="630"/>
      <c r="H74" s="630"/>
      <c r="I74" s="630"/>
      <c r="J74" s="630"/>
      <c r="K74" s="630"/>
      <c r="L74" s="630"/>
      <c r="M74" s="630"/>
      <c r="N74" s="630"/>
      <c r="O74" s="630"/>
      <c r="P74" s="630"/>
      <c r="Q74" s="630"/>
      <c r="R74" s="630"/>
      <c r="S74" s="349"/>
      <c r="T74" s="474"/>
    </row>
    <row r="75" spans="2:20" ht="18.95" customHeight="1" x14ac:dyDescent="0.2">
      <c r="B75" s="596"/>
      <c r="C75" s="574" t="s">
        <v>534</v>
      </c>
      <c r="D75" s="571"/>
      <c r="E75" s="571"/>
      <c r="F75" s="571"/>
      <c r="G75" s="571"/>
      <c r="H75" s="571"/>
      <c r="I75" s="571"/>
      <c r="J75" s="571"/>
      <c r="K75" s="571"/>
      <c r="L75" s="571"/>
      <c r="M75" s="571"/>
      <c r="N75" s="571"/>
      <c r="O75" s="650"/>
      <c r="P75" s="651"/>
      <c r="Q75" s="652">
        <v>0</v>
      </c>
      <c r="R75" s="653"/>
      <c r="S75" s="339"/>
    </row>
    <row r="76" spans="2:20" ht="18.95" customHeight="1" x14ac:dyDescent="0.2">
      <c r="B76" s="596"/>
      <c r="C76" s="574"/>
      <c r="D76" s="571"/>
      <c r="E76" s="571"/>
      <c r="F76" s="571"/>
      <c r="G76" s="571"/>
      <c r="H76" s="571"/>
      <c r="I76" s="571"/>
      <c r="J76" s="571"/>
      <c r="K76" s="571"/>
      <c r="L76" s="571"/>
      <c r="M76" s="571"/>
      <c r="N76" s="571"/>
      <c r="O76" s="571"/>
      <c r="P76" s="571"/>
      <c r="Q76" s="571"/>
      <c r="R76" s="571"/>
      <c r="S76" s="350"/>
      <c r="T76" s="474"/>
    </row>
    <row r="77" spans="2:20" ht="18.95" customHeight="1" x14ac:dyDescent="0.2">
      <c r="B77" s="596"/>
      <c r="C77" s="574"/>
      <c r="D77" s="571"/>
      <c r="E77" s="571"/>
      <c r="F77" s="571"/>
      <c r="G77" s="571"/>
      <c r="H77" s="571"/>
      <c r="I77" s="571"/>
      <c r="J77" s="571"/>
      <c r="K77" s="571"/>
      <c r="L77" s="571"/>
      <c r="M77" s="571"/>
      <c r="N77" s="571"/>
      <c r="O77" s="571"/>
      <c r="P77" s="571"/>
      <c r="Q77" s="571"/>
      <c r="R77" s="571"/>
      <c r="S77" s="350"/>
      <c r="T77" s="474"/>
    </row>
    <row r="78" spans="2:20" ht="18.95" customHeight="1" x14ac:dyDescent="0.2">
      <c r="B78" s="596"/>
      <c r="C78" s="574"/>
      <c r="D78" s="571"/>
      <c r="E78" s="571"/>
      <c r="F78" s="571"/>
      <c r="G78" s="571"/>
      <c r="H78" s="571"/>
      <c r="I78" s="571"/>
      <c r="J78" s="571"/>
      <c r="K78" s="571"/>
      <c r="L78" s="571"/>
      <c r="M78" s="571"/>
      <c r="N78" s="571"/>
      <c r="O78" s="571"/>
      <c r="P78" s="571"/>
      <c r="Q78" s="571"/>
      <c r="R78" s="571"/>
      <c r="S78" s="350"/>
      <c r="T78" s="474"/>
    </row>
    <row r="79" spans="2:20" ht="18.95" customHeight="1" x14ac:dyDescent="0.2">
      <c r="B79" s="596"/>
      <c r="C79" s="574"/>
      <c r="D79" s="571"/>
      <c r="E79" s="571"/>
      <c r="F79" s="571"/>
      <c r="G79" s="571"/>
      <c r="H79" s="571"/>
      <c r="I79" s="571"/>
      <c r="J79" s="571"/>
      <c r="K79" s="571"/>
      <c r="L79" s="571"/>
      <c r="M79" s="571"/>
      <c r="N79" s="571"/>
      <c r="O79" s="571"/>
      <c r="P79" s="571"/>
      <c r="Q79" s="571"/>
      <c r="R79" s="571"/>
      <c r="S79" s="350"/>
      <c r="T79" s="474"/>
    </row>
    <row r="80" spans="2:20" ht="18.95" customHeight="1" x14ac:dyDescent="0.2">
      <c r="B80" s="596"/>
      <c r="C80" s="574"/>
      <c r="D80" s="571"/>
      <c r="E80" s="571"/>
      <c r="F80" s="571"/>
      <c r="G80" s="571"/>
      <c r="H80" s="571"/>
      <c r="I80" s="571"/>
      <c r="J80" s="571"/>
      <c r="K80" s="571"/>
      <c r="L80" s="571"/>
      <c r="M80" s="571"/>
      <c r="N80" s="571"/>
      <c r="O80" s="571"/>
      <c r="P80" s="571"/>
      <c r="Q80" s="571"/>
      <c r="R80" s="571"/>
      <c r="S80" s="350"/>
      <c r="T80" s="474"/>
    </row>
    <row r="81" spans="2:23" ht="18.95" customHeight="1" thickBot="1" x14ac:dyDescent="0.25">
      <c r="B81" s="597"/>
      <c r="C81" s="654"/>
      <c r="D81" s="655"/>
      <c r="E81" s="655"/>
      <c r="F81" s="655"/>
      <c r="G81" s="655"/>
      <c r="H81" s="655"/>
      <c r="I81" s="655"/>
      <c r="J81" s="655"/>
      <c r="K81" s="655"/>
      <c r="L81" s="655"/>
      <c r="M81" s="655"/>
      <c r="N81" s="655"/>
      <c r="O81" s="655"/>
      <c r="P81" s="655"/>
      <c r="Q81" s="655"/>
      <c r="R81" s="655"/>
      <c r="S81" s="344"/>
    </row>
    <row r="82" spans="2:23" ht="18.95" customHeight="1" x14ac:dyDescent="0.2">
      <c r="B82" s="639" t="s">
        <v>591</v>
      </c>
      <c r="C82" s="598"/>
      <c r="D82" s="599"/>
      <c r="E82" s="599"/>
      <c r="F82" s="599"/>
      <c r="G82" s="599"/>
      <c r="H82" s="599"/>
      <c r="I82" s="599"/>
      <c r="J82" s="599"/>
      <c r="K82" s="599"/>
      <c r="L82" s="599"/>
      <c r="M82" s="599"/>
      <c r="N82" s="599"/>
      <c r="O82" s="599"/>
      <c r="P82" s="599"/>
      <c r="Q82" s="599"/>
      <c r="R82" s="599"/>
      <c r="S82" s="336"/>
      <c r="W82" s="485"/>
    </row>
    <row r="83" spans="2:23" ht="18.95" customHeight="1" x14ac:dyDescent="0.2">
      <c r="B83" s="640"/>
      <c r="C83" s="574" t="s">
        <v>592</v>
      </c>
      <c r="D83" s="571"/>
      <c r="E83" s="571"/>
      <c r="F83" s="571"/>
      <c r="G83" s="571"/>
      <c r="H83" s="571"/>
      <c r="I83" s="571"/>
      <c r="J83" s="571"/>
      <c r="K83" s="571"/>
      <c r="L83" s="571"/>
      <c r="M83" s="571"/>
      <c r="N83" s="571"/>
      <c r="O83" s="656"/>
      <c r="P83" s="607"/>
      <c r="Q83" s="606">
        <v>1.1143404048621443E-4</v>
      </c>
      <c r="R83" s="607"/>
      <c r="S83" s="339"/>
    </row>
    <row r="84" spans="2:23" ht="18.95" customHeight="1" x14ac:dyDescent="0.2">
      <c r="B84" s="640"/>
      <c r="C84" s="574"/>
      <c r="D84" s="571"/>
      <c r="E84" s="571"/>
      <c r="F84" s="571"/>
      <c r="G84" s="571"/>
      <c r="H84" s="571"/>
      <c r="I84" s="571"/>
      <c r="J84" s="571"/>
      <c r="K84" s="571"/>
      <c r="L84" s="571"/>
      <c r="M84" s="571"/>
      <c r="N84" s="571"/>
      <c r="O84" s="571"/>
      <c r="P84" s="571"/>
      <c r="Q84" s="571"/>
      <c r="R84" s="571"/>
      <c r="S84" s="350"/>
      <c r="T84" s="474"/>
    </row>
    <row r="85" spans="2:23" ht="18.95" customHeight="1" x14ac:dyDescent="0.2">
      <c r="B85" s="640"/>
      <c r="C85" s="574" t="s">
        <v>593</v>
      </c>
      <c r="D85" s="571"/>
      <c r="E85" s="571"/>
      <c r="F85" s="571"/>
      <c r="G85" s="571"/>
      <c r="H85" s="571"/>
      <c r="I85" s="571"/>
      <c r="J85" s="571"/>
      <c r="K85" s="580"/>
      <c r="L85" s="581"/>
      <c r="M85" s="602">
        <v>30.8</v>
      </c>
      <c r="N85" s="603"/>
      <c r="O85" s="581"/>
      <c r="P85" s="581"/>
      <c r="Q85" s="581"/>
      <c r="R85" s="581"/>
      <c r="S85" s="339"/>
    </row>
    <row r="86" spans="2:23" ht="18.95" customHeight="1" x14ac:dyDescent="0.2">
      <c r="B86" s="640"/>
      <c r="C86" s="574" t="s">
        <v>594</v>
      </c>
      <c r="D86" s="571"/>
      <c r="E86" s="571"/>
      <c r="F86" s="571"/>
      <c r="G86" s="571"/>
      <c r="H86" s="571"/>
      <c r="I86" s="571"/>
      <c r="J86" s="571"/>
      <c r="K86" s="580"/>
      <c r="L86" s="581"/>
      <c r="M86" s="602">
        <v>16.5</v>
      </c>
      <c r="N86" s="603"/>
      <c r="O86" s="581"/>
      <c r="P86" s="581"/>
      <c r="Q86" s="581"/>
      <c r="R86" s="581"/>
      <c r="S86" s="339"/>
    </row>
    <row r="87" spans="2:23" ht="18.95" customHeight="1" x14ac:dyDescent="0.2">
      <c r="B87" s="640"/>
      <c r="C87" s="574" t="s">
        <v>595</v>
      </c>
      <c r="D87" s="571"/>
      <c r="E87" s="571"/>
      <c r="F87" s="571"/>
      <c r="G87" s="571"/>
      <c r="H87" s="571"/>
      <c r="I87" s="571"/>
      <c r="J87" s="571"/>
      <c r="K87" s="580"/>
      <c r="L87" s="581"/>
      <c r="M87" s="602">
        <v>27.9</v>
      </c>
      <c r="N87" s="603"/>
      <c r="O87" s="581"/>
      <c r="P87" s="581"/>
      <c r="Q87" s="581"/>
      <c r="R87" s="581"/>
      <c r="S87" s="339"/>
    </row>
    <row r="88" spans="2:23" ht="18.95" customHeight="1" x14ac:dyDescent="0.2">
      <c r="B88" s="640"/>
      <c r="C88" s="574"/>
      <c r="D88" s="571"/>
      <c r="E88" s="571"/>
      <c r="F88" s="571"/>
      <c r="G88" s="571"/>
      <c r="H88" s="571"/>
      <c r="I88" s="571"/>
      <c r="J88" s="571"/>
      <c r="K88" s="571"/>
      <c r="L88" s="571"/>
      <c r="M88" s="571"/>
      <c r="N88" s="571"/>
      <c r="O88" s="571"/>
      <c r="P88" s="571"/>
      <c r="Q88" s="571"/>
      <c r="R88" s="571"/>
      <c r="S88" s="350"/>
      <c r="T88" s="474"/>
    </row>
    <row r="89" spans="2:23" ht="18.95" customHeight="1" thickBot="1" x14ac:dyDescent="0.25">
      <c r="B89" s="641"/>
      <c r="C89" s="589" t="s">
        <v>616</v>
      </c>
      <c r="D89" s="590"/>
      <c r="E89" s="590"/>
      <c r="F89" s="590"/>
      <c r="G89" s="590"/>
      <c r="H89" s="590"/>
      <c r="I89" s="590"/>
      <c r="J89" s="590"/>
      <c r="K89" s="590"/>
      <c r="L89" s="590"/>
      <c r="M89" s="590"/>
      <c r="N89" s="590"/>
      <c r="O89" s="648"/>
      <c r="P89" s="649"/>
      <c r="Q89" s="593">
        <v>2.2677562703611845E-3</v>
      </c>
      <c r="R89" s="594"/>
      <c r="S89" s="344"/>
    </row>
    <row r="90" spans="2:23" ht="18.95" customHeight="1" x14ac:dyDescent="0.2">
      <c r="B90" s="595" t="s">
        <v>597</v>
      </c>
      <c r="C90" s="629"/>
      <c r="D90" s="630"/>
      <c r="E90" s="630"/>
      <c r="F90" s="630"/>
      <c r="G90" s="630"/>
      <c r="H90" s="630"/>
      <c r="I90" s="630"/>
      <c r="J90" s="630"/>
      <c r="K90" s="630"/>
      <c r="L90" s="630"/>
      <c r="M90" s="630"/>
      <c r="N90" s="630"/>
      <c r="O90" s="630"/>
      <c r="P90" s="630"/>
      <c r="Q90" s="630"/>
      <c r="R90" s="630"/>
      <c r="S90" s="349"/>
      <c r="T90" s="474"/>
    </row>
    <row r="91" spans="2:23" ht="18.95" customHeight="1" x14ac:dyDescent="0.2">
      <c r="B91" s="596"/>
      <c r="C91" s="574" t="s">
        <v>598</v>
      </c>
      <c r="D91" s="571"/>
      <c r="E91" s="571"/>
      <c r="F91" s="571"/>
      <c r="G91" s="571"/>
      <c r="H91" s="571"/>
      <c r="I91" s="571"/>
      <c r="J91" s="571"/>
      <c r="K91" s="580"/>
      <c r="L91" s="581"/>
      <c r="M91" s="602">
        <v>2.82</v>
      </c>
      <c r="N91" s="603"/>
      <c r="O91" s="581"/>
      <c r="P91" s="581"/>
      <c r="Q91" s="581"/>
      <c r="R91" s="581"/>
      <c r="S91" s="339"/>
    </row>
    <row r="92" spans="2:23" ht="18.95" customHeight="1" x14ac:dyDescent="0.2">
      <c r="B92" s="596"/>
      <c r="C92" s="588"/>
      <c r="D92" s="581"/>
      <c r="E92" s="581"/>
      <c r="F92" s="581"/>
      <c r="G92" s="581"/>
      <c r="H92" s="581"/>
      <c r="I92" s="581"/>
      <c r="J92" s="581"/>
      <c r="K92" s="581"/>
      <c r="L92" s="581"/>
      <c r="M92" s="581"/>
      <c r="N92" s="581"/>
      <c r="O92" s="581"/>
      <c r="P92" s="581"/>
      <c r="Q92" s="581"/>
      <c r="R92" s="581"/>
      <c r="S92" s="339"/>
    </row>
    <row r="93" spans="2:23" ht="18.95" customHeight="1" thickBot="1" x14ac:dyDescent="0.25">
      <c r="B93" s="597"/>
      <c r="C93" s="589" t="s">
        <v>599</v>
      </c>
      <c r="D93" s="590"/>
      <c r="E93" s="590"/>
      <c r="F93" s="590"/>
      <c r="G93" s="590"/>
      <c r="H93" s="590"/>
      <c r="I93" s="590"/>
      <c r="J93" s="590"/>
      <c r="K93" s="590"/>
      <c r="L93" s="590"/>
      <c r="M93" s="590"/>
      <c r="N93" s="590"/>
      <c r="O93" s="648"/>
      <c r="P93" s="649"/>
      <c r="Q93" s="593">
        <v>0</v>
      </c>
      <c r="R93" s="594"/>
      <c r="S93" s="344"/>
    </row>
    <row r="94" spans="2:23" ht="18.95" customHeight="1" x14ac:dyDescent="0.2">
      <c r="B94" s="595" t="s">
        <v>57</v>
      </c>
      <c r="C94" s="598"/>
      <c r="D94" s="599"/>
      <c r="E94" s="599"/>
      <c r="F94" s="599"/>
      <c r="G94" s="599"/>
      <c r="H94" s="599"/>
      <c r="I94" s="599"/>
      <c r="J94" s="599"/>
      <c r="K94" s="599"/>
      <c r="L94" s="599"/>
      <c r="M94" s="599"/>
      <c r="N94" s="599"/>
      <c r="O94" s="599"/>
      <c r="P94" s="599"/>
      <c r="Q94" s="599"/>
      <c r="R94" s="599"/>
      <c r="S94" s="336"/>
    </row>
    <row r="95" spans="2:23" ht="18.95" customHeight="1" x14ac:dyDescent="0.2">
      <c r="B95" s="596"/>
      <c r="C95" s="574" t="s">
        <v>600</v>
      </c>
      <c r="D95" s="571"/>
      <c r="E95" s="571"/>
      <c r="F95" s="571"/>
      <c r="G95" s="571"/>
      <c r="H95" s="571"/>
      <c r="I95" s="571"/>
      <c r="J95" s="571"/>
      <c r="K95" s="580"/>
      <c r="L95" s="581"/>
      <c r="M95" s="600">
        <v>12071000</v>
      </c>
      <c r="N95" s="601"/>
      <c r="O95" s="581"/>
      <c r="P95" s="581"/>
      <c r="Q95" s="581"/>
      <c r="R95" s="581"/>
      <c r="S95" s="339"/>
    </row>
    <row r="96" spans="2:23" ht="18.95" customHeight="1" x14ac:dyDescent="0.2">
      <c r="B96" s="596"/>
      <c r="C96" s="574" t="s">
        <v>601</v>
      </c>
      <c r="D96" s="571"/>
      <c r="E96" s="571"/>
      <c r="F96" s="571"/>
      <c r="G96" s="571"/>
      <c r="H96" s="571"/>
      <c r="I96" s="571"/>
      <c r="J96" s="571"/>
      <c r="K96" s="580"/>
      <c r="L96" s="581"/>
      <c r="M96" s="600">
        <v>284100</v>
      </c>
      <c r="N96" s="601"/>
      <c r="O96" s="581"/>
      <c r="P96" s="581"/>
      <c r="Q96" s="581"/>
      <c r="R96" s="581"/>
      <c r="S96" s="339"/>
    </row>
    <row r="97" spans="2:20" ht="18.95" customHeight="1" x14ac:dyDescent="0.2">
      <c r="B97" s="596"/>
      <c r="C97" s="574" t="s">
        <v>602</v>
      </c>
      <c r="D97" s="571"/>
      <c r="E97" s="571"/>
      <c r="F97" s="571"/>
      <c r="G97" s="571"/>
      <c r="H97" s="571"/>
      <c r="I97" s="571"/>
      <c r="J97" s="571"/>
      <c r="K97" s="580"/>
      <c r="L97" s="581"/>
      <c r="M97" s="600">
        <v>4500</v>
      </c>
      <c r="N97" s="601"/>
      <c r="O97" s="581"/>
      <c r="P97" s="581"/>
      <c r="Q97" s="581"/>
      <c r="R97" s="581"/>
      <c r="S97" s="339"/>
    </row>
    <row r="98" spans="2:20" ht="18.95" customHeight="1" x14ac:dyDescent="0.2">
      <c r="B98" s="596"/>
      <c r="C98" s="588"/>
      <c r="D98" s="581"/>
      <c r="E98" s="581"/>
      <c r="F98" s="581"/>
      <c r="G98" s="581"/>
      <c r="H98" s="581"/>
      <c r="I98" s="581"/>
      <c r="J98" s="581"/>
      <c r="K98" s="581"/>
      <c r="L98" s="581"/>
      <c r="M98" s="601"/>
      <c r="N98" s="601"/>
      <c r="O98" s="601"/>
      <c r="P98" s="601"/>
      <c r="Q98" s="601"/>
      <c r="R98" s="601"/>
      <c r="S98" s="351"/>
      <c r="T98" s="486"/>
    </row>
    <row r="99" spans="2:20" ht="18.95" customHeight="1" thickBot="1" x14ac:dyDescent="0.25">
      <c r="B99" s="597"/>
      <c r="C99" s="589" t="s">
        <v>603</v>
      </c>
      <c r="D99" s="590"/>
      <c r="E99" s="590"/>
      <c r="F99" s="590"/>
      <c r="G99" s="590"/>
      <c r="H99" s="590"/>
      <c r="I99" s="590"/>
      <c r="J99" s="590"/>
      <c r="K99" s="590"/>
      <c r="L99" s="590"/>
      <c r="M99" s="590"/>
      <c r="N99" s="590"/>
      <c r="O99" s="674"/>
      <c r="P99" s="675"/>
      <c r="Q99" s="593">
        <v>3307.4547158239452</v>
      </c>
      <c r="R99" s="594"/>
      <c r="S99" s="344"/>
    </row>
    <row r="100" spans="2:20" ht="18.95" customHeight="1" x14ac:dyDescent="0.2">
      <c r="C100" s="581"/>
      <c r="D100" s="581"/>
      <c r="E100" s="581"/>
      <c r="F100" s="581"/>
      <c r="G100" s="581"/>
      <c r="H100" s="581"/>
      <c r="I100" s="581"/>
      <c r="J100" s="581"/>
      <c r="K100" s="581"/>
      <c r="L100" s="581"/>
      <c r="M100" s="581"/>
      <c r="N100" s="581"/>
      <c r="O100" s="581"/>
      <c r="P100" s="581"/>
    </row>
    <row r="101" spans="2:20" ht="18.95" customHeight="1" x14ac:dyDescent="0.2">
      <c r="C101" s="571" t="s">
        <v>535</v>
      </c>
      <c r="D101" s="571"/>
      <c r="E101" s="571"/>
      <c r="F101" s="571"/>
      <c r="G101" s="571"/>
      <c r="H101" s="571"/>
      <c r="I101" s="571"/>
      <c r="J101" s="571"/>
      <c r="K101" s="580"/>
      <c r="L101" s="581"/>
      <c r="M101" s="581"/>
      <c r="N101" s="581"/>
      <c r="O101" s="581"/>
      <c r="P101" s="581"/>
    </row>
    <row r="102" spans="2:20" ht="18.95" customHeight="1" x14ac:dyDescent="0.2">
      <c r="C102" s="581"/>
      <c r="D102" s="581"/>
      <c r="E102" s="581"/>
      <c r="F102" s="581"/>
      <c r="G102" s="581"/>
      <c r="H102" s="581"/>
      <c r="I102" s="581"/>
      <c r="J102" s="581"/>
      <c r="K102" s="581"/>
      <c r="L102" s="581"/>
      <c r="M102" s="581"/>
      <c r="N102" s="581"/>
      <c r="O102" s="581"/>
      <c r="P102" s="581"/>
    </row>
    <row r="103" spans="2:20" ht="18.95" customHeight="1" x14ac:dyDescent="0.2">
      <c r="C103" s="571" t="s">
        <v>604</v>
      </c>
      <c r="D103" s="571"/>
      <c r="E103" s="571"/>
      <c r="F103" s="571"/>
      <c r="G103" s="571"/>
      <c r="H103" s="571"/>
      <c r="I103" s="571"/>
      <c r="J103" s="571"/>
      <c r="K103" s="580"/>
      <c r="L103" s="581"/>
      <c r="M103" s="585">
        <v>365</v>
      </c>
      <c r="N103" s="581"/>
    </row>
    <row r="104" spans="2:20" ht="18.95" customHeight="1" x14ac:dyDescent="0.2"/>
    <row r="105" spans="2:20" ht="18.95" customHeight="1" x14ac:dyDescent="0.2">
      <c r="C105" s="581" t="s">
        <v>673</v>
      </c>
      <c r="D105" s="581"/>
      <c r="E105" s="581"/>
      <c r="F105" s="581"/>
      <c r="G105" s="581"/>
      <c r="H105" s="581"/>
      <c r="I105" s="581"/>
      <c r="J105" s="581"/>
      <c r="K105" s="581"/>
      <c r="L105" s="581"/>
      <c r="M105" s="581"/>
      <c r="N105" s="581"/>
      <c r="O105" s="645"/>
      <c r="P105" s="646"/>
      <c r="Q105" s="647">
        <v>4106829.8370655808</v>
      </c>
      <c r="R105" s="647"/>
    </row>
    <row r="106" spans="2:20" ht="18.95" customHeight="1" x14ac:dyDescent="0.2">
      <c r="C106" s="581"/>
      <c r="D106" s="581"/>
      <c r="E106" s="581"/>
      <c r="F106" s="581"/>
      <c r="G106" s="581"/>
      <c r="H106" s="581"/>
      <c r="I106" s="581"/>
      <c r="J106" s="581"/>
      <c r="K106" s="581"/>
      <c r="L106" s="581"/>
      <c r="M106" s="581"/>
      <c r="N106" s="581"/>
      <c r="O106" s="581"/>
      <c r="P106" s="581"/>
    </row>
  </sheetData>
  <mergeCells count="329">
    <mergeCell ref="C100:J100"/>
    <mergeCell ref="K100:L100"/>
    <mergeCell ref="M100:N100"/>
    <mergeCell ref="O100:P100"/>
    <mergeCell ref="C99:N99"/>
    <mergeCell ref="O96:R96"/>
    <mergeCell ref="C97:J97"/>
    <mergeCell ref="O89:P89"/>
    <mergeCell ref="Q89:R89"/>
    <mergeCell ref="B94:B99"/>
    <mergeCell ref="C94:R94"/>
    <mergeCell ref="C95:J95"/>
    <mergeCell ref="K95:L95"/>
    <mergeCell ref="O99:P99"/>
    <mergeCell ref="Q99:R99"/>
    <mergeCell ref="M95:N95"/>
    <mergeCell ref="O95:R95"/>
    <mergeCell ref="C96:J96"/>
    <mergeCell ref="K96:L96"/>
    <mergeCell ref="M96:N96"/>
    <mergeCell ref="K97:L97"/>
    <mergeCell ref="M97:N97"/>
    <mergeCell ref="O97:R97"/>
    <mergeCell ref="C98:J98"/>
    <mergeCell ref="K98:L98"/>
    <mergeCell ref="M98:R98"/>
    <mergeCell ref="B90:B93"/>
    <mergeCell ref="C90:R90"/>
    <mergeCell ref="C91:J91"/>
    <mergeCell ref="K91:L91"/>
    <mergeCell ref="M91:N91"/>
    <mergeCell ref="O91:R91"/>
    <mergeCell ref="C92:R92"/>
    <mergeCell ref="C93:N93"/>
    <mergeCell ref="O93:P93"/>
    <mergeCell ref="Q93:R93"/>
    <mergeCell ref="K52:L52"/>
    <mergeCell ref="M52:N52"/>
    <mergeCell ref="K53:L53"/>
    <mergeCell ref="M53:N53"/>
    <mergeCell ref="B82:B89"/>
    <mergeCell ref="C82:R82"/>
    <mergeCell ref="C83:N83"/>
    <mergeCell ref="O83:P83"/>
    <mergeCell ref="Q83:R83"/>
    <mergeCell ref="C84:R84"/>
    <mergeCell ref="C85:J85"/>
    <mergeCell ref="K85:L85"/>
    <mergeCell ref="M85:N85"/>
    <mergeCell ref="O85:R85"/>
    <mergeCell ref="C86:J86"/>
    <mergeCell ref="K86:L86"/>
    <mergeCell ref="M86:N86"/>
    <mergeCell ref="O86:R86"/>
    <mergeCell ref="C87:J87"/>
    <mergeCell ref="K87:L87"/>
    <mergeCell ref="M87:N87"/>
    <mergeCell ref="O87:R87"/>
    <mergeCell ref="C88:R88"/>
    <mergeCell ref="C89:N89"/>
    <mergeCell ref="C7:J7"/>
    <mergeCell ref="K7:L7"/>
    <mergeCell ref="W15:X15"/>
    <mergeCell ref="W17:X17"/>
    <mergeCell ref="W16:X16"/>
    <mergeCell ref="C16:J16"/>
    <mergeCell ref="K16:L16"/>
    <mergeCell ref="M16:N16"/>
    <mergeCell ref="W23:X23"/>
    <mergeCell ref="C20:Y20"/>
    <mergeCell ref="O16:P16"/>
    <mergeCell ref="Q16:R16"/>
    <mergeCell ref="S16:T16"/>
    <mergeCell ref="U16:V16"/>
    <mergeCell ref="C18:Y18"/>
    <mergeCell ref="U17:V17"/>
    <mergeCell ref="AC11:AF11"/>
    <mergeCell ref="B12:B20"/>
    <mergeCell ref="C12:Y12"/>
    <mergeCell ref="AD12:AE12"/>
    <mergeCell ref="C13:J13"/>
    <mergeCell ref="K13:L13"/>
    <mergeCell ref="M13:Y13"/>
    <mergeCell ref="AD13:AE13"/>
    <mergeCell ref="O14:P15"/>
    <mergeCell ref="S14:T15"/>
    <mergeCell ref="AD14:AE14"/>
    <mergeCell ref="C15:J15"/>
    <mergeCell ref="K15:L15"/>
    <mergeCell ref="M15:N15"/>
    <mergeCell ref="Q15:R15"/>
    <mergeCell ref="U15:V15"/>
    <mergeCell ref="AD15:AE15"/>
    <mergeCell ref="AD16:AE16"/>
    <mergeCell ref="C17:J17"/>
    <mergeCell ref="K17:L17"/>
    <mergeCell ref="M17:N17"/>
    <mergeCell ref="O17:P17"/>
    <mergeCell ref="Q17:R17"/>
    <mergeCell ref="S17:T17"/>
    <mergeCell ref="AD17:AE17"/>
    <mergeCell ref="AD18:AE18"/>
    <mergeCell ref="C19:J19"/>
    <mergeCell ref="K19:L19"/>
    <mergeCell ref="M19:N19"/>
    <mergeCell ref="O19:Y19"/>
    <mergeCell ref="AD19:AE19"/>
    <mergeCell ref="AD20:AE20"/>
    <mergeCell ref="B21:B39"/>
    <mergeCell ref="C21:Y21"/>
    <mergeCell ref="AD21:AE21"/>
    <mergeCell ref="C22:J22"/>
    <mergeCell ref="K22:L22"/>
    <mergeCell ref="O22:P23"/>
    <mergeCell ref="S22:T23"/>
    <mergeCell ref="AD22:AE22"/>
    <mergeCell ref="C23:N23"/>
    <mergeCell ref="Q23:R23"/>
    <mergeCell ref="U23:V23"/>
    <mergeCell ref="AD23:AE23"/>
    <mergeCell ref="C39:Y39"/>
    <mergeCell ref="AD24:AE24"/>
    <mergeCell ref="AD25:AE25"/>
    <mergeCell ref="C26:N26"/>
    <mergeCell ref="O26:P26"/>
    <mergeCell ref="Q26:R26"/>
    <mergeCell ref="S26:T26"/>
    <mergeCell ref="U26:V26"/>
    <mergeCell ref="AD26:AE26"/>
    <mergeCell ref="W24:X24"/>
    <mergeCell ref="W25:X25"/>
    <mergeCell ref="C25:N25"/>
    <mergeCell ref="O25:P25"/>
    <mergeCell ref="Q25:R25"/>
    <mergeCell ref="S25:T25"/>
    <mergeCell ref="U25:V25"/>
    <mergeCell ref="W26:X26"/>
    <mergeCell ref="C24:N24"/>
    <mergeCell ref="O24:P24"/>
    <mergeCell ref="Q24:R24"/>
    <mergeCell ref="S24:T24"/>
    <mergeCell ref="U24:V24"/>
    <mergeCell ref="C27:N27"/>
    <mergeCell ref="O27:P27"/>
    <mergeCell ref="Q27:R27"/>
    <mergeCell ref="S27:T27"/>
    <mergeCell ref="U27:V27"/>
    <mergeCell ref="AD27:AE27"/>
    <mergeCell ref="AD28:AE28"/>
    <mergeCell ref="C29:N29"/>
    <mergeCell ref="O29:P29"/>
    <mergeCell ref="Q29:R29"/>
    <mergeCell ref="S29:T29"/>
    <mergeCell ref="U29:V29"/>
    <mergeCell ref="AD29:AE29"/>
    <mergeCell ref="W27:X27"/>
    <mergeCell ref="C30:N30"/>
    <mergeCell ref="O30:P30"/>
    <mergeCell ref="Q30:R30"/>
    <mergeCell ref="S30:T30"/>
    <mergeCell ref="U30:V30"/>
    <mergeCell ref="AD30:AE30"/>
    <mergeCell ref="W28:X28"/>
    <mergeCell ref="W29:X29"/>
    <mergeCell ref="C28:N28"/>
    <mergeCell ref="O28:P28"/>
    <mergeCell ref="Q28:R28"/>
    <mergeCell ref="S28:T28"/>
    <mergeCell ref="U28:V28"/>
    <mergeCell ref="W30:X30"/>
    <mergeCell ref="AD31:AE31"/>
    <mergeCell ref="C32:N32"/>
    <mergeCell ref="O32:P32"/>
    <mergeCell ref="Q32:R32"/>
    <mergeCell ref="S32:T32"/>
    <mergeCell ref="U32:V32"/>
    <mergeCell ref="AD32:AE32"/>
    <mergeCell ref="C33:N33"/>
    <mergeCell ref="O33:P33"/>
    <mergeCell ref="Q33:R33"/>
    <mergeCell ref="S33:T33"/>
    <mergeCell ref="U33:V33"/>
    <mergeCell ref="AD33:AE33"/>
    <mergeCell ref="W31:X31"/>
    <mergeCell ref="C31:N31"/>
    <mergeCell ref="O31:P31"/>
    <mergeCell ref="Q31:R31"/>
    <mergeCell ref="S31:T31"/>
    <mergeCell ref="U31:V31"/>
    <mergeCell ref="W32:X32"/>
    <mergeCell ref="W33:X33"/>
    <mergeCell ref="AD34:AE34"/>
    <mergeCell ref="C35:N35"/>
    <mergeCell ref="O35:P35"/>
    <mergeCell ref="Q35:R35"/>
    <mergeCell ref="S35:T35"/>
    <mergeCell ref="U35:V35"/>
    <mergeCell ref="AD35:AE35"/>
    <mergeCell ref="C36:N36"/>
    <mergeCell ref="O36:P36"/>
    <mergeCell ref="Q36:R36"/>
    <mergeCell ref="S36:T36"/>
    <mergeCell ref="U36:V36"/>
    <mergeCell ref="AD36:AE36"/>
    <mergeCell ref="W34:X34"/>
    <mergeCell ref="W35:X35"/>
    <mergeCell ref="C34:N34"/>
    <mergeCell ref="O34:P34"/>
    <mergeCell ref="Q34:R34"/>
    <mergeCell ref="S34:T34"/>
    <mergeCell ref="U34:V34"/>
    <mergeCell ref="W36:X36"/>
    <mergeCell ref="C37:N37"/>
    <mergeCell ref="O37:P37"/>
    <mergeCell ref="Q37:R37"/>
    <mergeCell ref="S37:T37"/>
    <mergeCell ref="U37:V37"/>
    <mergeCell ref="AD37:AE37"/>
    <mergeCell ref="C38:N38"/>
    <mergeCell ref="O38:P38"/>
    <mergeCell ref="Q38:R38"/>
    <mergeCell ref="S38:T38"/>
    <mergeCell ref="U38:V38"/>
    <mergeCell ref="AD38:AE38"/>
    <mergeCell ref="W37:X37"/>
    <mergeCell ref="W38:X38"/>
    <mergeCell ref="AD39:AE39"/>
    <mergeCell ref="B40:B55"/>
    <mergeCell ref="C41:I41"/>
    <mergeCell ref="C42:J42"/>
    <mergeCell ref="K42:L42"/>
    <mergeCell ref="M42:N42"/>
    <mergeCell ref="C43:J43"/>
    <mergeCell ref="K43:L43"/>
    <mergeCell ref="M43:N43"/>
    <mergeCell ref="C44:J44"/>
    <mergeCell ref="K44:L44"/>
    <mergeCell ref="M44:N44"/>
    <mergeCell ref="C46:J46"/>
    <mergeCell ref="K46:L46"/>
    <mergeCell ref="M46:N46"/>
    <mergeCell ref="C47:J47"/>
    <mergeCell ref="K47:L47"/>
    <mergeCell ref="M47:N47"/>
    <mergeCell ref="C49:J49"/>
    <mergeCell ref="C53:J53"/>
    <mergeCell ref="K49:L49"/>
    <mergeCell ref="M49:N49"/>
    <mergeCell ref="C51:I51"/>
    <mergeCell ref="C52:J52"/>
    <mergeCell ref="C61:J61"/>
    <mergeCell ref="K61:L61"/>
    <mergeCell ref="M61:N61"/>
    <mergeCell ref="C62:J62"/>
    <mergeCell ref="K62:L62"/>
    <mergeCell ref="M62:N62"/>
    <mergeCell ref="C63:J63"/>
    <mergeCell ref="K63:L63"/>
    <mergeCell ref="M63:N63"/>
    <mergeCell ref="O56:P56"/>
    <mergeCell ref="C57:N57"/>
    <mergeCell ref="O57:P57"/>
    <mergeCell ref="Q57:R57"/>
    <mergeCell ref="C59:J59"/>
    <mergeCell ref="K59:L59"/>
    <mergeCell ref="M59:N59"/>
    <mergeCell ref="C54:J54"/>
    <mergeCell ref="K54:L54"/>
    <mergeCell ref="M54:N54"/>
    <mergeCell ref="C65:N65"/>
    <mergeCell ref="O65:P65"/>
    <mergeCell ref="Q65:R65"/>
    <mergeCell ref="B66:B73"/>
    <mergeCell ref="C66:R66"/>
    <mergeCell ref="C67:N67"/>
    <mergeCell ref="O67:P67"/>
    <mergeCell ref="Q67:R67"/>
    <mergeCell ref="C68:R68"/>
    <mergeCell ref="C69:J69"/>
    <mergeCell ref="K69:L69"/>
    <mergeCell ref="M69:N69"/>
    <mergeCell ref="O69:R69"/>
    <mergeCell ref="C70:J70"/>
    <mergeCell ref="K70:L70"/>
    <mergeCell ref="M70:N70"/>
    <mergeCell ref="O70:R70"/>
    <mergeCell ref="C71:J71"/>
    <mergeCell ref="K71:L71"/>
    <mergeCell ref="M71:N71"/>
    <mergeCell ref="B56:B65"/>
    <mergeCell ref="C60:J60"/>
    <mergeCell ref="K60:L60"/>
    <mergeCell ref="M60:N60"/>
    <mergeCell ref="O71:R71"/>
    <mergeCell ref="C72:R72"/>
    <mergeCell ref="C73:N73"/>
    <mergeCell ref="O73:P73"/>
    <mergeCell ref="Q73:R73"/>
    <mergeCell ref="B74:B81"/>
    <mergeCell ref="C74:R74"/>
    <mergeCell ref="C75:N75"/>
    <mergeCell ref="O75:P75"/>
    <mergeCell ref="Q75:R75"/>
    <mergeCell ref="C76:R76"/>
    <mergeCell ref="C77:R77"/>
    <mergeCell ref="C78:R78"/>
    <mergeCell ref="C79:R79"/>
    <mergeCell ref="C80:R80"/>
    <mergeCell ref="C81:R81"/>
    <mergeCell ref="M105:N105"/>
    <mergeCell ref="O105:P105"/>
    <mergeCell ref="Q105:R105"/>
    <mergeCell ref="C106:J106"/>
    <mergeCell ref="K106:L106"/>
    <mergeCell ref="M106:N106"/>
    <mergeCell ref="O106:P106"/>
    <mergeCell ref="K101:L101"/>
    <mergeCell ref="M101:N101"/>
    <mergeCell ref="O101:P101"/>
    <mergeCell ref="C102:J102"/>
    <mergeCell ref="K102:L102"/>
    <mergeCell ref="M102:N102"/>
    <mergeCell ref="O102:P102"/>
    <mergeCell ref="C103:J103"/>
    <mergeCell ref="K103:L103"/>
    <mergeCell ref="M103:N103"/>
    <mergeCell ref="C105:J105"/>
    <mergeCell ref="K105:L105"/>
    <mergeCell ref="C101:J101"/>
  </mergeCells>
  <pageMargins left="0.7" right="0.7" top="0.75" bottom="0.75" header="0.3" footer="0.3"/>
  <pageSetup scale="52" fitToHeight="0"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spe:Receivers xmlns:spe="http://schemas.microsoft.com/sharepoint/events"/>
</file>

<file path=customXml/item4.xml><?xml version="1.0" encoding="utf-8"?>
<?mso-contentType ?>
<SharedContentType xmlns="Microsoft.SharePoint.Taxonomy.ContentTypeSync" SourceId="781a52b0-d0f4-44f0-98bb-0d102f5fd161" ContentTypeId="0x0101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F9878EDCF4D4A4DA6FCCAE72F77463D" ma:contentTypeVersion="11" ma:contentTypeDescription="Create a new document." ma:contentTypeScope="" ma:versionID="85f3cdf64b20e14a1ef61101fa56eb76">
  <xsd:schema xmlns:xsd="http://www.w3.org/2001/XMLSchema" xmlns:xs="http://www.w3.org/2001/XMLSchema" xmlns:p="http://schemas.microsoft.com/office/2006/metadata/properties" xmlns:ns2="c18e8617-fc0f-4dda-a87a-c0ec120ddf92" xmlns:ns3="25119aca-2163-4379-b441-1b33a44f5040" targetNamespace="http://schemas.microsoft.com/office/2006/metadata/properties" ma:root="true" ma:fieldsID="56b56b9d0b7f37814adbdb54f9507552" ns2:_="" ns3:_="">
    <xsd:import namespace="c18e8617-fc0f-4dda-a87a-c0ec120ddf92"/>
    <xsd:import namespace="25119aca-2163-4379-b441-1b33a44f5040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8e8617-fc0f-4dda-a87a-c0ec120ddf9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119aca-2163-4379-b441-1b33a44f504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2AA03A5-88D7-487B-86AA-2DD8219007D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ACA2BDA-6228-4910-BB02-D2ED1EB9094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2403906-17AB-4EAD-BF73-B09BF4712807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2B47705C-319F-4A35-B533-C7D7709FC0F1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D2807B7-4B55-4242-A589-20F2BBF35981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19</vt:i4>
      </vt:variant>
    </vt:vector>
  </HeadingPairs>
  <TitlesOfParts>
    <vt:vector size="34" baseType="lpstr">
      <vt:lpstr>A - Inputs</vt:lpstr>
      <vt:lpstr>B - Output Table</vt:lpstr>
      <vt:lpstr>C - Summary</vt:lpstr>
      <vt:lpstr>D - Cost Estimate</vt:lpstr>
      <vt:lpstr>E - Construction &amp; Residual</vt:lpstr>
      <vt:lpstr>F - Maintenance Costs</vt:lpstr>
      <vt:lpstr>G - Safety</vt:lpstr>
      <vt:lpstr>H - Travel Time</vt:lpstr>
      <vt:lpstr>I - Environmental</vt:lpstr>
      <vt:lpstr>J-Technology</vt:lpstr>
      <vt:lpstr>K - Economic Output</vt:lpstr>
      <vt:lpstr>Wrong Way Detection_Backup</vt:lpstr>
      <vt:lpstr>En-Route Travel Info_Backup</vt:lpstr>
      <vt:lpstr>RAMP Metering_Backup</vt:lpstr>
      <vt:lpstr>RWM_Backup</vt:lpstr>
      <vt:lpstr>BaseYear</vt:lpstr>
      <vt:lpstr>BenefitStart</vt:lpstr>
      <vt:lpstr>'A - Inputs'!Print_Area</vt:lpstr>
      <vt:lpstr>'D - Cost Estimate'!Print_Area</vt:lpstr>
      <vt:lpstr>'En-Route Travel Info_Backup'!Print_Area</vt:lpstr>
      <vt:lpstr>'F - Maintenance Costs'!Print_Area</vt:lpstr>
      <vt:lpstr>'G - Safety'!Print_Area</vt:lpstr>
      <vt:lpstr>'I - Environmental'!Print_Area</vt:lpstr>
      <vt:lpstr>'J-Technology'!Print_Area</vt:lpstr>
      <vt:lpstr>'K - Economic Output'!Print_Area</vt:lpstr>
      <vt:lpstr>'RAMP Metering_Backup'!Print_Area</vt:lpstr>
      <vt:lpstr>RWM_Backup!Print_Area</vt:lpstr>
      <vt:lpstr>'Wrong Way Detection_Backup'!Print_Area</vt:lpstr>
      <vt:lpstr>'G - Safety'!Print_Titles</vt:lpstr>
      <vt:lpstr>'H - Travel Time'!Print_Titles</vt:lpstr>
      <vt:lpstr>'Wrong Way Detection_Backup'!Print_Titles</vt:lpstr>
      <vt:lpstr>ProjStartYr</vt:lpstr>
      <vt:lpstr>ProjUseStart</vt:lpstr>
      <vt:lpstr>YearDays</vt:lpstr>
    </vt:vector>
  </TitlesOfParts>
  <Manager/>
  <Company>Northwest Design Group,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Winfield</dc:creator>
  <cp:keywords/>
  <dc:description/>
  <cp:lastModifiedBy>Statz, Lydia</cp:lastModifiedBy>
  <cp:revision/>
  <cp:lastPrinted>2021-02-25T14:45:27Z</cp:lastPrinted>
  <dcterms:created xsi:type="dcterms:W3CDTF">2011-10-10T20:23:01Z</dcterms:created>
  <dcterms:modified xsi:type="dcterms:W3CDTF">2021-02-25T14:47:45Z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0x0101000F9878EDCF4D4A4DA6FCCAE72F77463D</vt:lpwstr>
  </property>
</Properties>
</file>