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imleyhorn-my.sharepoint.com/personal/macy_falcon_kimley-horn_com/Documents/OPP/20_Grant Support/Federal Grant Support/Narratives/Post St CRISI 2022/BCA/"/>
    </mc:Choice>
  </mc:AlternateContent>
  <xr:revisionPtr revIDLastSave="1974" documentId="8_{F40A8C66-F383-4FA6-AB34-E9648BBBC4A4}" xr6:coauthVersionLast="47" xr6:coauthVersionMax="47" xr10:uidLastSave="{F2F27D4B-E18C-4517-8D0A-BE7DABBBCE78}"/>
  <bookViews>
    <workbookView xWindow="28680" yWindow="-120" windowWidth="29040" windowHeight="15840" firstSheet="5" activeTab="9" xr2:uid="{C9D1A1E5-6272-4899-B1E2-96F3BB5D5E69}"/>
  </bookViews>
  <sheets>
    <sheet name="A - Inputs" sheetId="24" r:id="rId1"/>
    <sheet name="B - Output Table" sheetId="39" r:id="rId2"/>
    <sheet name="C - Summary" sheetId="35" r:id="rId3"/>
    <sheet name="D - Cost Estimate" sheetId="25" r:id="rId4"/>
    <sheet name="E - Construction &amp; Residual" sheetId="26" r:id="rId5"/>
    <sheet name="F - Maintenance &amp; SOGR" sheetId="28" r:id="rId6"/>
    <sheet name="G - Crash Savings" sheetId="41" r:id="rId7"/>
    <sheet name="I - Travel Time" sheetId="33" r:id="rId8"/>
    <sheet name="J -Operating Cost Savings" sheetId="56" r:id="rId9"/>
    <sheet name="L - Environmental" sheetId="40" r:id="rId10"/>
    <sheet name="H - Emergency Services" sheetId="53" state="hidden" r:id="rId11"/>
    <sheet name="Emission Rates" sheetId="52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_IntlFixup" hidden="1">TRUE</definedName>
    <definedName name="_xlnm._FilterDatabase" localSheetId="3" hidden="1">'D - Cost Estimate'!$B$4:$H$14</definedName>
    <definedName name="_xlnm._FilterDatabase" localSheetId="6" hidden="1">'G - Crash Savings'!$E$5:$W$17</definedName>
    <definedName name="_xlnm._FilterDatabase" localSheetId="9" hidden="1">'L - Environmental'!#REF!</definedName>
    <definedName name="AnalysisPd">'A - Inputs'!$C$11</definedName>
    <definedName name="AnalysisYrs">[1]Inputs!$C$12</definedName>
    <definedName name="BaseYear" localSheetId="11">'[2]A - Inputs'!$C$6</definedName>
    <definedName name="BaseYear">'A - Inputs'!$C$6</definedName>
    <definedName name="BaseYr">[1]Inputs!$C$7</definedName>
    <definedName name="BenefitStart" localSheetId="11">'[2]A - Inputs'!$C$10</definedName>
    <definedName name="BenefitStart">'A - Inputs'!$C$10</definedName>
    <definedName name="disc1" localSheetId="11">'[3]A - Inputs'!$C$15</definedName>
    <definedName name="disc1">'A - Inputs'!$C$15</definedName>
    <definedName name="disc2" localSheetId="11">'[3]A - Inputs'!$C$16</definedName>
    <definedName name="disc2">'A - Inputs'!$C$16</definedName>
    <definedName name="Discount" localSheetId="11">'[2]A - Inputs'!$C$14</definedName>
    <definedName name="Discount">'[4]A - Inputs'!$C$14</definedName>
    <definedName name="facilityTypeId">'[5]Link Characteristics'!$C$4:$C$19</definedName>
    <definedName name="facilityTypeName">'[5]Link Characteristics'!$D$4:$D$8</definedName>
    <definedName name="facilityTypes">'[5]Link Characteristics'!$C$4:$H$19</definedName>
    <definedName name="Guidance" localSheetId="11">'[2]A - Inputs'!$C$20</definedName>
    <definedName name="Guidance">'[6]A - Inputs'!$C$20</definedName>
    <definedName name="incidentDelayRates">[5]Parameters!$AP$12:$AT$91</definedName>
    <definedName name="openingScreenTitle">'[5]OPENING SCREEN'!$B$24</definedName>
    <definedName name="parameterAutoValueOfTime">[5]Parameters!$W$12</definedName>
    <definedName name="parameterAutoValueOfTimeDelay">[5]Parameters!$W$16</definedName>
    <definedName name="parameterAverageAutoOccupancy">[5]Parameters!$P$24</definedName>
    <definedName name="parameterCommercialAutoValueOfTime">[5]Parameters!$W$11</definedName>
    <definedName name="parameterCommercialAutoValueOfTimeDelay">[5]Parameters!$W$15</definedName>
    <definedName name="parameterFatalityValuation">[5]Parameters!$W$20</definedName>
    <definedName name="parameterFuelCostGallon">[5]Parameters!$W$25</definedName>
    <definedName name="parameterFuelEconomyAuto">[5]Parameters!$AN$9</definedName>
    <definedName name="parameterFuelEconomyTruck">[5]Parameters!$AN$10</definedName>
    <definedName name="parameterInjuryValuation">[5]Parameters!$W$21</definedName>
    <definedName name="parameterPDOValuation">[5]Parameters!$W$22</definedName>
    <definedName name="parameterPercentCommercialAuto">[5]Parameters!$P$23</definedName>
    <definedName name="parameterPercentTrucks">[5]Parameters!$P$22</definedName>
    <definedName name="parameterTruckValueOfTime">[5]Parameters!$W$13</definedName>
    <definedName name="parameterTruckValueOfTimeDelay">[5]Parameters!$W$17</definedName>
    <definedName name="_xlnm.Print_Area" localSheetId="0">'A - Inputs'!$A$1:$I$30,'A - Inputs'!$A$32:$L$66,'A - Inputs'!$A$68:$L$140</definedName>
    <definedName name="_xlnm.Print_Area" localSheetId="1">'B - Output Table'!$A$1:$F$19</definedName>
    <definedName name="_xlnm.Print_Area" localSheetId="2">'C - Summary'!$A$1:$T$43</definedName>
    <definedName name="_xlnm.Print_Area" localSheetId="3">'D - Cost Estimate'!$A$1:$H$36</definedName>
    <definedName name="_xlnm.Print_Area" localSheetId="4">'E - Construction &amp; Residual'!$A$1:$M$43</definedName>
    <definedName name="_xlnm.Print_Area" localSheetId="5">'F - Maintenance &amp; SOGR'!$A$1:$L$56</definedName>
    <definedName name="_xlnm.Print_Area" localSheetId="6">'G - Crash Savings'!$A$1:$R$16,'G - Crash Savings'!$T$3:$Z$18,'G - Crash Savings'!$B$17:$L$51</definedName>
    <definedName name="_xlnm.Print_Area" localSheetId="10">'H - Emergency Services'!$A$1:$M$21,'H - Emergency Services'!$O$1:$AB$20,'H - Emergency Services'!$B$23:$R$55</definedName>
    <definedName name="_xlnm.Print_Area" localSheetId="7">'I - Travel Time'!$A$1:$Q$45</definedName>
    <definedName name="_xlnm.Print_Area" localSheetId="8">'J -Operating Cost Savings'!$A$1:$N$43</definedName>
    <definedName name="_xlnm.Print_Area" localSheetId="9">'L - Environmental'!$A$1:$AZ$53</definedName>
    <definedName name="_xlnm.Print_Titles" localSheetId="7">'I - Travel Time'!$B:$C</definedName>
    <definedName name="_xlnm.Print_Titles" localSheetId="8">'J -Operating Cost Savings'!$B:$C</definedName>
    <definedName name="ProjStart">[1]Inputs!$C$8</definedName>
    <definedName name="ProjStartYear">'[7]E - General Inputs'!$C$7</definedName>
    <definedName name="ProjStartYr" localSheetId="11">'[2]A - Inputs'!$C$7</definedName>
    <definedName name="ProjStartYr">'A - Inputs'!$C$7</definedName>
    <definedName name="ProjUseStart">'A - Inputs'!$C$10</definedName>
    <definedName name="YearDays" localSheetId="11">'[2]A - Inputs'!$C$13</definedName>
    <definedName name="YearDays">'A - Inputs'!$C$13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33" l="1"/>
  <c r="E17" i="33"/>
  <c r="E18" i="33"/>
  <c r="E19" i="33"/>
  <c r="E20" i="33"/>
  <c r="E21" i="33"/>
  <c r="E22" i="33"/>
  <c r="E23" i="33"/>
  <c r="E24" i="33"/>
  <c r="E25" i="33"/>
  <c r="E26" i="33"/>
  <c r="E27" i="33"/>
  <c r="E28" i="33"/>
  <c r="E29" i="33"/>
  <c r="E30" i="33"/>
  <c r="E31" i="33"/>
  <c r="E32" i="33"/>
  <c r="E33" i="33"/>
  <c r="E34" i="33"/>
  <c r="E35" i="33"/>
  <c r="E36" i="33"/>
  <c r="E37" i="33"/>
  <c r="E38" i="33"/>
  <c r="E39" i="33"/>
  <c r="E40" i="33"/>
  <c r="E41" i="33"/>
  <c r="E42" i="33"/>
  <c r="E43" i="33"/>
  <c r="E44" i="33"/>
  <c r="E15" i="33"/>
  <c r="D16" i="33"/>
  <c r="D17" i="33"/>
  <c r="D18" i="33"/>
  <c r="D19" i="33"/>
  <c r="D20" i="33"/>
  <c r="D21" i="33"/>
  <c r="D22" i="33"/>
  <c r="D23" i="33"/>
  <c r="D24" i="33"/>
  <c r="D25" i="33"/>
  <c r="D26" i="33"/>
  <c r="D27" i="33"/>
  <c r="D28" i="33"/>
  <c r="D29" i="33"/>
  <c r="D30" i="33"/>
  <c r="D31" i="33"/>
  <c r="D32" i="33"/>
  <c r="D33" i="33"/>
  <c r="D34" i="33"/>
  <c r="D35" i="33"/>
  <c r="D36" i="33"/>
  <c r="D37" i="33"/>
  <c r="D38" i="33"/>
  <c r="D39" i="33"/>
  <c r="D40" i="33"/>
  <c r="D41" i="33"/>
  <c r="D42" i="33"/>
  <c r="D43" i="33"/>
  <c r="D44" i="33"/>
  <c r="D15" i="33"/>
  <c r="C17" i="40" s="1"/>
  <c r="D13" i="56" s="1"/>
  <c r="E72" i="24"/>
  <c r="E109" i="24"/>
  <c r="E108" i="24"/>
  <c r="E36" i="24"/>
  <c r="E111" i="24"/>
  <c r="E110" i="24"/>
  <c r="E73" i="24"/>
  <c r="C18" i="40"/>
  <c r="D21" i="28"/>
  <c r="E107" i="24"/>
  <c r="G56" i="28"/>
  <c r="H56" i="28"/>
  <c r="I56" i="28"/>
  <c r="D6" i="28"/>
  <c r="D8" i="28"/>
  <c r="D7" i="28"/>
  <c r="D6" i="41"/>
  <c r="U27" i="41"/>
  <c r="U19" i="41" l="1"/>
  <c r="U18" i="41"/>
  <c r="F6" i="41"/>
  <c r="K6" i="41" s="1"/>
  <c r="H6" i="41"/>
  <c r="M6" i="41" s="1"/>
  <c r="J6" i="41"/>
  <c r="L6" i="41"/>
  <c r="K25" i="53" l="1"/>
  <c r="J25" i="53"/>
  <c r="D16" i="28"/>
  <c r="D13" i="28"/>
  <c r="D17" i="28" s="1"/>
  <c r="F34" i="28" l="1"/>
  <c r="F42" i="28"/>
  <c r="F50" i="28"/>
  <c r="F27" i="28"/>
  <c r="F35" i="28"/>
  <c r="F43" i="28"/>
  <c r="F51" i="28"/>
  <c r="F28" i="28"/>
  <c r="F36" i="28"/>
  <c r="F44" i="28"/>
  <c r="F52" i="28"/>
  <c r="F29" i="28"/>
  <c r="F37" i="28"/>
  <c r="F45" i="28"/>
  <c r="F53" i="28"/>
  <c r="F30" i="28"/>
  <c r="F38" i="28"/>
  <c r="F46" i="28"/>
  <c r="F54" i="28"/>
  <c r="F31" i="28"/>
  <c r="F39" i="28"/>
  <c r="F47" i="28"/>
  <c r="F55" i="28"/>
  <c r="F32" i="28"/>
  <c r="F40" i="28"/>
  <c r="F48" i="28"/>
  <c r="F26" i="28"/>
  <c r="F33" i="28"/>
  <c r="F41" i="28"/>
  <c r="F49" i="28"/>
  <c r="E9" i="53"/>
  <c r="D15" i="53"/>
  <c r="E15" i="53"/>
  <c r="E16" i="53" s="1"/>
  <c r="D16" i="53"/>
  <c r="D17" i="53"/>
  <c r="D18" i="53"/>
  <c r="D19" i="53" s="1"/>
  <c r="E25" i="53"/>
  <c r="E6" i="56"/>
  <c r="I14" i="26"/>
  <c r="I15" i="26"/>
  <c r="I16" i="26"/>
  <c r="I17" i="26"/>
  <c r="I18" i="26"/>
  <c r="I19" i="26"/>
  <c r="I20" i="26"/>
  <c r="I21" i="26"/>
  <c r="I22" i="26"/>
  <c r="I23" i="26"/>
  <c r="I24" i="26"/>
  <c r="I25" i="26"/>
  <c r="I26" i="26"/>
  <c r="I27" i="26"/>
  <c r="I28" i="26"/>
  <c r="I29" i="26"/>
  <c r="I30" i="26"/>
  <c r="I31" i="26"/>
  <c r="I32" i="26"/>
  <c r="I33" i="26"/>
  <c r="I34" i="26"/>
  <c r="I35" i="26"/>
  <c r="I36" i="26"/>
  <c r="I37" i="26"/>
  <c r="I38" i="26"/>
  <c r="I39" i="26"/>
  <c r="I40" i="26"/>
  <c r="I41" i="26"/>
  <c r="E26" i="53" l="1"/>
  <c r="E27" i="53" s="1"/>
  <c r="E28" i="53" s="1"/>
  <c r="E29" i="53" s="1"/>
  <c r="E30" i="53" s="1"/>
  <c r="E31" i="53" s="1"/>
  <c r="E32" i="53" s="1"/>
  <c r="E33" i="53" s="1"/>
  <c r="E34" i="53" s="1"/>
  <c r="E35" i="53" s="1"/>
  <c r="E36" i="53" s="1"/>
  <c r="E37" i="53" s="1"/>
  <c r="E38" i="53" s="1"/>
  <c r="E39" i="53" s="1"/>
  <c r="E40" i="53" s="1"/>
  <c r="E41" i="53" s="1"/>
  <c r="E42" i="53" s="1"/>
  <c r="E43" i="53" s="1"/>
  <c r="E44" i="53" s="1"/>
  <c r="E45" i="53" s="1"/>
  <c r="E46" i="53" s="1"/>
  <c r="E47" i="53" s="1"/>
  <c r="E48" i="53" s="1"/>
  <c r="E49" i="53" s="1"/>
  <c r="E50" i="53" s="1"/>
  <c r="E51" i="53" s="1"/>
  <c r="E52" i="53" s="1"/>
  <c r="E53" i="53" s="1"/>
  <c r="E54" i="53" s="1"/>
  <c r="D20" i="53"/>
  <c r="D21" i="53"/>
  <c r="E17" i="53"/>
  <c r="E18" i="53" s="1"/>
  <c r="E19" i="53" s="1"/>
  <c r="E20" i="53" l="1"/>
  <c r="E21" i="53" s="1"/>
  <c r="D12" i="25" l="1"/>
  <c r="D9" i="25" l="1"/>
  <c r="D10" i="25" s="1"/>
  <c r="E13" i="56" l="1"/>
  <c r="BF46" i="40"/>
  <c r="BH46" i="40"/>
  <c r="C19" i="40"/>
  <c r="C20" i="40"/>
  <c r="C21" i="40"/>
  <c r="C22" i="40"/>
  <c r="C23" i="40"/>
  <c r="C24" i="40"/>
  <c r="C25" i="40"/>
  <c r="C26" i="40"/>
  <c r="C27" i="40"/>
  <c r="C28" i="40"/>
  <c r="C29" i="40"/>
  <c r="C30" i="40"/>
  <c r="C31" i="40"/>
  <c r="C32" i="40"/>
  <c r="C33" i="40"/>
  <c r="C34" i="40"/>
  <c r="C35" i="40"/>
  <c r="C36" i="40"/>
  <c r="C37" i="40"/>
  <c r="C38" i="40"/>
  <c r="C39" i="40"/>
  <c r="C40" i="40"/>
  <c r="C41" i="40"/>
  <c r="C42" i="40"/>
  <c r="C43" i="40"/>
  <c r="C44" i="40"/>
  <c r="C45" i="40"/>
  <c r="C46" i="40"/>
  <c r="H102" i="24"/>
  <c r="H101" i="24"/>
  <c r="H100" i="24"/>
  <c r="H99" i="24"/>
  <c r="H97" i="24"/>
  <c r="H96" i="24"/>
  <c r="G102" i="24"/>
  <c r="G101" i="24"/>
  <c r="G100" i="24"/>
  <c r="G99" i="24"/>
  <c r="G98" i="24"/>
  <c r="G97" i="24"/>
  <c r="G77" i="24"/>
  <c r="G76" i="24"/>
  <c r="G75" i="24"/>
  <c r="G74" i="24"/>
  <c r="G73" i="24"/>
  <c r="G96" i="24"/>
  <c r="H98" i="24"/>
  <c r="H72" i="24"/>
  <c r="G72" i="24"/>
  <c r="H94" i="24"/>
  <c r="G94" i="24"/>
  <c r="H93" i="24"/>
  <c r="G93" i="24"/>
  <c r="H92" i="24"/>
  <c r="G92" i="24"/>
  <c r="H91" i="24"/>
  <c r="G91" i="24"/>
  <c r="H90" i="24"/>
  <c r="G90" i="24"/>
  <c r="H89" i="24"/>
  <c r="G89" i="24"/>
  <c r="H88" i="24"/>
  <c r="G88" i="24"/>
  <c r="H87" i="24"/>
  <c r="G87" i="24"/>
  <c r="H86" i="24"/>
  <c r="G86" i="24"/>
  <c r="H85" i="24"/>
  <c r="G85" i="24"/>
  <c r="H84" i="24"/>
  <c r="G84" i="24"/>
  <c r="H83" i="24"/>
  <c r="G83" i="24"/>
  <c r="H82" i="24"/>
  <c r="G82" i="24"/>
  <c r="H81" i="24"/>
  <c r="G81" i="24"/>
  <c r="H80" i="24"/>
  <c r="G80" i="24"/>
  <c r="H79" i="24"/>
  <c r="G79" i="24"/>
  <c r="H78" i="24"/>
  <c r="G78" i="24"/>
  <c r="H77" i="24"/>
  <c r="H76" i="24"/>
  <c r="H75" i="24"/>
  <c r="H74" i="24"/>
  <c r="H73" i="24"/>
  <c r="E60" i="24"/>
  <c r="E59" i="24"/>
  <c r="E50" i="24"/>
  <c r="E35" i="24"/>
  <c r="E131" i="24"/>
  <c r="F107" i="24"/>
  <c r="G59" i="24"/>
  <c r="H59" i="24" s="1"/>
  <c r="F131" i="24" s="1"/>
  <c r="G35" i="24"/>
  <c r="H35" i="24" s="1"/>
  <c r="I6" i="41"/>
  <c r="H5" i="41"/>
  <c r="M5" i="41"/>
  <c r="R5" i="41"/>
  <c r="R10" i="41"/>
  <c r="E5" i="41"/>
  <c r="Q10" i="41"/>
  <c r="E40" i="56" l="1"/>
  <c r="D40" i="56"/>
  <c r="D16" i="56"/>
  <c r="E16" i="56"/>
  <c r="D31" i="56"/>
  <c r="E31" i="56"/>
  <c r="D15" i="56"/>
  <c r="E15" i="56"/>
  <c r="D22" i="56"/>
  <c r="E22" i="56"/>
  <c r="D37" i="56"/>
  <c r="E37" i="56"/>
  <c r="E21" i="56"/>
  <c r="D21" i="56"/>
  <c r="D36" i="56"/>
  <c r="E36" i="56"/>
  <c r="E20" i="56"/>
  <c r="D20" i="56"/>
  <c r="D35" i="56"/>
  <c r="E35" i="56"/>
  <c r="D27" i="56"/>
  <c r="E27" i="56"/>
  <c r="D19" i="56"/>
  <c r="E19" i="56"/>
  <c r="E41" i="56"/>
  <c r="D41" i="56"/>
  <c r="E33" i="56"/>
  <c r="D33" i="56"/>
  <c r="D25" i="56"/>
  <c r="E25" i="56"/>
  <c r="D17" i="56"/>
  <c r="E17" i="56"/>
  <c r="D32" i="56"/>
  <c r="E32" i="56"/>
  <c r="D24" i="56"/>
  <c r="E24" i="56"/>
  <c r="E39" i="56"/>
  <c r="D39" i="56"/>
  <c r="D23" i="56"/>
  <c r="E23" i="56"/>
  <c r="E38" i="56"/>
  <c r="D38" i="56"/>
  <c r="D30" i="56"/>
  <c r="E30" i="56"/>
  <c r="D14" i="56"/>
  <c r="E14" i="56"/>
  <c r="D29" i="56"/>
  <c r="E29" i="56"/>
  <c r="D28" i="56"/>
  <c r="E28" i="56"/>
  <c r="D42" i="56"/>
  <c r="E42" i="56"/>
  <c r="D34" i="56"/>
  <c r="E34" i="56"/>
  <c r="D26" i="56"/>
  <c r="E26" i="56"/>
  <c r="E18" i="56"/>
  <c r="D18" i="56"/>
  <c r="E26" i="41"/>
  <c r="E21" i="41"/>
  <c r="E27" i="41"/>
  <c r="E35" i="41"/>
  <c r="E49" i="41"/>
  <c r="E25" i="41"/>
  <c r="E48" i="41"/>
  <c r="E40" i="41"/>
  <c r="E32" i="41"/>
  <c r="E24" i="41"/>
  <c r="R6" i="41"/>
  <c r="E33" i="41"/>
  <c r="N6" i="41"/>
  <c r="E47" i="41"/>
  <c r="E39" i="41"/>
  <c r="E31" i="41"/>
  <c r="E23" i="41"/>
  <c r="E43" i="41"/>
  <c r="E41" i="41"/>
  <c r="O6" i="41"/>
  <c r="E46" i="41"/>
  <c r="E38" i="41"/>
  <c r="E30" i="41"/>
  <c r="E22" i="41"/>
  <c r="P6" i="41"/>
  <c r="E45" i="41"/>
  <c r="E37" i="41"/>
  <c r="E29" i="41"/>
  <c r="Q6" i="41"/>
  <c r="E44" i="41"/>
  <c r="E36" i="41"/>
  <c r="E28" i="41"/>
  <c r="E50" i="41"/>
  <c r="E42" i="41"/>
  <c r="E34" i="41"/>
  <c r="E46" i="24"/>
  <c r="E38" i="24"/>
  <c r="E54" i="24"/>
  <c r="E58" i="24"/>
  <c r="E62" i="24" s="1"/>
  <c r="E57" i="24"/>
  <c r="E42" i="24"/>
  <c r="E66" i="24"/>
  <c r="E63" i="24"/>
  <c r="F35" i="24"/>
  <c r="F59" i="24"/>
  <c r="E39" i="24"/>
  <c r="E43" i="24"/>
  <c r="E47" i="24"/>
  <c r="E51" i="24"/>
  <c r="E55" i="24"/>
  <c r="E40" i="24"/>
  <c r="E44" i="24"/>
  <c r="E48" i="24"/>
  <c r="E52" i="24"/>
  <c r="E56" i="24"/>
  <c r="E64" i="24"/>
  <c r="E37" i="24"/>
  <c r="E41" i="24"/>
  <c r="E45" i="24"/>
  <c r="E49" i="24"/>
  <c r="E53" i="24"/>
  <c r="E61" i="24"/>
  <c r="H45" i="24"/>
  <c r="F117" i="24" s="1"/>
  <c r="H53" i="24"/>
  <c r="F125" i="24" s="1"/>
  <c r="H40" i="24"/>
  <c r="F112" i="24" s="1"/>
  <c r="H50" i="24"/>
  <c r="F122" i="24" s="1"/>
  <c r="H51" i="24"/>
  <c r="F123" i="24" s="1"/>
  <c r="H36" i="24"/>
  <c r="F108" i="24" s="1"/>
  <c r="H52" i="24"/>
  <c r="F124" i="24" s="1"/>
  <c r="H37" i="24"/>
  <c r="F109" i="24" s="1"/>
  <c r="H46" i="24"/>
  <c r="F118" i="24" s="1"/>
  <c r="H54" i="24"/>
  <c r="F126" i="24" s="1"/>
  <c r="H49" i="24"/>
  <c r="F121" i="24" s="1"/>
  <c r="H43" i="24"/>
  <c r="F115" i="24" s="1"/>
  <c r="H38" i="24"/>
  <c r="F110" i="24" s="1"/>
  <c r="H47" i="24"/>
  <c r="F119" i="24" s="1"/>
  <c r="H55" i="24"/>
  <c r="F127" i="24" s="1"/>
  <c r="H57" i="24"/>
  <c r="F129" i="24" s="1"/>
  <c r="H41" i="24"/>
  <c r="F113" i="24" s="1"/>
  <c r="H39" i="24"/>
  <c r="F111" i="24" s="1"/>
  <c r="H48" i="24"/>
  <c r="F120" i="24" s="1"/>
  <c r="H56" i="24"/>
  <c r="F128" i="24" s="1"/>
  <c r="H58" i="24"/>
  <c r="H60" i="24" s="1"/>
  <c r="F132" i="24" s="1"/>
  <c r="H44" i="24"/>
  <c r="F116" i="24" s="1"/>
  <c r="G58" i="24"/>
  <c r="E130" i="24" s="1"/>
  <c r="G43" i="24"/>
  <c r="E115" i="24" s="1"/>
  <c r="G50" i="24"/>
  <c r="E122" i="24" s="1"/>
  <c r="G57" i="24"/>
  <c r="E129" i="24" s="1"/>
  <c r="G56" i="24"/>
  <c r="E128" i="24" s="1"/>
  <c r="G48" i="24"/>
  <c r="E120" i="24" s="1"/>
  <c r="G40" i="24"/>
  <c r="E112" i="24" s="1"/>
  <c r="G49" i="24"/>
  <c r="E121" i="24" s="1"/>
  <c r="G55" i="24"/>
  <c r="E127" i="24" s="1"/>
  <c r="G47" i="24"/>
  <c r="E119" i="24" s="1"/>
  <c r="G39" i="24"/>
  <c r="G51" i="24"/>
  <c r="E123" i="24" s="1"/>
  <c r="G54" i="24"/>
  <c r="E126" i="24" s="1"/>
  <c r="G46" i="24"/>
  <c r="E118" i="24" s="1"/>
  <c r="G38" i="24"/>
  <c r="G52" i="24"/>
  <c r="E124" i="24" s="1"/>
  <c r="G44" i="24"/>
  <c r="E116" i="24" s="1"/>
  <c r="H42" i="24"/>
  <c r="F114" i="24" s="1"/>
  <c r="G36" i="24"/>
  <c r="G42" i="24"/>
  <c r="E114" i="24" s="1"/>
  <c r="G41" i="24"/>
  <c r="E113" i="24" s="1"/>
  <c r="G53" i="24"/>
  <c r="E125" i="24" s="1"/>
  <c r="G45" i="24"/>
  <c r="E117" i="24" s="1"/>
  <c r="G37" i="24"/>
  <c r="H65" i="24"/>
  <c r="F137" i="24" s="1"/>
  <c r="E43" i="56" l="1"/>
  <c r="D43" i="56"/>
  <c r="E65" i="24"/>
  <c r="F57" i="24"/>
  <c r="F53" i="24"/>
  <c r="F49" i="24"/>
  <c r="F45" i="24"/>
  <c r="F41" i="24"/>
  <c r="F37" i="24"/>
  <c r="F56" i="24"/>
  <c r="F52" i="24"/>
  <c r="F48" i="24"/>
  <c r="F44" i="24"/>
  <c r="F40" i="24"/>
  <c r="F36" i="24"/>
  <c r="F46" i="24"/>
  <c r="F58" i="24"/>
  <c r="F65" i="24" s="1"/>
  <c r="F50" i="24"/>
  <c r="F38" i="24"/>
  <c r="F55" i="24"/>
  <c r="F51" i="24"/>
  <c r="F47" i="24"/>
  <c r="F43" i="24"/>
  <c r="F39" i="24"/>
  <c r="F54" i="24"/>
  <c r="F42" i="24"/>
  <c r="H61" i="24"/>
  <c r="F133" i="24" s="1"/>
  <c r="F130" i="24"/>
  <c r="H66" i="24"/>
  <c r="F138" i="24" s="1"/>
  <c r="H62" i="24"/>
  <c r="F134" i="24" s="1"/>
  <c r="G61" i="24"/>
  <c r="E133" i="24" s="1"/>
  <c r="G65" i="24"/>
  <c r="E137" i="24" s="1"/>
  <c r="G60" i="24"/>
  <c r="E132" i="24" s="1"/>
  <c r="G62" i="24"/>
  <c r="E134" i="24" s="1"/>
  <c r="G63" i="24"/>
  <c r="E135" i="24" s="1"/>
  <c r="G64" i="24"/>
  <c r="E136" i="24" s="1"/>
  <c r="G66" i="24"/>
  <c r="E138" i="24" s="1"/>
  <c r="H63" i="24"/>
  <c r="F135" i="24" s="1"/>
  <c r="H64" i="24"/>
  <c r="F136" i="24" s="1"/>
  <c r="F60" i="24" l="1"/>
  <c r="F63" i="24"/>
  <c r="F66" i="24"/>
  <c r="F62" i="24"/>
  <c r="F64" i="24"/>
  <c r="F61" i="24"/>
  <c r="F20" i="41"/>
  <c r="C14" i="56" l="1"/>
  <c r="C15" i="56" s="1"/>
  <c r="C16" i="56" s="1"/>
  <c r="C17" i="56" s="1"/>
  <c r="C18" i="56" s="1"/>
  <c r="C19" i="56" s="1"/>
  <c r="C20" i="56" s="1"/>
  <c r="C21" i="56" s="1"/>
  <c r="C22" i="56" s="1"/>
  <c r="C23" i="56" s="1"/>
  <c r="C24" i="56" s="1"/>
  <c r="C25" i="56" s="1"/>
  <c r="C26" i="56" s="1"/>
  <c r="C27" i="56" s="1"/>
  <c r="C28" i="56" s="1"/>
  <c r="C29" i="56" s="1"/>
  <c r="C30" i="56" s="1"/>
  <c r="C31" i="56" s="1"/>
  <c r="C32" i="56" s="1"/>
  <c r="C33" i="56" s="1"/>
  <c r="C34" i="56" s="1"/>
  <c r="C35" i="56" s="1"/>
  <c r="C36" i="56" s="1"/>
  <c r="C37" i="56" s="1"/>
  <c r="C38" i="56" s="1"/>
  <c r="C39" i="56" s="1"/>
  <c r="C40" i="56" s="1"/>
  <c r="C41" i="56" s="1"/>
  <c r="C42" i="56" s="1"/>
  <c r="B13" i="56"/>
  <c r="B14" i="56" s="1"/>
  <c r="B15" i="56" s="1"/>
  <c r="B16" i="56" s="1"/>
  <c r="B17" i="56" s="1"/>
  <c r="B18" i="56" s="1"/>
  <c r="B19" i="56" s="1"/>
  <c r="B20" i="56" s="1"/>
  <c r="B21" i="56" s="1"/>
  <c r="B22" i="56" s="1"/>
  <c r="B23" i="56" s="1"/>
  <c r="B24" i="56" s="1"/>
  <c r="B25" i="56" s="1"/>
  <c r="B26" i="56" s="1"/>
  <c r="B27" i="56" s="1"/>
  <c r="B28" i="56" s="1"/>
  <c r="B29" i="56" s="1"/>
  <c r="B30" i="56" s="1"/>
  <c r="B31" i="56" s="1"/>
  <c r="B32" i="56" s="1"/>
  <c r="B33" i="56" s="1"/>
  <c r="B34" i="56" s="1"/>
  <c r="B35" i="56" s="1"/>
  <c r="B36" i="56" s="1"/>
  <c r="B37" i="56" s="1"/>
  <c r="B38" i="56" s="1"/>
  <c r="B39" i="56" s="1"/>
  <c r="B40" i="56" s="1"/>
  <c r="B41" i="56" s="1"/>
  <c r="B42" i="56" s="1"/>
  <c r="M12" i="56"/>
  <c r="H4" i="56"/>
  <c r="A1" i="56" a="1"/>
  <c r="A1" i="56" s="1"/>
  <c r="B108" i="24"/>
  <c r="B109" i="24" l="1"/>
  <c r="B110" i="24" s="1"/>
  <c r="C108" i="24"/>
  <c r="C109" i="24" s="1"/>
  <c r="B111" i="24" l="1"/>
  <c r="C110" i="24"/>
  <c r="B112" i="24" l="1"/>
  <c r="C111" i="24"/>
  <c r="R19" i="53"/>
  <c r="T18" i="53"/>
  <c r="R9" i="53"/>
  <c r="A1" i="53" a="1"/>
  <c r="A1" i="53" s="1"/>
  <c r="C26" i="53"/>
  <c r="C27" i="53" s="1"/>
  <c r="C28" i="53" s="1"/>
  <c r="C29" i="53" s="1"/>
  <c r="C30" i="53" s="1"/>
  <c r="C31" i="53" s="1"/>
  <c r="C32" i="53" s="1"/>
  <c r="C33" i="53" s="1"/>
  <c r="C34" i="53" s="1"/>
  <c r="C35" i="53" s="1"/>
  <c r="C36" i="53" s="1"/>
  <c r="C37" i="53" s="1"/>
  <c r="C38" i="53" s="1"/>
  <c r="C39" i="53" s="1"/>
  <c r="C40" i="53" s="1"/>
  <c r="C41" i="53" s="1"/>
  <c r="C42" i="53" s="1"/>
  <c r="C43" i="53" s="1"/>
  <c r="C44" i="53" s="1"/>
  <c r="C45" i="53" s="1"/>
  <c r="C46" i="53" s="1"/>
  <c r="C47" i="53" s="1"/>
  <c r="C48" i="53" s="1"/>
  <c r="C49" i="53" s="1"/>
  <c r="C50" i="53" s="1"/>
  <c r="C51" i="53" s="1"/>
  <c r="C52" i="53" s="1"/>
  <c r="C53" i="53" s="1"/>
  <c r="C54" i="53" s="1"/>
  <c r="B25" i="53"/>
  <c r="L25" i="53" l="1"/>
  <c r="N25" i="53" s="1"/>
  <c r="F25" i="53"/>
  <c r="G25" i="53" s="1"/>
  <c r="C112" i="24"/>
  <c r="B113" i="24"/>
  <c r="M25" i="53"/>
  <c r="O25" i="53" s="1"/>
  <c r="B26" i="53"/>
  <c r="H25" i="53" l="1"/>
  <c r="B114" i="24"/>
  <c r="C113" i="24"/>
  <c r="F26" i="53"/>
  <c r="H26" i="53" s="1"/>
  <c r="F27" i="53"/>
  <c r="J26" i="53"/>
  <c r="L26" i="53" s="1"/>
  <c r="N26" i="53" s="1"/>
  <c r="K26" i="53"/>
  <c r="M26" i="53" s="1"/>
  <c r="O26" i="53" s="1"/>
  <c r="B27" i="53"/>
  <c r="C114" i="24" l="1"/>
  <c r="B115" i="24"/>
  <c r="G26" i="53"/>
  <c r="F28" i="53"/>
  <c r="J27" i="53"/>
  <c r="L27" i="53" s="1"/>
  <c r="N27" i="53" s="1"/>
  <c r="K27" i="53"/>
  <c r="M27" i="53" s="1"/>
  <c r="O27" i="53" s="1"/>
  <c r="G27" i="53"/>
  <c r="H27" i="53"/>
  <c r="B28" i="53"/>
  <c r="B116" i="24" l="1"/>
  <c r="C115" i="24"/>
  <c r="F29" i="53"/>
  <c r="J28" i="53"/>
  <c r="L28" i="53" s="1"/>
  <c r="N28" i="53" s="1"/>
  <c r="K28" i="53"/>
  <c r="M28" i="53" s="1"/>
  <c r="O28" i="53" s="1"/>
  <c r="G28" i="53"/>
  <c r="H28" i="53"/>
  <c r="B29" i="53"/>
  <c r="B117" i="24" l="1"/>
  <c r="C116" i="24"/>
  <c r="G29" i="53"/>
  <c r="H29" i="53"/>
  <c r="J29" i="53"/>
  <c r="L29" i="53" s="1"/>
  <c r="N29" i="53" s="1"/>
  <c r="K29" i="53"/>
  <c r="M29" i="53" s="1"/>
  <c r="O29" i="53" s="1"/>
  <c r="B30" i="53"/>
  <c r="C117" i="24" l="1"/>
  <c r="B118" i="24"/>
  <c r="J30" i="53"/>
  <c r="L30" i="53" s="1"/>
  <c r="N30" i="53" s="1"/>
  <c r="K30" i="53"/>
  <c r="M30" i="53" s="1"/>
  <c r="O30" i="53" s="1"/>
  <c r="F30" i="53"/>
  <c r="B31" i="53"/>
  <c r="C118" i="24" l="1"/>
  <c r="B119" i="24"/>
  <c r="G30" i="53"/>
  <c r="H30" i="53"/>
  <c r="J31" i="53"/>
  <c r="L31" i="53" s="1"/>
  <c r="N31" i="53" s="1"/>
  <c r="K31" i="53"/>
  <c r="M31" i="53" s="1"/>
  <c r="O31" i="53" s="1"/>
  <c r="F31" i="53"/>
  <c r="B32" i="53"/>
  <c r="C119" i="24" l="1"/>
  <c r="B120" i="24"/>
  <c r="F32" i="53"/>
  <c r="H32" i="53" s="1"/>
  <c r="H31" i="53"/>
  <c r="G31" i="53"/>
  <c r="G32" i="53"/>
  <c r="J32" i="53"/>
  <c r="L32" i="53" s="1"/>
  <c r="N32" i="53" s="1"/>
  <c r="K32" i="53"/>
  <c r="M32" i="53" s="1"/>
  <c r="O32" i="53" s="1"/>
  <c r="B33" i="53"/>
  <c r="C120" i="24" l="1"/>
  <c r="B121" i="24"/>
  <c r="F33" i="53"/>
  <c r="G33" i="53" s="1"/>
  <c r="J33" i="53"/>
  <c r="L33" i="53" s="1"/>
  <c r="N33" i="53" s="1"/>
  <c r="K33" i="53"/>
  <c r="M33" i="53" s="1"/>
  <c r="O33" i="53" s="1"/>
  <c r="B34" i="53"/>
  <c r="H33" i="53" l="1"/>
  <c r="B122" i="24"/>
  <c r="C121" i="24"/>
  <c r="F35" i="53"/>
  <c r="J34" i="53"/>
  <c r="L34" i="53" s="1"/>
  <c r="N34" i="53" s="1"/>
  <c r="K34" i="53"/>
  <c r="M34" i="53" s="1"/>
  <c r="O34" i="53" s="1"/>
  <c r="F34" i="53"/>
  <c r="B35" i="53"/>
  <c r="B123" i="24" l="1"/>
  <c r="C122" i="24"/>
  <c r="G35" i="53"/>
  <c r="H35" i="53"/>
  <c r="H34" i="53"/>
  <c r="G34" i="53"/>
  <c r="J35" i="53"/>
  <c r="L35" i="53" s="1"/>
  <c r="N35" i="53" s="1"/>
  <c r="K35" i="53"/>
  <c r="M35" i="53" s="1"/>
  <c r="O35" i="53" s="1"/>
  <c r="B36" i="53"/>
  <c r="B124" i="24" l="1"/>
  <c r="C123" i="24"/>
  <c r="F37" i="53"/>
  <c r="J36" i="53"/>
  <c r="L36" i="53" s="1"/>
  <c r="N36" i="53" s="1"/>
  <c r="K36" i="53"/>
  <c r="M36" i="53" s="1"/>
  <c r="O36" i="53" s="1"/>
  <c r="F36" i="53"/>
  <c r="B37" i="53"/>
  <c r="B125" i="24" l="1"/>
  <c r="C124" i="24"/>
  <c r="G36" i="53"/>
  <c r="H36" i="53"/>
  <c r="G37" i="53"/>
  <c r="H37" i="53"/>
  <c r="J37" i="53"/>
  <c r="L37" i="53" s="1"/>
  <c r="N37" i="53" s="1"/>
  <c r="K37" i="53"/>
  <c r="M37" i="53" s="1"/>
  <c r="O37" i="53" s="1"/>
  <c r="B38" i="53"/>
  <c r="C125" i="24" l="1"/>
  <c r="B126" i="24"/>
  <c r="J38" i="53"/>
  <c r="L38" i="53" s="1"/>
  <c r="N38" i="53" s="1"/>
  <c r="K38" i="53"/>
  <c r="M38" i="53" s="1"/>
  <c r="O38" i="53" s="1"/>
  <c r="F38" i="53"/>
  <c r="B39" i="53"/>
  <c r="C126" i="24" l="1"/>
  <c r="B127" i="24"/>
  <c r="F39" i="53"/>
  <c r="H39" i="53" s="1"/>
  <c r="H38" i="53"/>
  <c r="G38" i="53"/>
  <c r="J39" i="53"/>
  <c r="L39" i="53" s="1"/>
  <c r="N39" i="53" s="1"/>
  <c r="K39" i="53"/>
  <c r="M39" i="53" s="1"/>
  <c r="O39" i="53" s="1"/>
  <c r="B40" i="53"/>
  <c r="G39" i="53" l="1"/>
  <c r="C127" i="24"/>
  <c r="B128" i="24"/>
  <c r="J40" i="53"/>
  <c r="L40" i="53" s="1"/>
  <c r="N40" i="53" s="1"/>
  <c r="K40" i="53"/>
  <c r="M40" i="53" s="1"/>
  <c r="O40" i="53" s="1"/>
  <c r="F40" i="53"/>
  <c r="B41" i="53"/>
  <c r="C128" i="24" l="1"/>
  <c r="B129" i="24"/>
  <c r="G40" i="53"/>
  <c r="H40" i="53"/>
  <c r="F42" i="53"/>
  <c r="J41" i="53"/>
  <c r="L41" i="53" s="1"/>
  <c r="N41" i="53" s="1"/>
  <c r="K41" i="53"/>
  <c r="M41" i="53" s="1"/>
  <c r="O41" i="53" s="1"/>
  <c r="F41" i="53"/>
  <c r="B42" i="53"/>
  <c r="B130" i="24" l="1"/>
  <c r="C129" i="24"/>
  <c r="G42" i="53"/>
  <c r="H42" i="53"/>
  <c r="G41" i="53"/>
  <c r="H41" i="53"/>
  <c r="J42" i="53"/>
  <c r="L42" i="53" s="1"/>
  <c r="N42" i="53" s="1"/>
  <c r="K42" i="53"/>
  <c r="M42" i="53" s="1"/>
  <c r="O42" i="53" s="1"/>
  <c r="B43" i="53"/>
  <c r="B131" i="24" l="1"/>
  <c r="C130" i="24"/>
  <c r="J43" i="53"/>
  <c r="L43" i="53" s="1"/>
  <c r="N43" i="53" s="1"/>
  <c r="K43" i="53"/>
  <c r="M43" i="53" s="1"/>
  <c r="O43" i="53" s="1"/>
  <c r="F43" i="53"/>
  <c r="F44" i="53"/>
  <c r="B44" i="53"/>
  <c r="B132" i="24" l="1"/>
  <c r="C131" i="24"/>
  <c r="G44" i="53"/>
  <c r="H44" i="53"/>
  <c r="G43" i="53"/>
  <c r="H43" i="53"/>
  <c r="J44" i="53"/>
  <c r="L44" i="53" s="1"/>
  <c r="N44" i="53" s="1"/>
  <c r="K44" i="53"/>
  <c r="M44" i="53" s="1"/>
  <c r="O44" i="53" s="1"/>
  <c r="B45" i="53"/>
  <c r="B133" i="24" l="1"/>
  <c r="C132" i="24"/>
  <c r="J45" i="53"/>
  <c r="L45" i="53" s="1"/>
  <c r="N45" i="53" s="1"/>
  <c r="K45" i="53"/>
  <c r="M45" i="53" s="1"/>
  <c r="O45" i="53" s="1"/>
  <c r="F45" i="53"/>
  <c r="F46" i="53"/>
  <c r="B46" i="53"/>
  <c r="C133" i="24" l="1"/>
  <c r="B134" i="24"/>
  <c r="H46" i="53"/>
  <c r="G46" i="53"/>
  <c r="G45" i="53"/>
  <c r="H45" i="53"/>
  <c r="F47" i="53"/>
  <c r="J46" i="53"/>
  <c r="L46" i="53" s="1"/>
  <c r="N46" i="53" s="1"/>
  <c r="K46" i="53"/>
  <c r="M46" i="53" s="1"/>
  <c r="O46" i="53" s="1"/>
  <c r="B47" i="53"/>
  <c r="C134" i="24" l="1"/>
  <c r="B135" i="24"/>
  <c r="H47" i="53"/>
  <c r="G47" i="53"/>
  <c r="J47" i="53"/>
  <c r="L47" i="53" s="1"/>
  <c r="N47" i="53" s="1"/>
  <c r="K47" i="53"/>
  <c r="M47" i="53" s="1"/>
  <c r="O47" i="53" s="1"/>
  <c r="B48" i="53"/>
  <c r="C135" i="24" l="1"/>
  <c r="B136" i="24"/>
  <c r="F48" i="53"/>
  <c r="H48" i="53" s="1"/>
  <c r="J48" i="53"/>
  <c r="L48" i="53" s="1"/>
  <c r="N48" i="53" s="1"/>
  <c r="K48" i="53"/>
  <c r="M48" i="53" s="1"/>
  <c r="O48" i="53" s="1"/>
  <c r="G48" i="53"/>
  <c r="B49" i="53"/>
  <c r="C136" i="24" l="1"/>
  <c r="B137" i="24"/>
  <c r="F49" i="53"/>
  <c r="G49" i="53" s="1"/>
  <c r="J49" i="53"/>
  <c r="L49" i="53" s="1"/>
  <c r="N49" i="53" s="1"/>
  <c r="K49" i="53"/>
  <c r="M49" i="53" s="1"/>
  <c r="O49" i="53" s="1"/>
  <c r="B50" i="53"/>
  <c r="H49" i="53" l="1"/>
  <c r="B138" i="24"/>
  <c r="C137" i="24"/>
  <c r="F50" i="53"/>
  <c r="H50" i="53" s="1"/>
  <c r="G50" i="53"/>
  <c r="J50" i="53"/>
  <c r="L50" i="53" s="1"/>
  <c r="N50" i="53" s="1"/>
  <c r="K50" i="53"/>
  <c r="M50" i="53" s="1"/>
  <c r="O50" i="53" s="1"/>
  <c r="B51" i="53"/>
  <c r="C138" i="24" l="1"/>
  <c r="F51" i="53"/>
  <c r="G51" i="53" s="1"/>
  <c r="J51" i="53"/>
  <c r="L51" i="53" s="1"/>
  <c r="N51" i="53" s="1"/>
  <c r="K51" i="53"/>
  <c r="M51" i="53" s="1"/>
  <c r="O51" i="53" s="1"/>
  <c r="B52" i="53"/>
  <c r="H51" i="53" l="1"/>
  <c r="F52" i="53"/>
  <c r="J52" i="53"/>
  <c r="L52" i="53" s="1"/>
  <c r="N52" i="53" s="1"/>
  <c r="K52" i="53"/>
  <c r="M52" i="53" s="1"/>
  <c r="O52" i="53" s="1"/>
  <c r="G52" i="53"/>
  <c r="H52" i="53"/>
  <c r="B53" i="53"/>
  <c r="F53" i="53" l="1"/>
  <c r="G53" i="53" s="1"/>
  <c r="H53" i="53"/>
  <c r="J53" i="53"/>
  <c r="L53" i="53" s="1"/>
  <c r="N53" i="53" s="1"/>
  <c r="K53" i="53"/>
  <c r="M53" i="53" s="1"/>
  <c r="O53" i="53" s="1"/>
  <c r="B54" i="53"/>
  <c r="F54" i="53" l="1"/>
  <c r="H54" i="53" s="1"/>
  <c r="H55" i="53" s="1"/>
  <c r="F55" i="53"/>
  <c r="J54" i="53"/>
  <c r="L54" i="53" s="1"/>
  <c r="N54" i="53" s="1"/>
  <c r="N55" i="53" s="1"/>
  <c r="K54" i="53"/>
  <c r="M54" i="53" s="1"/>
  <c r="O54" i="53" s="1"/>
  <c r="O55" i="53" s="1"/>
  <c r="G54" i="53" l="1"/>
  <c r="G55" i="53" s="1"/>
  <c r="C8" i="40" l="1"/>
  <c r="B8" i="40"/>
  <c r="A1" i="40" l="1" a="1"/>
  <c r="A1" i="40" s="1"/>
  <c r="A17" i="40"/>
  <c r="BH45" i="40"/>
  <c r="BH44" i="40"/>
  <c r="BH43" i="40"/>
  <c r="BH42" i="40"/>
  <c r="BH41" i="40"/>
  <c r="BH40" i="40"/>
  <c r="BH39" i="40"/>
  <c r="BH38" i="40"/>
  <c r="BH37" i="40"/>
  <c r="BH36" i="40"/>
  <c r="BH35" i="40"/>
  <c r="BH34" i="40"/>
  <c r="BH33" i="40"/>
  <c r="BH32" i="40"/>
  <c r="BH31" i="40"/>
  <c r="BH30" i="40"/>
  <c r="BH29" i="40"/>
  <c r="BH28" i="40"/>
  <c r="BH27" i="40"/>
  <c r="BH26" i="40"/>
  <c r="BH25" i="40"/>
  <c r="BH24" i="40"/>
  <c r="BH23" i="40"/>
  <c r="BH22" i="40"/>
  <c r="BH21" i="40"/>
  <c r="BH20" i="40"/>
  <c r="BH19" i="40"/>
  <c r="BH18" i="40"/>
  <c r="BF18" i="40"/>
  <c r="BH17" i="40"/>
  <c r="B18" i="40"/>
  <c r="B19" i="40" s="1"/>
  <c r="B20" i="40" s="1"/>
  <c r="B21" i="40" s="1"/>
  <c r="B22" i="40" s="1"/>
  <c r="B23" i="40" s="1"/>
  <c r="B24" i="40" s="1"/>
  <c r="B25" i="40" s="1"/>
  <c r="B26" i="40" s="1"/>
  <c r="B27" i="40" s="1"/>
  <c r="B28" i="40" s="1"/>
  <c r="B29" i="40" s="1"/>
  <c r="B30" i="40" s="1"/>
  <c r="B31" i="40" s="1"/>
  <c r="B32" i="40" s="1"/>
  <c r="B33" i="40" s="1"/>
  <c r="B34" i="40" s="1"/>
  <c r="B35" i="40" s="1"/>
  <c r="B36" i="40" s="1"/>
  <c r="B37" i="40" s="1"/>
  <c r="B38" i="40" s="1"/>
  <c r="B39" i="40" s="1"/>
  <c r="B40" i="40" s="1"/>
  <c r="B41" i="40" s="1"/>
  <c r="B42" i="40" s="1"/>
  <c r="B43" i="40" s="1"/>
  <c r="B44" i="40" s="1"/>
  <c r="B45" i="40" s="1"/>
  <c r="B46" i="40" s="1"/>
  <c r="BF19" i="40" l="1"/>
  <c r="AP17" i="40"/>
  <c r="AO17" i="40"/>
  <c r="K17" i="40"/>
  <c r="AT17" i="40"/>
  <c r="L17" i="40"/>
  <c r="AS17" i="40"/>
  <c r="M17" i="40"/>
  <c r="AQ17" i="40"/>
  <c r="AR17" i="40"/>
  <c r="I17" i="40"/>
  <c r="J17" i="40"/>
  <c r="F17" i="40"/>
  <c r="S17" i="40" s="1"/>
  <c r="E17" i="40"/>
  <c r="Y17" i="40" s="1"/>
  <c r="O17" i="40"/>
  <c r="N17" i="40"/>
  <c r="G17" i="40"/>
  <c r="T17" i="40" s="1"/>
  <c r="P17" i="40"/>
  <c r="H17" i="40"/>
  <c r="D17" i="40"/>
  <c r="A18" i="40"/>
  <c r="X17" i="40" l="1"/>
  <c r="AJ17" i="40" s="1"/>
  <c r="G13" i="56"/>
  <c r="F13" i="56"/>
  <c r="Z17" i="40"/>
  <c r="AL17" i="40" s="1"/>
  <c r="BF20" i="40"/>
  <c r="R17" i="40"/>
  <c r="AD17" i="40" s="1"/>
  <c r="Q17" i="40"/>
  <c r="AC17" i="40" s="1"/>
  <c r="AF17" i="40"/>
  <c r="AE17" i="40"/>
  <c r="AA17" i="40"/>
  <c r="AM17" i="40" s="1"/>
  <c r="W17" i="40"/>
  <c r="AI17" i="40" s="1"/>
  <c r="V17" i="40"/>
  <c r="AH17" i="40" s="1"/>
  <c r="AB17" i="40"/>
  <c r="AN17" i="40" s="1"/>
  <c r="N18" i="40"/>
  <c r="O18" i="40"/>
  <c r="E18" i="40"/>
  <c r="Y18" i="40" s="1"/>
  <c r="P18" i="40"/>
  <c r="F18" i="40"/>
  <c r="S18" i="40" s="1"/>
  <c r="G18" i="40"/>
  <c r="AA18" i="40" s="1"/>
  <c r="H18" i="40"/>
  <c r="AB18" i="40" s="1"/>
  <c r="L18" i="40"/>
  <c r="I18" i="40"/>
  <c r="V18" i="40" s="1"/>
  <c r="U18" i="40"/>
  <c r="K18" i="40"/>
  <c r="J18" i="40"/>
  <c r="D18" i="40"/>
  <c r="M18" i="40"/>
  <c r="AK17" i="40"/>
  <c r="U17" i="40"/>
  <c r="AG17" i="40" s="1"/>
  <c r="AP18" i="40"/>
  <c r="AQ18" i="40"/>
  <c r="AR18" i="40"/>
  <c r="AT18" i="40"/>
  <c r="AS18" i="40"/>
  <c r="AO18" i="40"/>
  <c r="A19" i="40"/>
  <c r="Q18" i="40" l="1"/>
  <c r="G14" i="56"/>
  <c r="I14" i="56" s="1"/>
  <c r="F14" i="56"/>
  <c r="H14" i="56" s="1"/>
  <c r="J14" i="56" s="1"/>
  <c r="H13" i="56"/>
  <c r="I13" i="56"/>
  <c r="Z18" i="40"/>
  <c r="BF21" i="40"/>
  <c r="AV17" i="40"/>
  <c r="AU17" i="40"/>
  <c r="P19" i="40"/>
  <c r="F19" i="40"/>
  <c r="Z19" i="40" s="1"/>
  <c r="G19" i="40"/>
  <c r="AA19" i="40" s="1"/>
  <c r="H19" i="40"/>
  <c r="AB19" i="40" s="1"/>
  <c r="K19" i="40"/>
  <c r="I19" i="40"/>
  <c r="V19" i="40" s="1"/>
  <c r="L19" i="40"/>
  <c r="J19" i="40"/>
  <c r="N19" i="40"/>
  <c r="E19" i="40"/>
  <c r="R19" i="40" s="1"/>
  <c r="M19" i="40"/>
  <c r="O19" i="40"/>
  <c r="D19" i="40"/>
  <c r="R18" i="40"/>
  <c r="W18" i="40"/>
  <c r="X18" i="40"/>
  <c r="T18" i="40"/>
  <c r="AO19" i="40"/>
  <c r="AR19" i="40"/>
  <c r="AS19" i="40"/>
  <c r="AT19" i="40"/>
  <c r="AP19" i="40"/>
  <c r="AQ19" i="40"/>
  <c r="A20" i="40"/>
  <c r="K14" i="56" l="1"/>
  <c r="L14" i="56"/>
  <c r="Q19" i="40"/>
  <c r="G15" i="56"/>
  <c r="F15" i="56"/>
  <c r="AW17" i="40"/>
  <c r="O12" i="35"/>
  <c r="AX17" i="40"/>
  <c r="AZ17" i="40" s="1"/>
  <c r="P12" i="35"/>
  <c r="J13" i="56"/>
  <c r="K13" i="56" s="1"/>
  <c r="L13" i="56" s="1"/>
  <c r="S19" i="40"/>
  <c r="BF22" i="40"/>
  <c r="W19" i="40"/>
  <c r="X19" i="40"/>
  <c r="U19" i="40"/>
  <c r="Y19" i="40"/>
  <c r="H20" i="40"/>
  <c r="U20" i="40" s="1"/>
  <c r="K20" i="40"/>
  <c r="I20" i="40"/>
  <c r="V20" i="40" s="1"/>
  <c r="L20" i="40"/>
  <c r="J20" i="40"/>
  <c r="M20" i="40"/>
  <c r="N20" i="40"/>
  <c r="P20" i="40"/>
  <c r="E20" i="40"/>
  <c r="R20" i="40" s="1"/>
  <c r="F20" i="40"/>
  <c r="S20" i="40" s="1"/>
  <c r="D20" i="40"/>
  <c r="O20" i="40"/>
  <c r="G20" i="40"/>
  <c r="T20" i="40" s="1"/>
  <c r="T19" i="40"/>
  <c r="AQ20" i="40"/>
  <c r="AT20" i="40"/>
  <c r="AP20" i="40"/>
  <c r="AR20" i="40"/>
  <c r="AS20" i="40"/>
  <c r="AO20" i="40"/>
  <c r="A21" i="40"/>
  <c r="H15" i="56" l="1"/>
  <c r="I15" i="56"/>
  <c r="X20" i="40"/>
  <c r="G16" i="56"/>
  <c r="I16" i="56" s="1"/>
  <c r="F16" i="56"/>
  <c r="N13" i="35"/>
  <c r="M14" i="56"/>
  <c r="N12" i="35"/>
  <c r="M13" i="56"/>
  <c r="AB20" i="40"/>
  <c r="AA20" i="40"/>
  <c r="BF23" i="40"/>
  <c r="L21" i="40"/>
  <c r="J21" i="40"/>
  <c r="M21" i="40"/>
  <c r="N21" i="40"/>
  <c r="O21" i="40"/>
  <c r="E21" i="40"/>
  <c r="R21" i="40" s="1"/>
  <c r="P21" i="40"/>
  <c r="F21" i="40"/>
  <c r="Z21" i="40" s="1"/>
  <c r="I21" i="40"/>
  <c r="V21" i="40" s="1"/>
  <c r="K21" i="40"/>
  <c r="H21" i="40"/>
  <c r="U21" i="40" s="1"/>
  <c r="G21" i="40"/>
  <c r="AA21" i="40" s="1"/>
  <c r="Y20" i="40"/>
  <c r="W20" i="40"/>
  <c r="Q20" i="40"/>
  <c r="Z20" i="40"/>
  <c r="AS21" i="40"/>
  <c r="AO21" i="40"/>
  <c r="AP21" i="40"/>
  <c r="AR21" i="40"/>
  <c r="AT21" i="40"/>
  <c r="AQ21" i="40"/>
  <c r="A22" i="40"/>
  <c r="H16" i="56" l="1"/>
  <c r="J16" i="56" s="1"/>
  <c r="K16" i="56" s="1"/>
  <c r="L16" i="56" s="1"/>
  <c r="J15" i="56"/>
  <c r="S21" i="40"/>
  <c r="BF24" i="40"/>
  <c r="AB21" i="40"/>
  <c r="T21" i="40"/>
  <c r="Y21" i="40"/>
  <c r="N22" i="40"/>
  <c r="O22" i="40"/>
  <c r="E22" i="40"/>
  <c r="R22" i="40" s="1"/>
  <c r="P22" i="40"/>
  <c r="F22" i="40"/>
  <c r="Z22" i="40" s="1"/>
  <c r="G22" i="40"/>
  <c r="AA22" i="40" s="1"/>
  <c r="H22" i="40"/>
  <c r="AB22" i="40" s="1"/>
  <c r="L22" i="40"/>
  <c r="M22" i="40"/>
  <c r="I22" i="40"/>
  <c r="V22" i="40" s="1"/>
  <c r="J22" i="40"/>
  <c r="K22" i="40"/>
  <c r="AP22" i="40"/>
  <c r="AQ22" i="40"/>
  <c r="AR22" i="40"/>
  <c r="AT22" i="40"/>
  <c r="AO22" i="40"/>
  <c r="AS22" i="40"/>
  <c r="A23" i="40"/>
  <c r="U22" i="40" l="1"/>
  <c r="K15" i="56"/>
  <c r="L15" i="56" s="1"/>
  <c r="Y22" i="40"/>
  <c r="T22" i="40"/>
  <c r="BF25" i="40"/>
  <c r="P23" i="40"/>
  <c r="F23" i="40"/>
  <c r="Z23" i="40" s="1"/>
  <c r="G23" i="40"/>
  <c r="AA23" i="40" s="1"/>
  <c r="H23" i="40"/>
  <c r="AB23" i="40" s="1"/>
  <c r="K23" i="40"/>
  <c r="I23" i="40"/>
  <c r="V23" i="40" s="1"/>
  <c r="L23" i="40"/>
  <c r="J23" i="40"/>
  <c r="N23" i="40"/>
  <c r="M23" i="40"/>
  <c r="O23" i="40"/>
  <c r="E23" i="40"/>
  <c r="R23" i="40" s="1"/>
  <c r="S22" i="40"/>
  <c r="AO23" i="40"/>
  <c r="AR23" i="40"/>
  <c r="AS23" i="40"/>
  <c r="AT23" i="40"/>
  <c r="AP23" i="40"/>
  <c r="AQ23" i="40"/>
  <c r="A24" i="40"/>
  <c r="N14" i="35" l="1"/>
  <c r="M15" i="56"/>
  <c r="S23" i="40"/>
  <c r="BF26" i="40"/>
  <c r="H24" i="40"/>
  <c r="U24" i="40" s="1"/>
  <c r="K24" i="40"/>
  <c r="I24" i="40"/>
  <c r="V24" i="40" s="1"/>
  <c r="L24" i="40"/>
  <c r="J24" i="40"/>
  <c r="M24" i="40"/>
  <c r="N24" i="40"/>
  <c r="P24" i="40"/>
  <c r="G24" i="40"/>
  <c r="AA24" i="40" s="1"/>
  <c r="O24" i="40"/>
  <c r="E24" i="40"/>
  <c r="R24" i="40" s="1"/>
  <c r="F24" i="40"/>
  <c r="S24" i="40" s="1"/>
  <c r="Y23" i="40"/>
  <c r="U23" i="40"/>
  <c r="T23" i="40"/>
  <c r="AQ24" i="40"/>
  <c r="AT24" i="40"/>
  <c r="AP24" i="40"/>
  <c r="AO24" i="40"/>
  <c r="AR24" i="40"/>
  <c r="AS24" i="40"/>
  <c r="A25" i="40"/>
  <c r="AB24" i="40" l="1"/>
  <c r="BF27" i="40"/>
  <c r="Z24" i="40"/>
  <c r="Y24" i="40"/>
  <c r="T24" i="40"/>
  <c r="L25" i="40"/>
  <c r="J25" i="40"/>
  <c r="M25" i="40"/>
  <c r="N25" i="40"/>
  <c r="O25" i="40"/>
  <c r="E25" i="40"/>
  <c r="Y25" i="40" s="1"/>
  <c r="P25" i="40"/>
  <c r="F25" i="40"/>
  <c r="S25" i="40" s="1"/>
  <c r="H25" i="40"/>
  <c r="AB25" i="40" s="1"/>
  <c r="I25" i="40"/>
  <c r="V25" i="40" s="1"/>
  <c r="K25" i="40"/>
  <c r="G25" i="40"/>
  <c r="AA25" i="40" s="1"/>
  <c r="AS25" i="40"/>
  <c r="AO25" i="40"/>
  <c r="AP25" i="40"/>
  <c r="AR25" i="40"/>
  <c r="AT25" i="40"/>
  <c r="AQ25" i="40"/>
  <c r="A26" i="40"/>
  <c r="BF28" i="40" l="1"/>
  <c r="Z25" i="40"/>
  <c r="T25" i="40"/>
  <c r="U25" i="40"/>
  <c r="R25" i="40"/>
  <c r="N26" i="40"/>
  <c r="O26" i="40"/>
  <c r="E26" i="40"/>
  <c r="Y26" i="40" s="1"/>
  <c r="P26" i="40"/>
  <c r="G26" i="40"/>
  <c r="AA26" i="40" s="1"/>
  <c r="H26" i="40"/>
  <c r="AB26" i="40" s="1"/>
  <c r="F26" i="40"/>
  <c r="Z26" i="40" s="1"/>
  <c r="I26" i="40"/>
  <c r="V26" i="40" s="1"/>
  <c r="J26" i="40"/>
  <c r="K26" i="40"/>
  <c r="L26" i="40"/>
  <c r="M26" i="40"/>
  <c r="AP26" i="40"/>
  <c r="AQ26" i="40"/>
  <c r="AR26" i="40"/>
  <c r="AT26" i="40"/>
  <c r="AO26" i="40"/>
  <c r="AS26" i="40"/>
  <c r="A27" i="40"/>
  <c r="U26" i="40" l="1"/>
  <c r="BF29" i="40"/>
  <c r="R26" i="40"/>
  <c r="P27" i="40"/>
  <c r="F27" i="40"/>
  <c r="S27" i="40" s="1"/>
  <c r="K27" i="40"/>
  <c r="L27" i="40"/>
  <c r="J27" i="40"/>
  <c r="M27" i="40"/>
  <c r="I27" i="40"/>
  <c r="V27" i="40" s="1"/>
  <c r="N27" i="40"/>
  <c r="E27" i="40"/>
  <c r="Y27" i="40" s="1"/>
  <c r="O27" i="40"/>
  <c r="G27" i="40"/>
  <c r="AA27" i="40" s="1"/>
  <c r="H27" i="40"/>
  <c r="U27" i="40" s="1"/>
  <c r="T26" i="40"/>
  <c r="S26" i="40"/>
  <c r="AO27" i="40"/>
  <c r="AR27" i="40"/>
  <c r="AS27" i="40"/>
  <c r="AT27" i="40"/>
  <c r="AQ27" i="40"/>
  <c r="AP27" i="40"/>
  <c r="A28" i="40"/>
  <c r="BF30" i="40" l="1"/>
  <c r="T27" i="40"/>
  <c r="Z27" i="40"/>
  <c r="R27" i="40"/>
  <c r="AB27" i="40"/>
  <c r="H28" i="40"/>
  <c r="U28" i="40" s="1"/>
  <c r="K28" i="40"/>
  <c r="L28" i="40"/>
  <c r="M28" i="40"/>
  <c r="N28" i="40"/>
  <c r="E28" i="40"/>
  <c r="R28" i="40" s="1"/>
  <c r="F28" i="40"/>
  <c r="S28" i="40" s="1"/>
  <c r="O28" i="40"/>
  <c r="G28" i="40"/>
  <c r="T28" i="40" s="1"/>
  <c r="P28" i="40"/>
  <c r="I28" i="40"/>
  <c r="V28" i="40" s="1"/>
  <c r="J28" i="40"/>
  <c r="AQ28" i="40"/>
  <c r="AT28" i="40"/>
  <c r="AP28" i="40"/>
  <c r="AO28" i="40"/>
  <c r="AR28" i="40"/>
  <c r="AS28" i="40"/>
  <c r="A29" i="40"/>
  <c r="AA28" i="40" l="1"/>
  <c r="BF31" i="40"/>
  <c r="Z28" i="40"/>
  <c r="Y28" i="40"/>
  <c r="AB28" i="40"/>
  <c r="L29" i="40"/>
  <c r="J29" i="40"/>
  <c r="M29" i="40"/>
  <c r="N29" i="40"/>
  <c r="O29" i="40"/>
  <c r="P29" i="40"/>
  <c r="F29" i="40"/>
  <c r="Z29" i="40" s="1"/>
  <c r="H29" i="40"/>
  <c r="AB29" i="40" s="1"/>
  <c r="I29" i="40"/>
  <c r="V29" i="40" s="1"/>
  <c r="K29" i="40"/>
  <c r="E29" i="40"/>
  <c r="Y29" i="40" s="1"/>
  <c r="G29" i="40"/>
  <c r="AA29" i="40" s="1"/>
  <c r="AS29" i="40"/>
  <c r="AO29" i="40"/>
  <c r="AP29" i="40"/>
  <c r="AR29" i="40"/>
  <c r="AQ29" i="40"/>
  <c r="AT29" i="40"/>
  <c r="A30" i="40"/>
  <c r="BF32" i="40" l="1"/>
  <c r="T29" i="40"/>
  <c r="S29" i="40"/>
  <c r="U29" i="40"/>
  <c r="R29" i="40"/>
  <c r="N30" i="40"/>
  <c r="O30" i="40"/>
  <c r="P30" i="40"/>
  <c r="H30" i="40"/>
  <c r="AB30" i="40" s="1"/>
  <c r="M30" i="40"/>
  <c r="K30" i="40"/>
  <c r="J30" i="40"/>
  <c r="E30" i="40"/>
  <c r="Y30" i="40" s="1"/>
  <c r="I30" i="40"/>
  <c r="V30" i="40" s="1"/>
  <c r="F30" i="40"/>
  <c r="Z30" i="40" s="1"/>
  <c r="G30" i="40"/>
  <c r="T30" i="40" s="1"/>
  <c r="L30" i="40"/>
  <c r="AP30" i="40"/>
  <c r="AQ30" i="40"/>
  <c r="AR30" i="40"/>
  <c r="AT30" i="40"/>
  <c r="AO30" i="40"/>
  <c r="AS30" i="40"/>
  <c r="A31" i="40"/>
  <c r="BF33" i="40" l="1"/>
  <c r="R30" i="40"/>
  <c r="P31" i="40"/>
  <c r="F31" i="40"/>
  <c r="Z31" i="40" s="1"/>
  <c r="K31" i="40"/>
  <c r="L31" i="40"/>
  <c r="J31" i="40"/>
  <c r="G31" i="40"/>
  <c r="AA31" i="40" s="1"/>
  <c r="M31" i="40"/>
  <c r="H31" i="40"/>
  <c r="AB31" i="40" s="1"/>
  <c r="N31" i="40"/>
  <c r="I31" i="40"/>
  <c r="V31" i="40" s="1"/>
  <c r="O31" i="40"/>
  <c r="E31" i="40"/>
  <c r="R31" i="40" s="1"/>
  <c r="AA30" i="40"/>
  <c r="U30" i="40"/>
  <c r="S30" i="40"/>
  <c r="AO31" i="40"/>
  <c r="AR31" i="40"/>
  <c r="AS31" i="40"/>
  <c r="AT31" i="40"/>
  <c r="AP31" i="40"/>
  <c r="AQ31" i="40"/>
  <c r="A32" i="40"/>
  <c r="S31" i="40" l="1"/>
  <c r="BF34" i="40"/>
  <c r="U31" i="40"/>
  <c r="T31" i="40"/>
  <c r="Y31" i="40"/>
  <c r="H32" i="40"/>
  <c r="AB32" i="40" s="1"/>
  <c r="K32" i="40"/>
  <c r="L32" i="40"/>
  <c r="M32" i="40"/>
  <c r="N32" i="40"/>
  <c r="E32" i="40"/>
  <c r="R32" i="40" s="1"/>
  <c r="O32" i="40"/>
  <c r="F32" i="40"/>
  <c r="S32" i="40" s="1"/>
  <c r="P32" i="40"/>
  <c r="G32" i="40"/>
  <c r="T32" i="40" s="1"/>
  <c r="J32" i="40"/>
  <c r="I32" i="40"/>
  <c r="V32" i="40" s="1"/>
  <c r="AQ32" i="40"/>
  <c r="AT32" i="40"/>
  <c r="AP32" i="40"/>
  <c r="AS32" i="40"/>
  <c r="AR32" i="40"/>
  <c r="AO32" i="40"/>
  <c r="A33" i="40"/>
  <c r="BF35" i="40" l="1"/>
  <c r="U32" i="40"/>
  <c r="AA32" i="40"/>
  <c r="Z32" i="40"/>
  <c r="L33" i="40"/>
  <c r="J33" i="40"/>
  <c r="M33" i="40"/>
  <c r="N33" i="40"/>
  <c r="O33" i="40"/>
  <c r="P33" i="40"/>
  <c r="F33" i="40"/>
  <c r="Z33" i="40" s="1"/>
  <c r="E33" i="40"/>
  <c r="Y33" i="40" s="1"/>
  <c r="G33" i="40"/>
  <c r="T33" i="40" s="1"/>
  <c r="H33" i="40"/>
  <c r="U33" i="40" s="1"/>
  <c r="I33" i="40"/>
  <c r="V33" i="40" s="1"/>
  <c r="K33" i="40"/>
  <c r="Y32" i="40"/>
  <c r="AS33" i="40"/>
  <c r="AO33" i="40"/>
  <c r="AP33" i="40"/>
  <c r="AR33" i="40"/>
  <c r="AQ33" i="40"/>
  <c r="AT33" i="40"/>
  <c r="A34" i="40"/>
  <c r="S33" i="40" l="1"/>
  <c r="BF36" i="40"/>
  <c r="R33" i="40"/>
  <c r="AB33" i="40"/>
  <c r="N34" i="40"/>
  <c r="O34" i="40"/>
  <c r="P34" i="40"/>
  <c r="H34" i="40"/>
  <c r="AB34" i="40" s="1"/>
  <c r="L34" i="40"/>
  <c r="J34" i="40"/>
  <c r="M34" i="40"/>
  <c r="F34" i="40"/>
  <c r="Z34" i="40" s="1"/>
  <c r="E34" i="40"/>
  <c r="Y34" i="40" s="1"/>
  <c r="G34" i="40"/>
  <c r="T34" i="40" s="1"/>
  <c r="K34" i="40"/>
  <c r="I34" i="40"/>
  <c r="V34" i="40" s="1"/>
  <c r="AA33" i="40"/>
  <c r="AP34" i="40"/>
  <c r="AQ34" i="40"/>
  <c r="AR34" i="40"/>
  <c r="AT34" i="40"/>
  <c r="AS34" i="40"/>
  <c r="AO34" i="40"/>
  <c r="A35" i="40"/>
  <c r="U34" i="40" l="1"/>
  <c r="BF37" i="40"/>
  <c r="R34" i="40"/>
  <c r="P35" i="40"/>
  <c r="F35" i="40"/>
  <c r="S35" i="40" s="1"/>
  <c r="K35" i="40"/>
  <c r="L35" i="40"/>
  <c r="J35" i="40"/>
  <c r="E35" i="40"/>
  <c r="R35" i="40" s="1"/>
  <c r="M35" i="40"/>
  <c r="G35" i="40"/>
  <c r="AA35" i="40" s="1"/>
  <c r="N35" i="40"/>
  <c r="H35" i="40"/>
  <c r="U35" i="40" s="1"/>
  <c r="O35" i="40"/>
  <c r="I35" i="40"/>
  <c r="V35" i="40" s="1"/>
  <c r="AA34" i="40"/>
  <c r="S34" i="40"/>
  <c r="AO35" i="40"/>
  <c r="AR35" i="40"/>
  <c r="AS35" i="40"/>
  <c r="AT35" i="40"/>
  <c r="AP35" i="40"/>
  <c r="AQ35" i="40"/>
  <c r="A36" i="40"/>
  <c r="Y35" i="40" l="1"/>
  <c r="BF38" i="40"/>
  <c r="Z35" i="40"/>
  <c r="T35" i="40"/>
  <c r="AB35" i="40"/>
  <c r="H36" i="40"/>
  <c r="AB36" i="40" s="1"/>
  <c r="K36" i="40"/>
  <c r="L36" i="40"/>
  <c r="M36" i="40"/>
  <c r="N36" i="40"/>
  <c r="I36" i="40"/>
  <c r="V36" i="40" s="1"/>
  <c r="J36" i="40"/>
  <c r="P36" i="40"/>
  <c r="F36" i="40"/>
  <c r="Z36" i="40" s="1"/>
  <c r="O36" i="40"/>
  <c r="E36" i="40"/>
  <c r="R36" i="40" s="1"/>
  <c r="G36" i="40"/>
  <c r="AA36" i="40" s="1"/>
  <c r="AQ36" i="40"/>
  <c r="AT36" i="40"/>
  <c r="AP36" i="40"/>
  <c r="AR36" i="40"/>
  <c r="AS36" i="40"/>
  <c r="AO36" i="40"/>
  <c r="A37" i="40"/>
  <c r="S36" i="40" l="1"/>
  <c r="BF39" i="40"/>
  <c r="U36" i="40"/>
  <c r="Y36" i="40"/>
  <c r="T36" i="40"/>
  <c r="L37" i="40"/>
  <c r="M37" i="40"/>
  <c r="N37" i="40"/>
  <c r="O37" i="40"/>
  <c r="P37" i="40"/>
  <c r="F37" i="40"/>
  <c r="Z37" i="40" s="1"/>
  <c r="E37" i="40"/>
  <c r="Y37" i="40" s="1"/>
  <c r="G37" i="40"/>
  <c r="T37" i="40" s="1"/>
  <c r="J37" i="40"/>
  <c r="H37" i="40"/>
  <c r="AB37" i="40" s="1"/>
  <c r="I37" i="40"/>
  <c r="V37" i="40" s="1"/>
  <c r="K37" i="40"/>
  <c r="AS37" i="40"/>
  <c r="AO37" i="40"/>
  <c r="AP37" i="40"/>
  <c r="AR37" i="40"/>
  <c r="AQ37" i="40"/>
  <c r="AT37" i="40"/>
  <c r="A38" i="40"/>
  <c r="S37" i="40" l="1"/>
  <c r="U37" i="40"/>
  <c r="BF40" i="40"/>
  <c r="AA37" i="40"/>
  <c r="N38" i="40"/>
  <c r="O38" i="40"/>
  <c r="P38" i="40"/>
  <c r="K38" i="40"/>
  <c r="F38" i="40"/>
  <c r="Z38" i="40" s="1"/>
  <c r="L38" i="40"/>
  <c r="G38" i="40"/>
  <c r="T38" i="40" s="1"/>
  <c r="M38" i="40"/>
  <c r="H38" i="40"/>
  <c r="AB38" i="40" s="1"/>
  <c r="I38" i="40"/>
  <c r="V38" i="40" s="1"/>
  <c r="J38" i="40"/>
  <c r="E38" i="40"/>
  <c r="Y38" i="40" s="1"/>
  <c r="R37" i="40"/>
  <c r="AP38" i="40"/>
  <c r="AQ38" i="40"/>
  <c r="AR38" i="40"/>
  <c r="AT38" i="40"/>
  <c r="AO38" i="40"/>
  <c r="AS38" i="40"/>
  <c r="A39" i="40"/>
  <c r="U38" i="40" l="1"/>
  <c r="BF41" i="40"/>
  <c r="R38" i="40"/>
  <c r="P39" i="40"/>
  <c r="K39" i="40"/>
  <c r="L39" i="40"/>
  <c r="H39" i="40"/>
  <c r="AB39" i="40" s="1"/>
  <c r="I39" i="40"/>
  <c r="V39" i="40" s="1"/>
  <c r="F39" i="40"/>
  <c r="S39" i="40" s="1"/>
  <c r="J39" i="40"/>
  <c r="M39" i="40"/>
  <c r="N39" i="40"/>
  <c r="O39" i="40"/>
  <c r="E39" i="40"/>
  <c r="R39" i="40" s="1"/>
  <c r="G39" i="40"/>
  <c r="AA39" i="40" s="1"/>
  <c r="AA38" i="40"/>
  <c r="S38" i="40"/>
  <c r="AO39" i="40"/>
  <c r="AR39" i="40"/>
  <c r="AS39" i="40"/>
  <c r="AT39" i="40"/>
  <c r="AP39" i="40"/>
  <c r="AQ39" i="40"/>
  <c r="A40" i="40"/>
  <c r="BF42" i="40" l="1"/>
  <c r="Y39" i="40"/>
  <c r="K40" i="40"/>
  <c r="L40" i="40"/>
  <c r="M40" i="40"/>
  <c r="N40" i="40"/>
  <c r="J40" i="40"/>
  <c r="G40" i="40"/>
  <c r="T40" i="40" s="1"/>
  <c r="H40" i="40"/>
  <c r="U40" i="40" s="1"/>
  <c r="E40" i="40"/>
  <c r="R40" i="40" s="1"/>
  <c r="F40" i="40"/>
  <c r="Z40" i="40" s="1"/>
  <c r="O40" i="40"/>
  <c r="P40" i="40"/>
  <c r="I40" i="40"/>
  <c r="V40" i="40" s="1"/>
  <c r="U39" i="40"/>
  <c r="T39" i="40"/>
  <c r="Z39" i="40"/>
  <c r="AQ40" i="40"/>
  <c r="AT40" i="40"/>
  <c r="AP40" i="40"/>
  <c r="AO40" i="40"/>
  <c r="AR40" i="40"/>
  <c r="AS40" i="40"/>
  <c r="A41" i="40"/>
  <c r="AB40" i="40" l="1"/>
  <c r="BF43" i="40"/>
  <c r="Y40" i="40"/>
  <c r="S40" i="40"/>
  <c r="AA40" i="40"/>
  <c r="L41" i="40"/>
  <c r="M41" i="40"/>
  <c r="N41" i="40"/>
  <c r="O41" i="40"/>
  <c r="P41" i="40"/>
  <c r="K41" i="40"/>
  <c r="E41" i="40"/>
  <c r="Y41" i="40" s="1"/>
  <c r="F41" i="40"/>
  <c r="Z41" i="40" s="1"/>
  <c r="G41" i="40"/>
  <c r="AA41" i="40" s="1"/>
  <c r="H41" i="40"/>
  <c r="AB41" i="40" s="1"/>
  <c r="I41" i="40"/>
  <c r="V41" i="40" s="1"/>
  <c r="J41" i="40"/>
  <c r="AS41" i="40"/>
  <c r="AO41" i="40"/>
  <c r="AP41" i="40"/>
  <c r="AR41" i="40"/>
  <c r="AT41" i="40"/>
  <c r="AQ41" i="40"/>
  <c r="A42" i="40"/>
  <c r="S41" i="40" l="1"/>
  <c r="U41" i="40"/>
  <c r="BF44" i="40"/>
  <c r="T41" i="40"/>
  <c r="N42" i="40"/>
  <c r="O42" i="40"/>
  <c r="P42" i="40"/>
  <c r="F42" i="40"/>
  <c r="Z42" i="40" s="1"/>
  <c r="K42" i="40"/>
  <c r="G42" i="40"/>
  <c r="T42" i="40" s="1"/>
  <c r="L42" i="40"/>
  <c r="H42" i="40"/>
  <c r="U42" i="40" s="1"/>
  <c r="M42" i="40"/>
  <c r="I42" i="40"/>
  <c r="V42" i="40" s="1"/>
  <c r="J42" i="40"/>
  <c r="E42" i="40"/>
  <c r="Y42" i="40" s="1"/>
  <c r="R41" i="40"/>
  <c r="AP42" i="40"/>
  <c r="AQ42" i="40"/>
  <c r="AR42" i="40"/>
  <c r="AT42" i="40"/>
  <c r="AO42" i="40"/>
  <c r="AS42" i="40"/>
  <c r="A43" i="40"/>
  <c r="BF45" i="40" l="1"/>
  <c r="R42" i="40"/>
  <c r="AB42" i="40"/>
  <c r="AA42" i="40"/>
  <c r="S42" i="40"/>
  <c r="P43" i="40"/>
  <c r="K43" i="40"/>
  <c r="L43" i="40"/>
  <c r="H43" i="40"/>
  <c r="U43" i="40" s="1"/>
  <c r="I43" i="40"/>
  <c r="V43" i="40" s="1"/>
  <c r="O43" i="40"/>
  <c r="F43" i="40"/>
  <c r="S43" i="40" s="1"/>
  <c r="J43" i="40"/>
  <c r="M43" i="40"/>
  <c r="N43" i="40"/>
  <c r="E43" i="40"/>
  <c r="Y43" i="40" s="1"/>
  <c r="G43" i="40"/>
  <c r="T43" i="40" s="1"/>
  <c r="AO43" i="40"/>
  <c r="AR43" i="40"/>
  <c r="AS43" i="40"/>
  <c r="AT43" i="40"/>
  <c r="AQ43" i="40"/>
  <c r="AP43" i="40"/>
  <c r="A44" i="40"/>
  <c r="K44" i="40" l="1"/>
  <c r="L44" i="40"/>
  <c r="M44" i="40"/>
  <c r="N44" i="40"/>
  <c r="P44" i="40"/>
  <c r="J44" i="40"/>
  <c r="G44" i="40"/>
  <c r="T44" i="40" s="1"/>
  <c r="E44" i="40"/>
  <c r="R44" i="40" s="1"/>
  <c r="F44" i="40"/>
  <c r="Z44" i="40" s="1"/>
  <c r="O44" i="40"/>
  <c r="I44" i="40"/>
  <c r="V44" i="40" s="1"/>
  <c r="H44" i="40"/>
  <c r="U44" i="40" s="1"/>
  <c r="Z43" i="40"/>
  <c r="R43" i="40"/>
  <c r="AB43" i="40"/>
  <c r="AA43" i="40"/>
  <c r="AS44" i="40"/>
  <c r="AT44" i="40"/>
  <c r="AR44" i="40"/>
  <c r="AQ44" i="40"/>
  <c r="AP44" i="40"/>
  <c r="AO44" i="40"/>
  <c r="A45" i="40"/>
  <c r="Y44" i="40" l="1"/>
  <c r="S44" i="40"/>
  <c r="AB44" i="40"/>
  <c r="L45" i="40"/>
  <c r="M45" i="40"/>
  <c r="N45" i="40"/>
  <c r="O45" i="40"/>
  <c r="P45" i="40"/>
  <c r="K45" i="40"/>
  <c r="E45" i="40"/>
  <c r="Y45" i="40" s="1"/>
  <c r="F45" i="40"/>
  <c r="Z45" i="40" s="1"/>
  <c r="G45" i="40"/>
  <c r="T45" i="40" s="1"/>
  <c r="H45" i="40"/>
  <c r="U45" i="40" s="1"/>
  <c r="I45" i="40"/>
  <c r="V45" i="40" s="1"/>
  <c r="J45" i="40"/>
  <c r="AA44" i="40"/>
  <c r="AO45" i="40"/>
  <c r="AP45" i="40"/>
  <c r="AT45" i="40"/>
  <c r="AR45" i="40"/>
  <c r="AQ45" i="40"/>
  <c r="AS45" i="40"/>
  <c r="A46" i="40"/>
  <c r="N46" i="40" l="1"/>
  <c r="O46" i="40"/>
  <c r="P46" i="40"/>
  <c r="F46" i="40"/>
  <c r="Z46" i="40" s="1"/>
  <c r="G46" i="40"/>
  <c r="T46" i="40" s="1"/>
  <c r="K46" i="40"/>
  <c r="H46" i="40"/>
  <c r="AB46" i="40" s="1"/>
  <c r="L46" i="40"/>
  <c r="I46" i="40"/>
  <c r="V46" i="40" s="1"/>
  <c r="M46" i="40"/>
  <c r="J46" i="40"/>
  <c r="E46" i="40"/>
  <c r="Y46" i="40" s="1"/>
  <c r="AB45" i="40"/>
  <c r="S45" i="40"/>
  <c r="AA45" i="40"/>
  <c r="R45" i="40"/>
  <c r="AS46" i="40"/>
  <c r="AT46" i="40"/>
  <c r="AP46" i="40"/>
  <c r="AQ46" i="40"/>
  <c r="AR46" i="40"/>
  <c r="AO46" i="40"/>
  <c r="S46" i="40" l="1"/>
  <c r="U46" i="40"/>
  <c r="R46" i="40"/>
  <c r="AA46" i="40"/>
  <c r="G5" i="41" l="1"/>
  <c r="F5" i="41"/>
  <c r="D5" i="41"/>
  <c r="Q5" i="41"/>
  <c r="P5" i="41"/>
  <c r="O5" i="41"/>
  <c r="N5" i="41"/>
  <c r="L5" i="41"/>
  <c r="K5" i="41"/>
  <c r="J5" i="41"/>
  <c r="I5" i="41"/>
  <c r="B24" i="25"/>
  <c r="C19" i="25" l="1"/>
  <c r="B72" i="24" l="1"/>
  <c r="B73" i="24" s="1"/>
  <c r="C12" i="24"/>
  <c r="E20" i="41"/>
  <c r="G20" i="41" s="1"/>
  <c r="H20" i="41" s="1"/>
  <c r="G14" i="41"/>
  <c r="C72" i="24" l="1"/>
  <c r="C73" i="24" s="1"/>
  <c r="G6" i="26"/>
  <c r="G7" i="26" s="1"/>
  <c r="H6" i="26"/>
  <c r="H7" i="26" s="1"/>
  <c r="B74" i="24"/>
  <c r="N10" i="41"/>
  <c r="G15" i="41" s="1"/>
  <c r="P10" i="41"/>
  <c r="O10" i="41"/>
  <c r="E28" i="24"/>
  <c r="G23" i="41" l="1"/>
  <c r="G22" i="41"/>
  <c r="G21" i="41"/>
  <c r="B75" i="24"/>
  <c r="C74" i="24"/>
  <c r="A1" i="33" a="1"/>
  <c r="A1" i="33" s="1"/>
  <c r="C75" i="24" l="1"/>
  <c r="B76" i="24"/>
  <c r="C76" i="24" l="1"/>
  <c r="B77" i="24"/>
  <c r="A1" i="41" a="1"/>
  <c r="A1" i="41" s="1"/>
  <c r="A1" i="28" a="1"/>
  <c r="A1" i="28" s="1"/>
  <c r="A1" i="25" a="1"/>
  <c r="A1" i="25" s="1"/>
  <c r="A1" i="26" a="1"/>
  <c r="A1" i="26" s="1"/>
  <c r="B78" i="24" l="1"/>
  <c r="C77" i="24"/>
  <c r="C78" i="24" l="1"/>
  <c r="B79" i="24"/>
  <c r="B80" i="24" l="1"/>
  <c r="C79" i="24"/>
  <c r="B81" i="24" l="1"/>
  <c r="C80" i="24"/>
  <c r="C81" i="24" l="1"/>
  <c r="B82" i="24"/>
  <c r="B83" i="24" l="1"/>
  <c r="C82" i="24"/>
  <c r="C83" i="24" l="1"/>
  <c r="B84" i="24"/>
  <c r="C84" i="24" l="1"/>
  <c r="B85" i="24"/>
  <c r="B86" i="24" l="1"/>
  <c r="C85" i="24"/>
  <c r="C86" i="24" l="1"/>
  <c r="B87" i="24"/>
  <c r="B88" i="24" l="1"/>
  <c r="C87" i="24"/>
  <c r="C88" i="24" l="1"/>
  <c r="B89" i="24"/>
  <c r="C89" i="24" l="1"/>
  <c r="B90" i="24"/>
  <c r="B91" i="24" l="1"/>
  <c r="C90" i="24"/>
  <c r="C91" i="24" l="1"/>
  <c r="B92" i="24"/>
  <c r="C92" i="24" l="1"/>
  <c r="B93" i="24"/>
  <c r="B94" i="24" l="1"/>
  <c r="C93" i="24"/>
  <c r="C94" i="24" l="1"/>
  <c r="B95" i="24"/>
  <c r="F75" i="24" s="1"/>
  <c r="F76" i="24" l="1"/>
  <c r="F84" i="24"/>
  <c r="F92" i="24"/>
  <c r="E76" i="24"/>
  <c r="E84" i="24"/>
  <c r="E92" i="24"/>
  <c r="F83" i="24"/>
  <c r="F91" i="24"/>
  <c r="E77" i="24"/>
  <c r="E85" i="24"/>
  <c r="E93" i="24"/>
  <c r="F74" i="24"/>
  <c r="F82" i="24"/>
  <c r="F90" i="24"/>
  <c r="E78" i="24"/>
  <c r="E86" i="24"/>
  <c r="E94" i="24"/>
  <c r="F73" i="24"/>
  <c r="F81" i="24"/>
  <c r="F89" i="24"/>
  <c r="E79" i="24"/>
  <c r="E87" i="24"/>
  <c r="F72" i="24"/>
  <c r="F80" i="24"/>
  <c r="F88" i="24"/>
  <c r="E80" i="24"/>
  <c r="E88" i="24"/>
  <c r="F79" i="24"/>
  <c r="F87" i="24"/>
  <c r="E81" i="24"/>
  <c r="E89" i="24"/>
  <c r="F78" i="24"/>
  <c r="F86" i="24"/>
  <c r="F94" i="24"/>
  <c r="E74" i="24"/>
  <c r="E82" i="24"/>
  <c r="E90" i="24"/>
  <c r="F77" i="24"/>
  <c r="F85" i="24"/>
  <c r="F93" i="24"/>
  <c r="E75" i="24"/>
  <c r="E83" i="24"/>
  <c r="E91" i="24"/>
  <c r="B96" i="24"/>
  <c r="C95" i="24"/>
  <c r="F96" i="24" l="1"/>
  <c r="E96" i="24"/>
  <c r="C96" i="24"/>
  <c r="B97" i="24"/>
  <c r="E97" i="24" l="1"/>
  <c r="F97" i="24"/>
  <c r="B98" i="24"/>
  <c r="C97" i="24"/>
  <c r="E98" i="24" l="1"/>
  <c r="F98" i="24"/>
  <c r="B99" i="24"/>
  <c r="C98" i="24"/>
  <c r="E99" i="24" l="1"/>
  <c r="F99" i="24"/>
  <c r="C99" i="24"/>
  <c r="B100" i="24"/>
  <c r="F100" i="24" l="1"/>
  <c r="E100" i="24"/>
  <c r="B101" i="24"/>
  <c r="C100" i="24"/>
  <c r="F101" i="24" l="1"/>
  <c r="E101" i="24"/>
  <c r="C101" i="24"/>
  <c r="B102" i="24"/>
  <c r="F102" i="24" l="1"/>
  <c r="E102" i="24"/>
  <c r="C102" i="24"/>
  <c r="S11" i="35" l="1"/>
  <c r="K14" i="33"/>
  <c r="M14" i="33" s="1"/>
  <c r="J14" i="33"/>
  <c r="L14" i="33" s="1"/>
  <c r="C10" i="24"/>
  <c r="D108" i="24" l="1"/>
  <c r="D109" i="24" s="1"/>
  <c r="D110" i="24" s="1"/>
  <c r="D111" i="24" s="1"/>
  <c r="D112" i="24" s="1"/>
  <c r="D113" i="24" s="1"/>
  <c r="D114" i="24" s="1"/>
  <c r="D115" i="24" s="1"/>
  <c r="D116" i="24" s="1"/>
  <c r="D117" i="24" s="1"/>
  <c r="D118" i="24" s="1"/>
  <c r="D119" i="24" s="1"/>
  <c r="D120" i="24" s="1"/>
  <c r="D121" i="24" s="1"/>
  <c r="D122" i="24" s="1"/>
  <c r="D123" i="24" s="1"/>
  <c r="D124" i="24" s="1"/>
  <c r="D125" i="24" s="1"/>
  <c r="D126" i="24" s="1"/>
  <c r="D127" i="24" s="1"/>
  <c r="D128" i="24" s="1"/>
  <c r="D129" i="24" s="1"/>
  <c r="D130" i="24" s="1"/>
  <c r="D131" i="24" s="1"/>
  <c r="D132" i="24" s="1"/>
  <c r="D133" i="24" s="1"/>
  <c r="D134" i="24" s="1"/>
  <c r="D135" i="24" s="1"/>
  <c r="D136" i="24" s="1"/>
  <c r="D137" i="24" s="1"/>
  <c r="D138" i="24" s="1"/>
  <c r="I25" i="53"/>
  <c r="D25" i="53"/>
  <c r="P25" i="53"/>
  <c r="P26" i="53"/>
  <c r="D26" i="53"/>
  <c r="I26" i="53"/>
  <c r="P27" i="53"/>
  <c r="I27" i="53"/>
  <c r="Q27" i="53" s="1"/>
  <c r="D27" i="53"/>
  <c r="D28" i="53"/>
  <c r="I28" i="53"/>
  <c r="P28" i="53"/>
  <c r="P29" i="53"/>
  <c r="D29" i="53"/>
  <c r="I29" i="53"/>
  <c r="D30" i="53"/>
  <c r="I30" i="53"/>
  <c r="P30" i="53"/>
  <c r="P31" i="53"/>
  <c r="D31" i="53"/>
  <c r="I31" i="53"/>
  <c r="I32" i="53"/>
  <c r="D32" i="53"/>
  <c r="P32" i="53"/>
  <c r="P33" i="53"/>
  <c r="D33" i="53"/>
  <c r="I33" i="53"/>
  <c r="I34" i="53"/>
  <c r="D34" i="53"/>
  <c r="P34" i="53"/>
  <c r="P35" i="53"/>
  <c r="D35" i="53"/>
  <c r="I35" i="53"/>
  <c r="I36" i="53"/>
  <c r="P36" i="53"/>
  <c r="D36" i="53"/>
  <c r="D37" i="53"/>
  <c r="I37" i="53"/>
  <c r="P37" i="53"/>
  <c r="D38" i="53"/>
  <c r="P38" i="53"/>
  <c r="I38" i="53"/>
  <c r="D39" i="53"/>
  <c r="I39" i="53"/>
  <c r="P39" i="53"/>
  <c r="P40" i="53"/>
  <c r="I40" i="53"/>
  <c r="D40" i="53"/>
  <c r="I41" i="53"/>
  <c r="D41" i="53"/>
  <c r="P41" i="53"/>
  <c r="I42" i="53"/>
  <c r="D42" i="53"/>
  <c r="P42" i="53"/>
  <c r="I43" i="53"/>
  <c r="P43" i="53"/>
  <c r="D43" i="53"/>
  <c r="I44" i="53"/>
  <c r="D44" i="53"/>
  <c r="P44" i="53"/>
  <c r="I45" i="53"/>
  <c r="D45" i="53"/>
  <c r="P45" i="53"/>
  <c r="I46" i="53"/>
  <c r="D46" i="53"/>
  <c r="P46" i="53"/>
  <c r="I47" i="53"/>
  <c r="D47" i="53"/>
  <c r="P47" i="53"/>
  <c r="D48" i="53"/>
  <c r="P48" i="53"/>
  <c r="I48" i="53"/>
  <c r="I49" i="53"/>
  <c r="D49" i="53"/>
  <c r="P49" i="53"/>
  <c r="P50" i="53"/>
  <c r="D50" i="53"/>
  <c r="I50" i="53"/>
  <c r="Q50" i="53" s="1"/>
  <c r="I51" i="53"/>
  <c r="P51" i="53"/>
  <c r="D51" i="53"/>
  <c r="P52" i="53"/>
  <c r="D52" i="53"/>
  <c r="I52" i="53"/>
  <c r="I53" i="53"/>
  <c r="D53" i="53"/>
  <c r="P53" i="53"/>
  <c r="I54" i="53"/>
  <c r="D54" i="53"/>
  <c r="P54" i="53"/>
  <c r="D72" i="24"/>
  <c r="D73" i="24" s="1"/>
  <c r="D74" i="24" s="1"/>
  <c r="D75" i="24" s="1"/>
  <c r="D76" i="24" s="1"/>
  <c r="D77" i="24" s="1"/>
  <c r="D78" i="24" s="1"/>
  <c r="D79" i="24" s="1"/>
  <c r="D80" i="24" s="1"/>
  <c r="D81" i="24" s="1"/>
  <c r="D82" i="24" s="1"/>
  <c r="D83" i="24" s="1"/>
  <c r="D84" i="24" s="1"/>
  <c r="D85" i="24" s="1"/>
  <c r="D86" i="24" s="1"/>
  <c r="D87" i="24" s="1"/>
  <c r="D88" i="24" s="1"/>
  <c r="D89" i="24" s="1"/>
  <c r="D90" i="24" s="1"/>
  <c r="D91" i="24" s="1"/>
  <c r="D92" i="24" s="1"/>
  <c r="D93" i="24" s="1"/>
  <c r="D94" i="24" s="1"/>
  <c r="D95" i="24" s="1"/>
  <c r="D96" i="24" s="1"/>
  <c r="D97" i="24" s="1"/>
  <c r="D98" i="24" s="1"/>
  <c r="D99" i="24" s="1"/>
  <c r="D100" i="24" s="1"/>
  <c r="D101" i="24" s="1"/>
  <c r="D102" i="24" s="1"/>
  <c r="Q38" i="53" l="1"/>
  <c r="Q48" i="53"/>
  <c r="Q54" i="53"/>
  <c r="Q37" i="53"/>
  <c r="Q26" i="53"/>
  <c r="R26" i="53" s="1"/>
  <c r="Q39" i="53"/>
  <c r="R39" i="53" s="1"/>
  <c r="Q29" i="53"/>
  <c r="R29" i="53" s="1"/>
  <c r="Q36" i="53"/>
  <c r="R36" i="53" s="1"/>
  <c r="Q33" i="53"/>
  <c r="R33" i="53" s="1"/>
  <c r="Q32" i="53"/>
  <c r="R32" i="53" s="1"/>
  <c r="Q53" i="53"/>
  <c r="Q45" i="53"/>
  <c r="R45" i="53" s="1"/>
  <c r="Q42" i="53"/>
  <c r="Q34" i="53"/>
  <c r="R34" i="53" s="1"/>
  <c r="R54" i="53"/>
  <c r="Q49" i="53"/>
  <c r="Q47" i="53"/>
  <c r="Q41" i="53"/>
  <c r="Q35" i="53"/>
  <c r="Q31" i="53"/>
  <c r="Q51" i="53"/>
  <c r="Q43" i="53"/>
  <c r="R37" i="53"/>
  <c r="R27" i="53"/>
  <c r="Q25" i="53"/>
  <c r="I55" i="53"/>
  <c r="R53" i="53"/>
  <c r="R50" i="53"/>
  <c r="R48" i="53"/>
  <c r="R38" i="53"/>
  <c r="Q52" i="53"/>
  <c r="Q40" i="53"/>
  <c r="Q30" i="53"/>
  <c r="Q28" i="53"/>
  <c r="P55" i="53"/>
  <c r="Q46" i="53"/>
  <c r="Q44" i="53"/>
  <c r="R42" i="53"/>
  <c r="R47" i="53" l="1"/>
  <c r="R28" i="53"/>
  <c r="R49" i="53"/>
  <c r="R30" i="53"/>
  <c r="R25" i="53"/>
  <c r="Q55" i="53"/>
  <c r="R43" i="53"/>
  <c r="R51" i="53"/>
  <c r="R40" i="53"/>
  <c r="R31" i="53"/>
  <c r="R44" i="53"/>
  <c r="R52" i="53"/>
  <c r="R35" i="53"/>
  <c r="R46" i="53"/>
  <c r="R41" i="53"/>
  <c r="R55" i="53" l="1"/>
  <c r="C22" i="41" l="1"/>
  <c r="C23" i="41" s="1"/>
  <c r="C24" i="41" s="1"/>
  <c r="C25" i="41" s="1"/>
  <c r="C26" i="41" s="1"/>
  <c r="C27" i="41" s="1"/>
  <c r="C28" i="41" s="1"/>
  <c r="C29" i="41" s="1"/>
  <c r="C30" i="41" s="1"/>
  <c r="C31" i="41" s="1"/>
  <c r="C32" i="41" s="1"/>
  <c r="C33" i="41" s="1"/>
  <c r="C34" i="41" s="1"/>
  <c r="C35" i="41" s="1"/>
  <c r="C36" i="41" s="1"/>
  <c r="C37" i="41" s="1"/>
  <c r="C38" i="41" s="1"/>
  <c r="C39" i="41" s="1"/>
  <c r="C40" i="41" s="1"/>
  <c r="C41" i="41" s="1"/>
  <c r="C42" i="41" s="1"/>
  <c r="C43" i="41" s="1"/>
  <c r="C44" i="41" s="1"/>
  <c r="C45" i="41" s="1"/>
  <c r="C46" i="41" s="1"/>
  <c r="C47" i="41" s="1"/>
  <c r="C48" i="41" s="1"/>
  <c r="C49" i="41" s="1"/>
  <c r="C50" i="41" s="1"/>
  <c r="B21" i="41"/>
  <c r="F21" i="41" s="1"/>
  <c r="H21" i="41" s="1"/>
  <c r="I21" i="41" s="1"/>
  <c r="L12" i="35" s="1"/>
  <c r="AL39" i="40" l="1"/>
  <c r="AH39" i="40"/>
  <c r="AG39" i="40"/>
  <c r="AK39" i="40"/>
  <c r="AE39" i="40"/>
  <c r="AM39" i="40"/>
  <c r="AF39" i="40"/>
  <c r="AD39" i="40"/>
  <c r="AN39" i="40"/>
  <c r="B22" i="41"/>
  <c r="F22" i="41" s="1"/>
  <c r="H22" i="41" s="1"/>
  <c r="I22" i="41" s="1"/>
  <c r="L13" i="35" s="1"/>
  <c r="J22" i="41" l="1"/>
  <c r="B23" i="41"/>
  <c r="F23" i="41" s="1"/>
  <c r="H23" i="41" s="1"/>
  <c r="I23" i="41" s="1"/>
  <c r="L14" i="35" s="1"/>
  <c r="B24" i="41" l="1"/>
  <c r="F24" i="41" s="1"/>
  <c r="B25" i="41" l="1"/>
  <c r="F25" i="41" s="1"/>
  <c r="B26" i="41" l="1"/>
  <c r="F26" i="41" s="1"/>
  <c r="B27" i="41" l="1"/>
  <c r="F27" i="41" s="1"/>
  <c r="B28" i="41" l="1"/>
  <c r="F28" i="41" s="1"/>
  <c r="B29" i="41" l="1"/>
  <c r="F29" i="41" s="1"/>
  <c r="B30" i="41" l="1"/>
  <c r="F30" i="41" s="1"/>
  <c r="B31" i="41" l="1"/>
  <c r="F31" i="41" s="1"/>
  <c r="B32" i="41" l="1"/>
  <c r="F32" i="41" s="1"/>
  <c r="B33" i="41" l="1"/>
  <c r="F33" i="41" s="1"/>
  <c r="B34" i="41" l="1"/>
  <c r="F34" i="41" s="1"/>
  <c r="B35" i="41" l="1"/>
  <c r="F35" i="41" s="1"/>
  <c r="B36" i="41" l="1"/>
  <c r="F36" i="41" s="1"/>
  <c r="B37" i="41" l="1"/>
  <c r="F37" i="41" s="1"/>
  <c r="B38" i="41" l="1"/>
  <c r="F38" i="41" s="1"/>
  <c r="B39" i="41" l="1"/>
  <c r="F39" i="41" s="1"/>
  <c r="B40" i="41" l="1"/>
  <c r="F40" i="41" s="1"/>
  <c r="B41" i="41" l="1"/>
  <c r="F41" i="41" s="1"/>
  <c r="B42" i="41" l="1"/>
  <c r="F42" i="41" s="1"/>
  <c r="B43" i="41" l="1"/>
  <c r="F43" i="41" s="1"/>
  <c r="B44" i="41" l="1"/>
  <c r="F44" i="41" s="1"/>
  <c r="B45" i="41" l="1"/>
  <c r="B46" i="41" l="1"/>
  <c r="F46" i="41" s="1"/>
  <c r="F45" i="41"/>
  <c r="B47" i="41"/>
  <c r="F47" i="41" s="1"/>
  <c r="B48" i="41" l="1"/>
  <c r="F48" i="41" s="1"/>
  <c r="B49" i="41" l="1"/>
  <c r="F49" i="41" s="1"/>
  <c r="B50" i="41" l="1"/>
  <c r="F50" i="41" s="1"/>
  <c r="B36" i="24" l="1"/>
  <c r="D36" i="24" s="1"/>
  <c r="B37" i="24" l="1"/>
  <c r="D37" i="24" s="1"/>
  <c r="C36" i="24"/>
  <c r="C37" i="24" l="1"/>
  <c r="B38" i="24"/>
  <c r="D38" i="24" s="1"/>
  <c r="C38" i="24" l="1"/>
  <c r="B39" i="24"/>
  <c r="D39" i="24" s="1"/>
  <c r="B40" i="24" l="1"/>
  <c r="D40" i="24" s="1"/>
  <c r="C39" i="24"/>
  <c r="C40" i="24" l="1"/>
  <c r="B41" i="24"/>
  <c r="D41" i="24" s="1"/>
  <c r="B42" i="24" l="1"/>
  <c r="D42" i="24" s="1"/>
  <c r="C41" i="24"/>
  <c r="B43" i="24" l="1"/>
  <c r="D43" i="24" s="1"/>
  <c r="C42" i="24"/>
  <c r="B44" i="24" l="1"/>
  <c r="D44" i="24" s="1"/>
  <c r="C43" i="24"/>
  <c r="B26" i="28"/>
  <c r="J26" i="28" l="1"/>
  <c r="B27" i="28"/>
  <c r="B45" i="24"/>
  <c r="D45" i="24" s="1"/>
  <c r="C44" i="24"/>
  <c r="C27" i="28"/>
  <c r="J27" i="28" l="1"/>
  <c r="B28" i="28"/>
  <c r="C45" i="24"/>
  <c r="B46" i="24"/>
  <c r="D46" i="24" s="1"/>
  <c r="C28" i="28"/>
  <c r="J28" i="28" l="1"/>
  <c r="B29" i="28"/>
  <c r="B47" i="24"/>
  <c r="D47" i="24" s="1"/>
  <c r="C46" i="24"/>
  <c r="C29" i="28"/>
  <c r="J29" i="28" l="1"/>
  <c r="B30" i="28"/>
  <c r="B48" i="24"/>
  <c r="D48" i="24" s="1"/>
  <c r="C47" i="24"/>
  <c r="C30" i="28"/>
  <c r="J30" i="28" l="1"/>
  <c r="B31" i="28"/>
  <c r="C48" i="24"/>
  <c r="B49" i="24"/>
  <c r="D49" i="24" s="1"/>
  <c r="C31" i="28"/>
  <c r="J31" i="28" l="1"/>
  <c r="B32" i="28"/>
  <c r="B50" i="24"/>
  <c r="D50" i="24" s="1"/>
  <c r="C49" i="24"/>
  <c r="C32" i="28"/>
  <c r="J32" i="28" l="1"/>
  <c r="B33" i="28"/>
  <c r="B51" i="24"/>
  <c r="D51" i="24" s="1"/>
  <c r="C50" i="24"/>
  <c r="C33" i="28"/>
  <c r="J33" i="28" l="1"/>
  <c r="B34" i="28"/>
  <c r="B52" i="24"/>
  <c r="D52" i="24" s="1"/>
  <c r="C51" i="24"/>
  <c r="C34" i="28"/>
  <c r="J34" i="28" l="1"/>
  <c r="B35" i="28"/>
  <c r="B53" i="24"/>
  <c r="D53" i="24" s="1"/>
  <c r="C52" i="24"/>
  <c r="C35" i="28"/>
  <c r="J35" i="28" l="1"/>
  <c r="B36" i="28"/>
  <c r="C53" i="24"/>
  <c r="B54" i="24"/>
  <c r="C36" i="28"/>
  <c r="J36" i="28" l="1"/>
  <c r="B37" i="28"/>
  <c r="D54" i="24"/>
  <c r="B55" i="24"/>
  <c r="C54" i="24"/>
  <c r="C37" i="28"/>
  <c r="J37" i="28" l="1"/>
  <c r="B38" i="28"/>
  <c r="D55" i="24"/>
  <c r="N15" i="35"/>
  <c r="M16" i="56"/>
  <c r="B56" i="24"/>
  <c r="D56" i="24" s="1"/>
  <c r="C55" i="24"/>
  <c r="C38" i="28"/>
  <c r="J38" i="28" l="1"/>
  <c r="B39" i="28"/>
  <c r="C56" i="24"/>
  <c r="B57" i="24"/>
  <c r="C39" i="28"/>
  <c r="J39" i="28" l="1"/>
  <c r="B40" i="28"/>
  <c r="D57" i="24"/>
  <c r="B58" i="24"/>
  <c r="B59" i="24" s="1"/>
  <c r="C57" i="24"/>
  <c r="C40" i="28"/>
  <c r="J40" i="28" l="1"/>
  <c r="B41" i="28"/>
  <c r="B60" i="24"/>
  <c r="B61" i="24" s="1"/>
  <c r="B62" i="24" s="1"/>
  <c r="B63" i="24" s="1"/>
  <c r="B64" i="24" s="1"/>
  <c r="B65" i="24" s="1"/>
  <c r="B66" i="24" s="1"/>
  <c r="D58" i="24"/>
  <c r="D59" i="24" s="1"/>
  <c r="C58" i="24"/>
  <c r="C59" i="24" s="1"/>
  <c r="C41" i="28"/>
  <c r="J41" i="28" l="1"/>
  <c r="B42" i="28"/>
  <c r="G45" i="41"/>
  <c r="G46" i="41"/>
  <c r="D60" i="24"/>
  <c r="D61" i="24" s="1"/>
  <c r="G27" i="41"/>
  <c r="G36" i="41"/>
  <c r="G28" i="41"/>
  <c r="G35" i="41"/>
  <c r="G40" i="41"/>
  <c r="G42" i="41"/>
  <c r="G32" i="41"/>
  <c r="G24" i="41"/>
  <c r="G34" i="41"/>
  <c r="G39" i="41"/>
  <c r="G33" i="41"/>
  <c r="G26" i="41"/>
  <c r="G31" i="41"/>
  <c r="G25" i="41"/>
  <c r="G38" i="41"/>
  <c r="G37" i="41"/>
  <c r="G29" i="41"/>
  <c r="G30" i="41"/>
  <c r="G41" i="41"/>
  <c r="G48" i="41"/>
  <c r="G47" i="41"/>
  <c r="G44" i="41"/>
  <c r="G43" i="41"/>
  <c r="G50" i="41"/>
  <c r="G49" i="41"/>
  <c r="C60" i="24"/>
  <c r="C42" i="28"/>
  <c r="J42" i="28" l="1"/>
  <c r="B43" i="28"/>
  <c r="F56" i="28"/>
  <c r="AE31" i="40"/>
  <c r="AH31" i="40"/>
  <c r="AM31" i="40"/>
  <c r="AN23" i="40"/>
  <c r="AL23" i="40"/>
  <c r="AF23" i="40"/>
  <c r="AK23" i="40"/>
  <c r="AG23" i="40"/>
  <c r="AD23" i="40"/>
  <c r="AG36" i="40"/>
  <c r="AN36" i="40"/>
  <c r="AE36" i="40"/>
  <c r="AM36" i="40"/>
  <c r="AK36" i="40"/>
  <c r="AK28" i="40"/>
  <c r="AN28" i="40"/>
  <c r="AD28" i="40"/>
  <c r="AM28" i="40"/>
  <c r="AL28" i="40"/>
  <c r="AM37" i="40"/>
  <c r="AG37" i="40"/>
  <c r="AN24" i="40"/>
  <c r="AK24" i="40"/>
  <c r="AD24" i="40"/>
  <c r="AG24" i="40"/>
  <c r="AD38" i="40"/>
  <c r="AF38" i="40"/>
  <c r="AH38" i="40"/>
  <c r="AE38" i="40"/>
  <c r="AN38" i="40"/>
  <c r="AD29" i="40"/>
  <c r="AK29" i="40"/>
  <c r="AE29" i="40"/>
  <c r="D62" i="24"/>
  <c r="D63" i="24" s="1"/>
  <c r="D64" i="24" s="1"/>
  <c r="D65" i="24" s="1"/>
  <c r="D66" i="24" s="1"/>
  <c r="C61" i="24"/>
  <c r="C43" i="28"/>
  <c r="J43" i="28" l="1"/>
  <c r="B44" i="28"/>
  <c r="AF24" i="40"/>
  <c r="AN37" i="40"/>
  <c r="AG31" i="40"/>
  <c r="AH28" i="40"/>
  <c r="AM29" i="40"/>
  <c r="AF37" i="40"/>
  <c r="AK37" i="40"/>
  <c r="AM23" i="40"/>
  <c r="AK38" i="40"/>
  <c r="AL37" i="40"/>
  <c r="AK31" i="40"/>
  <c r="AL38" i="40"/>
  <c r="AM24" i="40"/>
  <c r="AH24" i="40"/>
  <c r="AF29" i="40"/>
  <c r="AN31" i="40"/>
  <c r="AE24" i="40"/>
  <c r="AD31" i="40"/>
  <c r="AH29" i="40"/>
  <c r="AD37" i="40"/>
  <c r="AG28" i="40"/>
  <c r="AE23" i="40"/>
  <c r="AE37" i="40"/>
  <c r="AD36" i="40"/>
  <c r="AG38" i="40"/>
  <c r="AL36" i="40"/>
  <c r="AG29" i="40"/>
  <c r="D45" i="33"/>
  <c r="AL24" i="40"/>
  <c r="AF28" i="40"/>
  <c r="AC20" i="40"/>
  <c r="AL29" i="40"/>
  <c r="AM38" i="40"/>
  <c r="AH37" i="40"/>
  <c r="AF36" i="40"/>
  <c r="AF31" i="40"/>
  <c r="AN29" i="40"/>
  <c r="AH23" i="40"/>
  <c r="AH35" i="40"/>
  <c r="AE28" i="40"/>
  <c r="AL30" i="40"/>
  <c r="AM30" i="40"/>
  <c r="AL31" i="40"/>
  <c r="AE20" i="40"/>
  <c r="AK34" i="40"/>
  <c r="AH36" i="40"/>
  <c r="AN33" i="40"/>
  <c r="AD20" i="40"/>
  <c r="AJ20" i="40"/>
  <c r="AL20" i="40"/>
  <c r="AD30" i="40"/>
  <c r="AN25" i="40"/>
  <c r="AD25" i="40"/>
  <c r="AH33" i="40"/>
  <c r="AG27" i="40"/>
  <c r="AD21" i="40"/>
  <c r="AK20" i="40"/>
  <c r="AL35" i="40"/>
  <c r="AM32" i="40"/>
  <c r="AF32" i="40"/>
  <c r="AK26" i="40"/>
  <c r="AE22" i="40"/>
  <c r="AM18" i="40"/>
  <c r="AD18" i="40"/>
  <c r="AH18" i="40"/>
  <c r="AL18" i="40"/>
  <c r="AF18" i="40"/>
  <c r="AJ18" i="40"/>
  <c r="AC18" i="40"/>
  <c r="AK18" i="40"/>
  <c r="AE18" i="40"/>
  <c r="AN18" i="40"/>
  <c r="AG18" i="40"/>
  <c r="AI18" i="40"/>
  <c r="AH30" i="40"/>
  <c r="AL25" i="40"/>
  <c r="AG25" i="40"/>
  <c r="AM33" i="40"/>
  <c r="AL21" i="40"/>
  <c r="AG21" i="40"/>
  <c r="AE34" i="40"/>
  <c r="AE26" i="40"/>
  <c r="AH22" i="40"/>
  <c r="AK25" i="40"/>
  <c r="AF33" i="40"/>
  <c r="AM27" i="40"/>
  <c r="AD27" i="40"/>
  <c r="AE21" i="40"/>
  <c r="AK21" i="40"/>
  <c r="AD34" i="40"/>
  <c r="AF35" i="40"/>
  <c r="AK32" i="40"/>
  <c r="AE32" i="40"/>
  <c r="AH26" i="40"/>
  <c r="AG30" i="40"/>
  <c r="AE25" i="40"/>
  <c r="AG33" i="40"/>
  <c r="AH27" i="40"/>
  <c r="AM21" i="40"/>
  <c r="AF20" i="40"/>
  <c r="AG34" i="40"/>
  <c r="AF34" i="40"/>
  <c r="AE35" i="40"/>
  <c r="AD35" i="40"/>
  <c r="AN32" i="40"/>
  <c r="AH32" i="40"/>
  <c r="AM26" i="40"/>
  <c r="AD22" i="40"/>
  <c r="AK22" i="40"/>
  <c r="AK30" i="40"/>
  <c r="AF25" i="40"/>
  <c r="AN27" i="40"/>
  <c r="AN21" i="40"/>
  <c r="AN20" i="40"/>
  <c r="AI20" i="40"/>
  <c r="AF43" i="40"/>
  <c r="AM34" i="40"/>
  <c r="AN34" i="40"/>
  <c r="AK35" i="40"/>
  <c r="AF19" i="40"/>
  <c r="AJ19" i="40"/>
  <c r="AE19" i="40"/>
  <c r="AM19" i="40"/>
  <c r="AK19" i="40"/>
  <c r="AD19" i="40"/>
  <c r="AI19" i="40"/>
  <c r="AN19" i="40"/>
  <c r="AL19" i="40"/>
  <c r="AG19" i="40"/>
  <c r="AH19" i="40"/>
  <c r="AC19" i="40"/>
  <c r="AD32" i="40"/>
  <c r="AF26" i="40"/>
  <c r="AE30" i="40"/>
  <c r="AE44" i="40"/>
  <c r="AH44" i="40"/>
  <c r="AN44" i="40"/>
  <c r="AD44" i="40"/>
  <c r="AL33" i="40"/>
  <c r="AF27" i="40"/>
  <c r="AK27" i="40"/>
  <c r="AM20" i="40"/>
  <c r="AG20" i="40"/>
  <c r="AL34" i="40"/>
  <c r="AH34" i="40"/>
  <c r="AN35" i="40"/>
  <c r="AM35" i="40"/>
  <c r="AL32" i="40"/>
  <c r="AG26" i="40"/>
  <c r="AN26" i="40"/>
  <c r="AG22" i="40"/>
  <c r="AL22" i="40"/>
  <c r="AM25" i="40"/>
  <c r="AD33" i="40"/>
  <c r="AL27" i="40"/>
  <c r="AH21" i="40"/>
  <c r="AG32" i="40"/>
  <c r="AL26" i="40"/>
  <c r="AN22" i="40"/>
  <c r="AF22" i="40"/>
  <c r="AF30" i="40"/>
  <c r="AN30" i="40"/>
  <c r="AH25" i="40"/>
  <c r="AK33" i="40"/>
  <c r="AE33" i="40"/>
  <c r="AE27" i="40"/>
  <c r="AF21" i="40"/>
  <c r="AH20" i="40"/>
  <c r="AG35" i="40"/>
  <c r="AD26" i="40"/>
  <c r="AM22" i="40"/>
  <c r="C62" i="24"/>
  <c r="C63" i="24" s="1"/>
  <c r="C64" i="24" s="1"/>
  <c r="C65" i="24" s="1"/>
  <c r="C66" i="24" s="1"/>
  <c r="C44" i="28"/>
  <c r="J44" i="28" l="1"/>
  <c r="B45" i="28"/>
  <c r="AK43" i="40"/>
  <c r="AK44" i="40"/>
  <c r="AV19" i="40"/>
  <c r="P14" i="35" s="1"/>
  <c r="AL43" i="40"/>
  <c r="AE43" i="40"/>
  <c r="AU19" i="40"/>
  <c r="O14" i="35" s="1"/>
  <c r="AK45" i="40"/>
  <c r="AM43" i="40"/>
  <c r="AV18" i="40"/>
  <c r="AU18" i="40"/>
  <c r="O13" i="35" s="1"/>
  <c r="AU20" i="40"/>
  <c r="AV20" i="40"/>
  <c r="AM45" i="40"/>
  <c r="AH45" i="40"/>
  <c r="AL44" i="40"/>
  <c r="AG44" i="40"/>
  <c r="AN43" i="40"/>
  <c r="AM44" i="40"/>
  <c r="AE45" i="40"/>
  <c r="AD43" i="40"/>
  <c r="AF44" i="40"/>
  <c r="AL45" i="40"/>
  <c r="AE46" i="40"/>
  <c r="AD46" i="40"/>
  <c r="AG43" i="40"/>
  <c r="AM41" i="40"/>
  <c r="AH43" i="40"/>
  <c r="AN42" i="40"/>
  <c r="AG41" i="40"/>
  <c r="AL42" i="40"/>
  <c r="AH41" i="40"/>
  <c r="AH42" i="40"/>
  <c r="AF46" i="40"/>
  <c r="AF45" i="40"/>
  <c r="AG40" i="40"/>
  <c r="AE40" i="40"/>
  <c r="AM46" i="40"/>
  <c r="AD41" i="40"/>
  <c r="AG45" i="40"/>
  <c r="AD42" i="40"/>
  <c r="AF40" i="40"/>
  <c r="AM40" i="40"/>
  <c r="AK46" i="40"/>
  <c r="AE42" i="40"/>
  <c r="AM42" i="40"/>
  <c r="AD40" i="40"/>
  <c r="AN40" i="40"/>
  <c r="AH46" i="40"/>
  <c r="AE41" i="40"/>
  <c r="AK42" i="40"/>
  <c r="AG42" i="40"/>
  <c r="AK40" i="40"/>
  <c r="AL46" i="40"/>
  <c r="AN41" i="40"/>
  <c r="AK41" i="40"/>
  <c r="AN45" i="40"/>
  <c r="AD45" i="40"/>
  <c r="AL40" i="40"/>
  <c r="AL41" i="40"/>
  <c r="AF41" i="40"/>
  <c r="AF42" i="40"/>
  <c r="AH40" i="40"/>
  <c r="AG46" i="40"/>
  <c r="AN46" i="40"/>
  <c r="C45" i="28"/>
  <c r="J45" i="28" l="1"/>
  <c r="AY20" i="40"/>
  <c r="O15" i="35"/>
  <c r="AX20" i="40"/>
  <c r="AZ20" i="40" s="1"/>
  <c r="P15" i="35"/>
  <c r="AX18" i="40"/>
  <c r="AZ18" i="40" s="1"/>
  <c r="P13" i="35"/>
  <c r="B46" i="28"/>
  <c r="E45" i="28" s="1"/>
  <c r="AW19" i="40"/>
  <c r="AW20" i="40"/>
  <c r="AW18" i="40"/>
  <c r="AX19" i="40"/>
  <c r="AZ19" i="40" s="1"/>
  <c r="C46" i="28"/>
  <c r="J46" i="28" l="1"/>
  <c r="E46" i="28"/>
  <c r="E26" i="28"/>
  <c r="E27" i="28"/>
  <c r="E28" i="28"/>
  <c r="E29" i="28"/>
  <c r="E30" i="28"/>
  <c r="E31" i="28"/>
  <c r="K31" i="28" s="1"/>
  <c r="E32" i="28"/>
  <c r="E33" i="28"/>
  <c r="E34" i="28"/>
  <c r="E35" i="28"/>
  <c r="E36" i="28"/>
  <c r="E37" i="28"/>
  <c r="E38" i="28"/>
  <c r="E39" i="28"/>
  <c r="E40" i="28"/>
  <c r="E41" i="28"/>
  <c r="E42" i="28"/>
  <c r="E43" i="28"/>
  <c r="E44" i="28"/>
  <c r="B47" i="28"/>
  <c r="C47" i="28"/>
  <c r="J47" i="28" l="1"/>
  <c r="E47" i="28"/>
  <c r="L31" i="28"/>
  <c r="K17" i="35"/>
  <c r="B48" i="28"/>
  <c r="C48" i="28"/>
  <c r="J48" i="28" l="1"/>
  <c r="E48" i="28"/>
  <c r="B49" i="28"/>
  <c r="C49" i="28"/>
  <c r="J49" i="28" l="1"/>
  <c r="E49" i="28"/>
  <c r="B50" i="28"/>
  <c r="C50" i="28"/>
  <c r="C51" i="28" s="1"/>
  <c r="C52" i="28" s="1"/>
  <c r="C53" i="28" s="1"/>
  <c r="C54" i="28" s="1"/>
  <c r="C55" i="28" s="1"/>
  <c r="J50" i="28" l="1"/>
  <c r="E50" i="28"/>
  <c r="B51" i="28"/>
  <c r="J51" i="28" l="1"/>
  <c r="E51" i="28"/>
  <c r="B52" i="28"/>
  <c r="D16" i="24"/>
  <c r="D12" i="24"/>
  <c r="D6" i="24"/>
  <c r="J52" i="28" l="1"/>
  <c r="E52" i="28"/>
  <c r="B53" i="28"/>
  <c r="D4" i="25"/>
  <c r="D36" i="25"/>
  <c r="J53" i="28" l="1"/>
  <c r="E53" i="28"/>
  <c r="B54" i="28"/>
  <c r="B15" i="33"/>
  <c r="J54" i="28" l="1"/>
  <c r="E54" i="28"/>
  <c r="B55" i="28"/>
  <c r="F8" i="33"/>
  <c r="J55" i="28" l="1"/>
  <c r="J56" i="28" s="1"/>
  <c r="E55" i="28"/>
  <c r="E56" i="28" s="1"/>
  <c r="F15" i="33"/>
  <c r="H15" i="33" s="1"/>
  <c r="F16" i="33"/>
  <c r="G15" i="33"/>
  <c r="F43" i="33"/>
  <c r="F39" i="33"/>
  <c r="F40" i="33"/>
  <c r="F41" i="33"/>
  <c r="F44" i="33"/>
  <c r="F42" i="33"/>
  <c r="F17" i="33"/>
  <c r="F19" i="33"/>
  <c r="F18" i="33"/>
  <c r="F31" i="33"/>
  <c r="F38" i="33"/>
  <c r="F21" i="33"/>
  <c r="F32" i="33"/>
  <c r="F35" i="33"/>
  <c r="F22" i="33"/>
  <c r="F25" i="33"/>
  <c r="F34" i="33"/>
  <c r="F20" i="33"/>
  <c r="F23" i="33"/>
  <c r="F26" i="33"/>
  <c r="F27" i="33"/>
  <c r="F28" i="33"/>
  <c r="F30" i="33"/>
  <c r="F29" i="33"/>
  <c r="F36" i="33"/>
  <c r="F33" i="33"/>
  <c r="F37" i="33"/>
  <c r="F24" i="33"/>
  <c r="D35" i="25"/>
  <c r="J15" i="33" l="1"/>
  <c r="I15" i="33"/>
  <c r="K15" i="33" s="1"/>
  <c r="H29" i="33"/>
  <c r="H27" i="33"/>
  <c r="H25" i="33"/>
  <c r="H44" i="33"/>
  <c r="H31" i="33"/>
  <c r="H23" i="33"/>
  <c r="H18" i="33"/>
  <c r="H17" i="33"/>
  <c r="H40" i="33"/>
  <c r="H26" i="33"/>
  <c r="H16" i="33"/>
  <c r="H35" i="33"/>
  <c r="H19" i="33"/>
  <c r="H39" i="33"/>
  <c r="H33" i="33"/>
  <c r="H30" i="33"/>
  <c r="H32" i="33"/>
  <c r="H22" i="33"/>
  <c r="H20" i="33"/>
  <c r="H28" i="33"/>
  <c r="H34" i="33"/>
  <c r="H21" i="33"/>
  <c r="H43" i="33"/>
  <c r="H41" i="33"/>
  <c r="H24" i="33"/>
  <c r="H37" i="33"/>
  <c r="H36" i="33"/>
  <c r="H38" i="33"/>
  <c r="H42" i="33"/>
  <c r="I13" i="35" l="1"/>
  <c r="I14" i="35" s="1"/>
  <c r="I15" i="35" s="1"/>
  <c r="I16" i="35" s="1"/>
  <c r="I17" i="35" s="1"/>
  <c r="I18" i="35" s="1"/>
  <c r="I19" i="35" s="1"/>
  <c r="I20" i="35" s="1"/>
  <c r="I21" i="35" s="1"/>
  <c r="I22" i="35" s="1"/>
  <c r="I23" i="35" s="1"/>
  <c r="I24" i="35" s="1"/>
  <c r="I25" i="35" s="1"/>
  <c r="I26" i="35" s="1"/>
  <c r="I27" i="35" s="1"/>
  <c r="I28" i="35" s="1"/>
  <c r="I29" i="35" s="1"/>
  <c r="I30" i="35" s="1"/>
  <c r="I31" i="35" s="1"/>
  <c r="I32" i="35" s="1"/>
  <c r="I33" i="35" s="1"/>
  <c r="I34" i="35" s="1"/>
  <c r="I35" i="35" s="1"/>
  <c r="I36" i="35" s="1"/>
  <c r="I37" i="35" s="1"/>
  <c r="I38" i="35" s="1"/>
  <c r="I39" i="35" s="1"/>
  <c r="I40" i="35" s="1"/>
  <c r="I41" i="35" s="1"/>
  <c r="D34" i="25" l="1"/>
  <c r="F7" i="25" l="1"/>
  <c r="F8" i="25"/>
  <c r="C16" i="25" s="1"/>
  <c r="F6" i="25"/>
  <c r="C18" i="25"/>
  <c r="H4" i="26" s="1"/>
  <c r="F4" i="25"/>
  <c r="C17" i="25" l="1"/>
  <c r="G4" i="26" s="1"/>
  <c r="F9" i="25"/>
  <c r="F10" i="25" s="1"/>
  <c r="F12" i="25" s="1"/>
  <c r="E3" i="35" l="1"/>
  <c r="D29" i="25" l="1"/>
  <c r="D30" i="25" s="1"/>
  <c r="B8" i="33" l="1"/>
  <c r="B7" i="33"/>
  <c r="B6" i="33"/>
  <c r="B5" i="33"/>
  <c r="B4" i="33"/>
  <c r="O14" i="33"/>
  <c r="N14" i="33"/>
  <c r="G14" i="33"/>
  <c r="I14" i="33" s="1"/>
  <c r="F14" i="33"/>
  <c r="H14" i="33" s="1"/>
  <c r="G4" i="33"/>
  <c r="G5" i="33"/>
  <c r="F7" i="33"/>
  <c r="F6" i="33"/>
  <c r="F5" i="33"/>
  <c r="F4" i="33"/>
  <c r="L15" i="33" l="1"/>
  <c r="N15" i="33" s="1"/>
  <c r="E3" i="39" l="1"/>
  <c r="Q14" i="33"/>
  <c r="M12" i="26"/>
  <c r="E12" i="26"/>
  <c r="F11" i="35"/>
  <c r="A24" i="25" l="1"/>
  <c r="A25" i="25" s="1"/>
  <c r="A26" i="25" s="1"/>
  <c r="A27" i="25" s="1"/>
  <c r="A28" i="25" s="1"/>
  <c r="E27" i="24"/>
  <c r="E26" i="24"/>
  <c r="E24" i="25" l="1"/>
  <c r="F24" i="25"/>
  <c r="D21" i="41" l="1"/>
  <c r="D26" i="28"/>
  <c r="K26" i="28" s="1"/>
  <c r="K12" i="35" s="1"/>
  <c r="G24" i="25"/>
  <c r="H12" i="35"/>
  <c r="H13" i="35" s="1"/>
  <c r="H14" i="35" s="1"/>
  <c r="H15" i="35" s="1"/>
  <c r="H16" i="35" s="1"/>
  <c r="H17" i="35" s="1"/>
  <c r="H18" i="35" s="1"/>
  <c r="H19" i="35" s="1"/>
  <c r="H20" i="35" s="1"/>
  <c r="H21" i="35" s="1"/>
  <c r="H22" i="35" s="1"/>
  <c r="H23" i="35" s="1"/>
  <c r="H24" i="35" s="1"/>
  <c r="H25" i="35" s="1"/>
  <c r="H26" i="35" s="1"/>
  <c r="H27" i="35" s="1"/>
  <c r="H28" i="35" s="1"/>
  <c r="H29" i="35" s="1"/>
  <c r="H30" i="35" s="1"/>
  <c r="H31" i="35" s="1"/>
  <c r="H32" i="35" s="1"/>
  <c r="H33" i="35" s="1"/>
  <c r="H34" i="35" s="1"/>
  <c r="H35" i="35" s="1"/>
  <c r="H36" i="35" s="1"/>
  <c r="H37" i="35" s="1"/>
  <c r="H38" i="35" s="1"/>
  <c r="H39" i="35" s="1"/>
  <c r="H40" i="35" s="1"/>
  <c r="H41" i="35" s="1"/>
  <c r="C13" i="35"/>
  <c r="C14" i="35" s="1"/>
  <c r="C15" i="35" s="1"/>
  <c r="C16" i="35" s="1"/>
  <c r="C17" i="35" s="1"/>
  <c r="C18" i="35" s="1"/>
  <c r="C19" i="35" s="1"/>
  <c r="C20" i="35" s="1"/>
  <c r="C21" i="35" s="1"/>
  <c r="C22" i="35" s="1"/>
  <c r="C23" i="35" s="1"/>
  <c r="C24" i="35" s="1"/>
  <c r="C25" i="35" s="1"/>
  <c r="C26" i="35" s="1"/>
  <c r="C27" i="35" s="1"/>
  <c r="C28" i="35" s="1"/>
  <c r="C29" i="35" s="1"/>
  <c r="C30" i="35" s="1"/>
  <c r="C31" i="35" s="1"/>
  <c r="C32" i="35" s="1"/>
  <c r="C33" i="35" s="1"/>
  <c r="C34" i="35" s="1"/>
  <c r="C35" i="35" s="1"/>
  <c r="C36" i="35" s="1"/>
  <c r="C37" i="35" s="1"/>
  <c r="C38" i="35" s="1"/>
  <c r="C39" i="35" s="1"/>
  <c r="C40" i="35" s="1"/>
  <c r="C41" i="35" s="1"/>
  <c r="B12" i="35"/>
  <c r="E25" i="24"/>
  <c r="E24" i="24"/>
  <c r="R12" i="35" l="1"/>
  <c r="B13" i="35"/>
  <c r="D27" i="28"/>
  <c r="D22" i="41"/>
  <c r="I13" i="26"/>
  <c r="C16" i="33"/>
  <c r="C17" i="33" s="1"/>
  <c r="C18" i="33" s="1"/>
  <c r="C19" i="33" s="1"/>
  <c r="C20" i="33" s="1"/>
  <c r="C21" i="33" s="1"/>
  <c r="C22" i="33" s="1"/>
  <c r="C23" i="33" s="1"/>
  <c r="C24" i="33" s="1"/>
  <c r="C25" i="33" s="1"/>
  <c r="C26" i="33" s="1"/>
  <c r="C27" i="33" s="1"/>
  <c r="C28" i="33" s="1"/>
  <c r="C29" i="33" s="1"/>
  <c r="C30" i="33" s="1"/>
  <c r="C31" i="33" s="1"/>
  <c r="C32" i="33" s="1"/>
  <c r="C33" i="33" s="1"/>
  <c r="C34" i="33" s="1"/>
  <c r="C35" i="33" s="1"/>
  <c r="C36" i="33" s="1"/>
  <c r="C37" i="33" s="1"/>
  <c r="C38" i="33" s="1"/>
  <c r="C39" i="33" s="1"/>
  <c r="C40" i="33" s="1"/>
  <c r="C41" i="33" s="1"/>
  <c r="C42" i="33" s="1"/>
  <c r="C43" i="33" s="1"/>
  <c r="C44" i="33" s="1"/>
  <c r="B14" i="35" l="1"/>
  <c r="R13" i="35"/>
  <c r="D23" i="41"/>
  <c r="J21" i="41"/>
  <c r="L26" i="28"/>
  <c r="D28" i="28"/>
  <c r="B16" i="33"/>
  <c r="B15" i="35" l="1"/>
  <c r="R14" i="35"/>
  <c r="G16" i="33"/>
  <c r="J16" i="33" s="1"/>
  <c r="L16" i="33" s="1"/>
  <c r="N16" i="33" s="1"/>
  <c r="D29" i="28"/>
  <c r="K28" i="28"/>
  <c r="K14" i="35" s="1"/>
  <c r="D24" i="41"/>
  <c r="K27" i="28"/>
  <c r="K13" i="35" s="1"/>
  <c r="B17" i="33"/>
  <c r="B16" i="35" l="1"/>
  <c r="R15" i="35"/>
  <c r="G17" i="33"/>
  <c r="J17" i="33" s="1"/>
  <c r="L17" i="33" s="1"/>
  <c r="N17" i="33" s="1"/>
  <c r="I16" i="33"/>
  <c r="K16" i="33" s="1"/>
  <c r="M16" i="33" s="1"/>
  <c r="O16" i="33" s="1"/>
  <c r="P16" i="33" s="1"/>
  <c r="M13" i="35" s="1"/>
  <c r="H24" i="41"/>
  <c r="I24" i="41" s="1"/>
  <c r="L15" i="35" s="1"/>
  <c r="L28" i="28"/>
  <c r="D30" i="28"/>
  <c r="K29" i="28"/>
  <c r="K15" i="35" s="1"/>
  <c r="L27" i="28"/>
  <c r="D25" i="41"/>
  <c r="B18" i="33"/>
  <c r="B17" i="35" l="1"/>
  <c r="G18" i="33"/>
  <c r="J18" i="33" s="1"/>
  <c r="L18" i="33" s="1"/>
  <c r="N18" i="33" s="1"/>
  <c r="I17" i="33"/>
  <c r="K17" i="33" s="1"/>
  <c r="M17" i="33" s="1"/>
  <c r="O17" i="33" s="1"/>
  <c r="P17" i="33" s="1"/>
  <c r="M14" i="35" s="1"/>
  <c r="H25" i="41"/>
  <c r="I25" i="41" s="1"/>
  <c r="L16" i="35" s="1"/>
  <c r="D31" i="28"/>
  <c r="K30" i="28"/>
  <c r="K16" i="35" s="1"/>
  <c r="L29" i="28"/>
  <c r="M15" i="33"/>
  <c r="O15" i="33" s="1"/>
  <c r="P15" i="33" s="1"/>
  <c r="D26" i="41"/>
  <c r="B19" i="33"/>
  <c r="B18" i="35" l="1"/>
  <c r="D21" i="40"/>
  <c r="I18" i="33"/>
  <c r="K18" i="33" s="1"/>
  <c r="M18" i="33" s="1"/>
  <c r="O18" i="33" s="1"/>
  <c r="P18" i="33" s="1"/>
  <c r="M15" i="35" s="1"/>
  <c r="H26" i="41"/>
  <c r="I26" i="41" s="1"/>
  <c r="L17" i="35" s="1"/>
  <c r="D32" i="28"/>
  <c r="L30" i="28"/>
  <c r="D27" i="41"/>
  <c r="B20" i="33"/>
  <c r="B19" i="35" l="1"/>
  <c r="D22" i="40"/>
  <c r="W21" i="40"/>
  <c r="AI21" i="40" s="1"/>
  <c r="AU21" i="40" s="1"/>
  <c r="Q21" i="40"/>
  <c r="AC21" i="40" s="1"/>
  <c r="F17" i="56"/>
  <c r="X21" i="40"/>
  <c r="AJ21" i="40" s="1"/>
  <c r="AV21" i="40" s="1"/>
  <c r="G17" i="56"/>
  <c r="G19" i="33"/>
  <c r="J19" i="33" s="1"/>
  <c r="L19" i="33" s="1"/>
  <c r="N19" i="33" s="1"/>
  <c r="H27" i="41"/>
  <c r="I27" i="41" s="1"/>
  <c r="L18" i="35" s="1"/>
  <c r="D33" i="28"/>
  <c r="K32" i="28"/>
  <c r="K18" i="35" s="1"/>
  <c r="D28" i="41"/>
  <c r="B21" i="33"/>
  <c r="B20" i="35" l="1"/>
  <c r="I19" i="33"/>
  <c r="K19" i="33" s="1"/>
  <c r="M19" i="33" s="1"/>
  <c r="O19" i="33" s="1"/>
  <c r="P19" i="33" s="1"/>
  <c r="M16" i="35" s="1"/>
  <c r="AX21" i="40"/>
  <c r="P16" i="35"/>
  <c r="H17" i="56"/>
  <c r="J17" i="56" s="1"/>
  <c r="AW21" i="40"/>
  <c r="AY21" i="40"/>
  <c r="O16" i="35"/>
  <c r="W22" i="40"/>
  <c r="AI22" i="40" s="1"/>
  <c r="X22" i="40"/>
  <c r="AJ22" i="40" s="1"/>
  <c r="AV22" i="40" s="1"/>
  <c r="F18" i="56"/>
  <c r="H18" i="56" s="1"/>
  <c r="J18" i="56" s="1"/>
  <c r="K18" i="56" s="1"/>
  <c r="L18" i="56" s="1"/>
  <c r="G18" i="56"/>
  <c r="I18" i="56" s="1"/>
  <c r="Q22" i="40"/>
  <c r="AC22" i="40" s="1"/>
  <c r="I17" i="56"/>
  <c r="D23" i="40"/>
  <c r="G20" i="33"/>
  <c r="J20" i="33" s="1"/>
  <c r="L20" i="33" s="1"/>
  <c r="N20" i="33" s="1"/>
  <c r="H28" i="41"/>
  <c r="I28" i="41" s="1"/>
  <c r="L19" i="35" s="1"/>
  <c r="L32" i="28"/>
  <c r="D34" i="28"/>
  <c r="K33" i="28"/>
  <c r="K19" i="35" s="1"/>
  <c r="D29" i="41"/>
  <c r="B22" i="33"/>
  <c r="AZ21" i="40" l="1"/>
  <c r="B21" i="35"/>
  <c r="D24" i="40"/>
  <c r="M18" i="56"/>
  <c r="N17" i="35"/>
  <c r="AX22" i="40"/>
  <c r="P17" i="35"/>
  <c r="R17" i="35" s="1"/>
  <c r="AU22" i="40"/>
  <c r="R16" i="35"/>
  <c r="X23" i="40"/>
  <c r="AJ23" i="40" s="1"/>
  <c r="AV23" i="40" s="1"/>
  <c r="W23" i="40"/>
  <c r="AI23" i="40" s="1"/>
  <c r="Q23" i="40"/>
  <c r="AC23" i="40" s="1"/>
  <c r="F19" i="56"/>
  <c r="H19" i="56" s="1"/>
  <c r="J19" i="56" s="1"/>
  <c r="K19" i="56" s="1"/>
  <c r="L19" i="56" s="1"/>
  <c r="G19" i="56"/>
  <c r="G21" i="33"/>
  <c r="J21" i="33" s="1"/>
  <c r="L21" i="33" s="1"/>
  <c r="N21" i="33" s="1"/>
  <c r="I20" i="33"/>
  <c r="K20" i="33" s="1"/>
  <c r="M20" i="33" s="1"/>
  <c r="O20" i="33" s="1"/>
  <c r="P20" i="33" s="1"/>
  <c r="M17" i="35" s="1"/>
  <c r="H29" i="41"/>
  <c r="I29" i="41" s="1"/>
  <c r="L20" i="35" s="1"/>
  <c r="L33" i="28"/>
  <c r="D35" i="28"/>
  <c r="K34" i="28"/>
  <c r="K20" i="35" s="1"/>
  <c r="D30" i="41"/>
  <c r="B23" i="33"/>
  <c r="AU23" i="40" l="1"/>
  <c r="AW23" i="40" s="1"/>
  <c r="B22" i="35"/>
  <c r="AW22" i="40"/>
  <c r="AY22" i="40"/>
  <c r="AZ22" i="40" s="1"/>
  <c r="O17" i="35"/>
  <c r="I19" i="56"/>
  <c r="I21" i="33"/>
  <c r="K21" i="33" s="1"/>
  <c r="M21" i="33" s="1"/>
  <c r="O21" i="33" s="1"/>
  <c r="P21" i="33" s="1"/>
  <c r="M18" i="35" s="1"/>
  <c r="N18" i="35"/>
  <c r="M19" i="56"/>
  <c r="X24" i="40"/>
  <c r="AJ24" i="40" s="1"/>
  <c r="AV24" i="40" s="1"/>
  <c r="W24" i="40"/>
  <c r="AI24" i="40" s="1"/>
  <c r="F20" i="56"/>
  <c r="H20" i="56" s="1"/>
  <c r="J20" i="56" s="1"/>
  <c r="K20" i="56" s="1"/>
  <c r="L20" i="56" s="1"/>
  <c r="G20" i="56"/>
  <c r="I20" i="56" s="1"/>
  <c r="Q24" i="40"/>
  <c r="AC24" i="40" s="1"/>
  <c r="G22" i="33"/>
  <c r="J22" i="33" s="1"/>
  <c r="L22" i="33" s="1"/>
  <c r="N22" i="33" s="1"/>
  <c r="AY23" i="40"/>
  <c r="O18" i="35"/>
  <c r="P18" i="35"/>
  <c r="R18" i="35" s="1"/>
  <c r="AX23" i="40"/>
  <c r="AZ23" i="40" s="1"/>
  <c r="K17" i="56"/>
  <c r="D25" i="40"/>
  <c r="H30" i="41"/>
  <c r="I30" i="41" s="1"/>
  <c r="L21" i="35" s="1"/>
  <c r="L34" i="28"/>
  <c r="D36" i="28"/>
  <c r="K35" i="28"/>
  <c r="K21" i="35" s="1"/>
  <c r="D31" i="41"/>
  <c r="B24" i="33"/>
  <c r="AU24" i="40" l="1"/>
  <c r="B23" i="35"/>
  <c r="I22" i="33"/>
  <c r="K22" i="33" s="1"/>
  <c r="M22" i="33" s="1"/>
  <c r="O22" i="33" s="1"/>
  <c r="P22" i="33" s="1"/>
  <c r="M19" i="35" s="1"/>
  <c r="P19" i="35"/>
  <c r="AX24" i="40"/>
  <c r="AY24" i="40"/>
  <c r="AW24" i="40"/>
  <c r="O19" i="35"/>
  <c r="X25" i="40"/>
  <c r="AJ25" i="40" s="1"/>
  <c r="AV25" i="40" s="1"/>
  <c r="F21" i="56"/>
  <c r="G21" i="56"/>
  <c r="W25" i="40"/>
  <c r="AI25" i="40" s="1"/>
  <c r="Q25" i="40"/>
  <c r="AC25" i="40" s="1"/>
  <c r="L17" i="56"/>
  <c r="G23" i="33"/>
  <c r="J23" i="33" s="1"/>
  <c r="L23" i="33" s="1"/>
  <c r="N23" i="33" s="1"/>
  <c r="D26" i="40"/>
  <c r="M20" i="56"/>
  <c r="N19" i="35"/>
  <c r="H31" i="41"/>
  <c r="I31" i="41" s="1"/>
  <c r="L22" i="35" s="1"/>
  <c r="L35" i="28"/>
  <c r="D37" i="28"/>
  <c r="K36" i="28"/>
  <c r="K22" i="35" s="1"/>
  <c r="D32" i="41"/>
  <c r="B25" i="33"/>
  <c r="I23" i="33" l="1"/>
  <c r="K23" i="33" s="1"/>
  <c r="M23" i="33" s="1"/>
  <c r="O23" i="33" s="1"/>
  <c r="P23" i="33" s="1"/>
  <c r="M20" i="35" s="1"/>
  <c r="AU25" i="40"/>
  <c r="AY25" i="40" s="1"/>
  <c r="AZ24" i="40"/>
  <c r="B24" i="35"/>
  <c r="X26" i="40"/>
  <c r="AJ26" i="40" s="1"/>
  <c r="AV26" i="40" s="1"/>
  <c r="F22" i="56"/>
  <c r="H22" i="56" s="1"/>
  <c r="J22" i="56" s="1"/>
  <c r="K22" i="56" s="1"/>
  <c r="L22" i="56" s="1"/>
  <c r="W26" i="40"/>
  <c r="AI26" i="40" s="1"/>
  <c r="AU26" i="40" s="1"/>
  <c r="G22" i="56"/>
  <c r="I22" i="56" s="1"/>
  <c r="Q26" i="40"/>
  <c r="AC26" i="40" s="1"/>
  <c r="G24" i="33"/>
  <c r="J24" i="33" s="1"/>
  <c r="L24" i="33" s="1"/>
  <c r="N24" i="33" s="1"/>
  <c r="I21" i="56"/>
  <c r="R19" i="35"/>
  <c r="H21" i="56"/>
  <c r="AX25" i="40"/>
  <c r="P20" i="35"/>
  <c r="R20" i="35" s="1"/>
  <c r="I24" i="33"/>
  <c r="K24" i="33" s="1"/>
  <c r="M24" i="33" s="1"/>
  <c r="O24" i="33" s="1"/>
  <c r="D27" i="40"/>
  <c r="N16" i="35"/>
  <c r="M17" i="56"/>
  <c r="H32" i="41"/>
  <c r="I32" i="41" s="1"/>
  <c r="L23" i="35" s="1"/>
  <c r="L36" i="28"/>
  <c r="D38" i="28"/>
  <c r="K37" i="28"/>
  <c r="K23" i="35" s="1"/>
  <c r="D33" i="41"/>
  <c r="B26" i="33"/>
  <c r="AW25" i="40" l="1"/>
  <c r="AZ25" i="40"/>
  <c r="O20" i="35"/>
  <c r="B25" i="35"/>
  <c r="P24" i="33"/>
  <c r="M21" i="35" s="1"/>
  <c r="J21" i="56"/>
  <c r="W27" i="40"/>
  <c r="AI27" i="40" s="1"/>
  <c r="X27" i="40"/>
  <c r="AJ27" i="40" s="1"/>
  <c r="AV27" i="40" s="1"/>
  <c r="G23" i="56"/>
  <c r="F23" i="56"/>
  <c r="Q27" i="40"/>
  <c r="AC27" i="40" s="1"/>
  <c r="G25" i="33"/>
  <c r="J25" i="33" s="1"/>
  <c r="L25" i="33" s="1"/>
  <c r="N25" i="33" s="1"/>
  <c r="AW26" i="40"/>
  <c r="AY26" i="40"/>
  <c r="O21" i="35"/>
  <c r="N21" i="35"/>
  <c r="M22" i="56"/>
  <c r="P21" i="35"/>
  <c r="AX26" i="40"/>
  <c r="D28" i="40"/>
  <c r="H33" i="41"/>
  <c r="I33" i="41" s="1"/>
  <c r="L24" i="35" s="1"/>
  <c r="L37" i="28"/>
  <c r="D39" i="28"/>
  <c r="K38" i="28"/>
  <c r="K24" i="35" s="1"/>
  <c r="D34" i="41"/>
  <c r="B27" i="33"/>
  <c r="B26" i="35" l="1"/>
  <c r="AZ26" i="40"/>
  <c r="I25" i="33"/>
  <c r="K25" i="33" s="1"/>
  <c r="M25" i="33" s="1"/>
  <c r="O25" i="33" s="1"/>
  <c r="P25" i="33" s="1"/>
  <c r="M22" i="35" s="1"/>
  <c r="H23" i="56"/>
  <c r="I23" i="56"/>
  <c r="P22" i="35"/>
  <c r="R22" i="35" s="1"/>
  <c r="AX27" i="40"/>
  <c r="AU27" i="40"/>
  <c r="D29" i="40"/>
  <c r="G26" i="33"/>
  <c r="J26" i="33" s="1"/>
  <c r="L26" i="33" s="1"/>
  <c r="N26" i="33" s="1"/>
  <c r="K21" i="56"/>
  <c r="L21" i="56" s="1"/>
  <c r="W28" i="40"/>
  <c r="AI28" i="40" s="1"/>
  <c r="X28" i="40"/>
  <c r="AJ28" i="40" s="1"/>
  <c r="AV28" i="40" s="1"/>
  <c r="G24" i="56"/>
  <c r="I24" i="56" s="1"/>
  <c r="F24" i="56"/>
  <c r="H24" i="56" s="1"/>
  <c r="J24" i="56" s="1"/>
  <c r="K24" i="56" s="1"/>
  <c r="L24" i="56" s="1"/>
  <c r="Q28" i="40"/>
  <c r="AC28" i="40" s="1"/>
  <c r="R21" i="35"/>
  <c r="H34" i="41"/>
  <c r="I34" i="41" s="1"/>
  <c r="L25" i="35" s="1"/>
  <c r="L38" i="28"/>
  <c r="D40" i="28"/>
  <c r="K39" i="28"/>
  <c r="K25" i="35" s="1"/>
  <c r="D35" i="41"/>
  <c r="B28" i="33"/>
  <c r="AU28" i="40" l="1"/>
  <c r="I26" i="33"/>
  <c r="K26" i="33" s="1"/>
  <c r="M26" i="33" s="1"/>
  <c r="O26" i="33" s="1"/>
  <c r="B27" i="35"/>
  <c r="AW27" i="40"/>
  <c r="AY27" i="40"/>
  <c r="AZ27" i="40" s="1"/>
  <c r="O22" i="35"/>
  <c r="P23" i="35"/>
  <c r="AX28" i="40"/>
  <c r="M21" i="56"/>
  <c r="N20" i="35"/>
  <c r="D30" i="40"/>
  <c r="P26" i="33"/>
  <c r="M23" i="35" s="1"/>
  <c r="AY28" i="40"/>
  <c r="O23" i="35"/>
  <c r="AW28" i="40"/>
  <c r="W29" i="40"/>
  <c r="AI29" i="40" s="1"/>
  <c r="G25" i="56"/>
  <c r="F25" i="56"/>
  <c r="H25" i="56" s="1"/>
  <c r="J25" i="56" s="1"/>
  <c r="K25" i="56" s="1"/>
  <c r="L25" i="56" s="1"/>
  <c r="Q29" i="40"/>
  <c r="AC29" i="40" s="1"/>
  <c r="X29" i="40"/>
  <c r="AJ29" i="40" s="1"/>
  <c r="AV29" i="40" s="1"/>
  <c r="M24" i="56"/>
  <c r="N23" i="35"/>
  <c r="G27" i="33"/>
  <c r="J23" i="56"/>
  <c r="H35" i="41"/>
  <c r="I35" i="41" s="1"/>
  <c r="L26" i="35" s="1"/>
  <c r="L39" i="28"/>
  <c r="D41" i="28"/>
  <c r="K40" i="28"/>
  <c r="K26" i="35" s="1"/>
  <c r="D36" i="41"/>
  <c r="B29" i="33"/>
  <c r="B28" i="35" l="1"/>
  <c r="AU29" i="40"/>
  <c r="O24" i="35" s="1"/>
  <c r="AZ28" i="40"/>
  <c r="J27" i="33"/>
  <c r="L27" i="33" s="1"/>
  <c r="N27" i="33" s="1"/>
  <c r="I27" i="33"/>
  <c r="K27" i="33" s="1"/>
  <c r="M27" i="33" s="1"/>
  <c r="O27" i="33" s="1"/>
  <c r="AW29" i="40"/>
  <c r="AY29" i="40"/>
  <c r="K23" i="56"/>
  <c r="AX29" i="40"/>
  <c r="P24" i="35"/>
  <c r="R24" i="35" s="1"/>
  <c r="R23" i="35"/>
  <c r="X30" i="40"/>
  <c r="AJ30" i="40" s="1"/>
  <c r="AV30" i="40" s="1"/>
  <c r="F26" i="56"/>
  <c r="H26" i="56" s="1"/>
  <c r="J26" i="56" s="1"/>
  <c r="K26" i="56" s="1"/>
  <c r="L26" i="56" s="1"/>
  <c r="G26" i="56"/>
  <c r="I26" i="56" s="1"/>
  <c r="W30" i="40"/>
  <c r="AI30" i="40" s="1"/>
  <c r="Q30" i="40"/>
  <c r="AC30" i="40" s="1"/>
  <c r="D31" i="40"/>
  <c r="G28" i="33"/>
  <c r="J28" i="33" s="1"/>
  <c r="L28" i="33" s="1"/>
  <c r="N28" i="33" s="1"/>
  <c r="M25" i="56"/>
  <c r="N24" i="35"/>
  <c r="I25" i="56"/>
  <c r="H36" i="41"/>
  <c r="I36" i="41" s="1"/>
  <c r="L27" i="35" s="1"/>
  <c r="D42" i="28"/>
  <c r="K41" i="28"/>
  <c r="K27" i="35" s="1"/>
  <c r="L40" i="28"/>
  <c r="D37" i="41"/>
  <c r="B30" i="33"/>
  <c r="AZ29" i="40" l="1"/>
  <c r="B29" i="35"/>
  <c r="AU30" i="40"/>
  <c r="AY30" i="40" s="1"/>
  <c r="I28" i="33"/>
  <c r="K28" i="33" s="1"/>
  <c r="M28" i="33" s="1"/>
  <c r="O28" i="33" s="1"/>
  <c r="P28" i="33" s="1"/>
  <c r="M25" i="35" s="1"/>
  <c r="N25" i="35"/>
  <c r="M26" i="56"/>
  <c r="P25" i="35"/>
  <c r="R25" i="35" s="1"/>
  <c r="AX30" i="40"/>
  <c r="D32" i="40"/>
  <c r="W31" i="40"/>
  <c r="AI31" i="40" s="1"/>
  <c r="F27" i="56"/>
  <c r="H27" i="56" s="1"/>
  <c r="J27" i="56" s="1"/>
  <c r="K27" i="56" s="1"/>
  <c r="L27" i="56" s="1"/>
  <c r="X31" i="40"/>
  <c r="AJ31" i="40" s="1"/>
  <c r="AV31" i="40" s="1"/>
  <c r="G27" i="56"/>
  <c r="I27" i="56" s="1"/>
  <c r="Q31" i="40"/>
  <c r="AC31" i="40" s="1"/>
  <c r="G29" i="33"/>
  <c r="L23" i="56"/>
  <c r="P27" i="33"/>
  <c r="M24" i="35" s="1"/>
  <c r="H37" i="41"/>
  <c r="I37" i="41" s="1"/>
  <c r="L28" i="35" s="1"/>
  <c r="L41" i="28"/>
  <c r="D43" i="28"/>
  <c r="K42" i="28"/>
  <c r="K28" i="35" s="1"/>
  <c r="D38" i="41"/>
  <c r="B31" i="33"/>
  <c r="O25" i="35" l="1"/>
  <c r="AU31" i="40"/>
  <c r="AW30" i="40"/>
  <c r="B30" i="35"/>
  <c r="AZ30" i="40"/>
  <c r="AW31" i="40"/>
  <c r="AY31" i="40"/>
  <c r="O26" i="35"/>
  <c r="Q32" i="40"/>
  <c r="AC32" i="40" s="1"/>
  <c r="X32" i="40"/>
  <c r="AJ32" i="40" s="1"/>
  <c r="AV32" i="40" s="1"/>
  <c r="F28" i="56"/>
  <c r="H28" i="56" s="1"/>
  <c r="J28" i="56" s="1"/>
  <c r="G28" i="56"/>
  <c r="I28" i="56" s="1"/>
  <c r="W32" i="40"/>
  <c r="AI32" i="40" s="1"/>
  <c r="AU32" i="40" s="1"/>
  <c r="M27" i="56"/>
  <c r="N26" i="35"/>
  <c r="N22" i="35"/>
  <c r="M23" i="56"/>
  <c r="G30" i="33"/>
  <c r="J30" i="33" s="1"/>
  <c r="L30" i="33" s="1"/>
  <c r="N30" i="33" s="1"/>
  <c r="I29" i="33"/>
  <c r="K29" i="33" s="1"/>
  <c r="M29" i="33" s="1"/>
  <c r="O29" i="33" s="1"/>
  <c r="J29" i="33"/>
  <c r="L29" i="33" s="1"/>
  <c r="N29" i="33" s="1"/>
  <c r="P29" i="33" s="1"/>
  <c r="M26" i="35" s="1"/>
  <c r="D33" i="40"/>
  <c r="AX31" i="40"/>
  <c r="P26" i="35"/>
  <c r="R26" i="35" s="1"/>
  <c r="H38" i="41"/>
  <c r="I38" i="41" s="1"/>
  <c r="L29" i="35" s="1"/>
  <c r="L42" i="28"/>
  <c r="D44" i="28"/>
  <c r="K43" i="28"/>
  <c r="K29" i="35" s="1"/>
  <c r="D39" i="41"/>
  <c r="B32" i="33"/>
  <c r="AZ31" i="40" l="1"/>
  <c r="I30" i="33"/>
  <c r="K30" i="33" s="1"/>
  <c r="M30" i="33" s="1"/>
  <c r="O30" i="33" s="1"/>
  <c r="B31" i="35"/>
  <c r="P30" i="33"/>
  <c r="M27" i="35" s="1"/>
  <c r="K28" i="56"/>
  <c r="L28" i="56"/>
  <c r="W33" i="40"/>
  <c r="AI33" i="40" s="1"/>
  <c r="X33" i="40"/>
  <c r="AJ33" i="40" s="1"/>
  <c r="AV33" i="40" s="1"/>
  <c r="F29" i="56"/>
  <c r="H29" i="56" s="1"/>
  <c r="J29" i="56" s="1"/>
  <c r="G29" i="56"/>
  <c r="I29" i="56" s="1"/>
  <c r="Q33" i="40"/>
  <c r="AC33" i="40" s="1"/>
  <c r="P27" i="35"/>
  <c r="R27" i="35" s="1"/>
  <c r="AX32" i="40"/>
  <c r="D34" i="40"/>
  <c r="AY32" i="40"/>
  <c r="AW32" i="40"/>
  <c r="O27" i="35"/>
  <c r="G31" i="33"/>
  <c r="J31" i="33" s="1"/>
  <c r="L31" i="33" s="1"/>
  <c r="N31" i="33" s="1"/>
  <c r="H39" i="41"/>
  <c r="I39" i="41" s="1"/>
  <c r="L30" i="35" s="1"/>
  <c r="L43" i="28"/>
  <c r="D45" i="28"/>
  <c r="K44" i="28"/>
  <c r="K30" i="35" s="1"/>
  <c r="D40" i="41"/>
  <c r="B33" i="33"/>
  <c r="B32" i="35" l="1"/>
  <c r="AZ32" i="40"/>
  <c r="K29" i="56"/>
  <c r="L29" i="56" s="1"/>
  <c r="P28" i="35"/>
  <c r="R28" i="35" s="1"/>
  <c r="AX33" i="40"/>
  <c r="AU33" i="40"/>
  <c r="M28" i="56"/>
  <c r="N27" i="35"/>
  <c r="Q34" i="40"/>
  <c r="AC34" i="40" s="1"/>
  <c r="X34" i="40"/>
  <c r="AJ34" i="40" s="1"/>
  <c r="AV34" i="40" s="1"/>
  <c r="W34" i="40"/>
  <c r="AI34" i="40" s="1"/>
  <c r="G30" i="56"/>
  <c r="I30" i="56" s="1"/>
  <c r="F30" i="56"/>
  <c r="H30" i="56" s="1"/>
  <c r="J30" i="56" s="1"/>
  <c r="K30" i="56" s="1"/>
  <c r="L30" i="56" s="1"/>
  <c r="D35" i="40"/>
  <c r="G32" i="33"/>
  <c r="J32" i="33" s="1"/>
  <c r="L32" i="33" s="1"/>
  <c r="N32" i="33" s="1"/>
  <c r="I31" i="33"/>
  <c r="K31" i="33" s="1"/>
  <c r="M31" i="33" s="1"/>
  <c r="O31" i="33" s="1"/>
  <c r="P31" i="33" s="1"/>
  <c r="M28" i="35" s="1"/>
  <c r="H40" i="41"/>
  <c r="I40" i="41" s="1"/>
  <c r="L31" i="35" s="1"/>
  <c r="L44" i="28"/>
  <c r="D46" i="28"/>
  <c r="K45" i="28"/>
  <c r="K31" i="35" s="1"/>
  <c r="D41" i="41"/>
  <c r="B34" i="33"/>
  <c r="B33" i="35" l="1"/>
  <c r="I32" i="33"/>
  <c r="K32" i="33" s="1"/>
  <c r="M32" i="33" s="1"/>
  <c r="O32" i="33" s="1"/>
  <c r="P32" i="33" s="1"/>
  <c r="M29" i="35" s="1"/>
  <c r="AU34" i="40"/>
  <c r="AY34" i="40" s="1"/>
  <c r="M29" i="56"/>
  <c r="N28" i="35"/>
  <c r="G33" i="33"/>
  <c r="J33" i="33" s="1"/>
  <c r="L33" i="33" s="1"/>
  <c r="N33" i="33" s="1"/>
  <c r="W35" i="40"/>
  <c r="AI35" i="40" s="1"/>
  <c r="X35" i="40"/>
  <c r="AJ35" i="40" s="1"/>
  <c r="AV35" i="40" s="1"/>
  <c r="G31" i="56"/>
  <c r="I31" i="56" s="1"/>
  <c r="F31" i="56"/>
  <c r="H31" i="56" s="1"/>
  <c r="J31" i="56" s="1"/>
  <c r="K31" i="56" s="1"/>
  <c r="L31" i="56" s="1"/>
  <c r="Q35" i="40"/>
  <c r="AC35" i="40" s="1"/>
  <c r="N29" i="35"/>
  <c r="M30" i="56"/>
  <c r="I33" i="33"/>
  <c r="K33" i="33" s="1"/>
  <c r="M33" i="33" s="1"/>
  <c r="O33" i="33" s="1"/>
  <c r="P33" i="33" s="1"/>
  <c r="M30" i="35" s="1"/>
  <c r="O28" i="35"/>
  <c r="AW33" i="40"/>
  <c r="AY33" i="40"/>
  <c r="AZ33" i="40" s="1"/>
  <c r="P29" i="35"/>
  <c r="R29" i="35" s="1"/>
  <c r="AX34" i="40"/>
  <c r="D36" i="40"/>
  <c r="H41" i="41"/>
  <c r="I41" i="41" s="1"/>
  <c r="L32" i="35" s="1"/>
  <c r="D47" i="28"/>
  <c r="K46" i="28"/>
  <c r="K32" i="35" s="1"/>
  <c r="L45" i="28"/>
  <c r="D42" i="41"/>
  <c r="B35" i="33"/>
  <c r="AZ34" i="40" l="1"/>
  <c r="O29" i="35"/>
  <c r="B34" i="35"/>
  <c r="AW34" i="40"/>
  <c r="AU35" i="40"/>
  <c r="AW35" i="40" s="1"/>
  <c r="P30" i="35"/>
  <c r="R30" i="35" s="1"/>
  <c r="AX35" i="40"/>
  <c r="M31" i="56"/>
  <c r="N30" i="35"/>
  <c r="X36" i="40"/>
  <c r="AJ36" i="40" s="1"/>
  <c r="AV36" i="40" s="1"/>
  <c r="G32" i="56"/>
  <c r="I32" i="56" s="1"/>
  <c r="Q36" i="40"/>
  <c r="AC36" i="40" s="1"/>
  <c r="F32" i="56"/>
  <c r="H32" i="56" s="1"/>
  <c r="J32" i="56" s="1"/>
  <c r="K32" i="56" s="1"/>
  <c r="L32" i="56" s="1"/>
  <c r="W36" i="40"/>
  <c r="AI36" i="40" s="1"/>
  <c r="G34" i="33"/>
  <c r="J34" i="33" s="1"/>
  <c r="L34" i="33" s="1"/>
  <c r="N34" i="33" s="1"/>
  <c r="D37" i="40"/>
  <c r="H42" i="41"/>
  <c r="I42" i="41" s="1"/>
  <c r="L33" i="35" s="1"/>
  <c r="L46" i="28"/>
  <c r="D48" i="28"/>
  <c r="K47" i="28"/>
  <c r="K33" i="35" s="1"/>
  <c r="D43" i="41"/>
  <c r="B36" i="33"/>
  <c r="O30" i="35" l="1"/>
  <c r="B35" i="35"/>
  <c r="AU36" i="40"/>
  <c r="O31" i="35" s="1"/>
  <c r="AY35" i="40"/>
  <c r="AZ35" i="40"/>
  <c r="I34" i="33"/>
  <c r="K34" i="33" s="1"/>
  <c r="M34" i="33" s="1"/>
  <c r="O34" i="33" s="1"/>
  <c r="P34" i="33" s="1"/>
  <c r="M31" i="35" s="1"/>
  <c r="AW36" i="40"/>
  <c r="N31" i="35"/>
  <c r="M32" i="56"/>
  <c r="W37" i="40"/>
  <c r="AI37" i="40" s="1"/>
  <c r="G33" i="56"/>
  <c r="I33" i="56" s="1"/>
  <c r="Q37" i="40"/>
  <c r="AC37" i="40" s="1"/>
  <c r="F33" i="56"/>
  <c r="H33" i="56" s="1"/>
  <c r="J33" i="56" s="1"/>
  <c r="K33" i="56" s="1"/>
  <c r="L33" i="56" s="1"/>
  <c r="X37" i="40"/>
  <c r="AJ37" i="40" s="1"/>
  <c r="AV37" i="40" s="1"/>
  <c r="G35" i="33"/>
  <c r="J35" i="33" s="1"/>
  <c r="L35" i="33" s="1"/>
  <c r="N35" i="33" s="1"/>
  <c r="D38" i="40"/>
  <c r="P31" i="35"/>
  <c r="R31" i="35" s="1"/>
  <c r="AX36" i="40"/>
  <c r="H43" i="41"/>
  <c r="I43" i="41" s="1"/>
  <c r="L34" i="35" s="1"/>
  <c r="L47" i="28"/>
  <c r="D49" i="28"/>
  <c r="K48" i="28"/>
  <c r="K34" i="35" s="1"/>
  <c r="D44" i="41"/>
  <c r="B37" i="33"/>
  <c r="AU37" i="40" l="1"/>
  <c r="AY36" i="40"/>
  <c r="AZ36" i="40" s="1"/>
  <c r="B36" i="35"/>
  <c r="AW37" i="40"/>
  <c r="AY37" i="40"/>
  <c r="O32" i="35"/>
  <c r="G36" i="33"/>
  <c r="J36" i="33" s="1"/>
  <c r="L36" i="33" s="1"/>
  <c r="N36" i="33" s="1"/>
  <c r="I35" i="33"/>
  <c r="K35" i="33" s="1"/>
  <c r="M35" i="33" s="1"/>
  <c r="O35" i="33" s="1"/>
  <c r="P35" i="33" s="1"/>
  <c r="M32" i="35" s="1"/>
  <c r="P32" i="35"/>
  <c r="R32" i="35" s="1"/>
  <c r="AX37" i="40"/>
  <c r="W38" i="40"/>
  <c r="AI38" i="40" s="1"/>
  <c r="Q38" i="40"/>
  <c r="AC38" i="40" s="1"/>
  <c r="X38" i="40"/>
  <c r="AJ38" i="40" s="1"/>
  <c r="AV38" i="40" s="1"/>
  <c r="F34" i="56"/>
  <c r="H34" i="56" s="1"/>
  <c r="J34" i="56" s="1"/>
  <c r="K34" i="56" s="1"/>
  <c r="L34" i="56" s="1"/>
  <c r="G34" i="56"/>
  <c r="I34" i="56" s="1"/>
  <c r="D39" i="40"/>
  <c r="N32" i="35"/>
  <c r="M33" i="56"/>
  <c r="H44" i="41"/>
  <c r="I44" i="41" s="1"/>
  <c r="L35" i="35" s="1"/>
  <c r="L48" i="28"/>
  <c r="D50" i="28"/>
  <c r="K49" i="28"/>
  <c r="K35" i="35" s="1"/>
  <c r="D45" i="41"/>
  <c r="B38" i="33"/>
  <c r="AU38" i="40" l="1"/>
  <c r="AZ37" i="40"/>
  <c r="B37" i="35"/>
  <c r="I36" i="33"/>
  <c r="K36" i="33" s="1"/>
  <c r="M36" i="33" s="1"/>
  <c r="O36" i="33" s="1"/>
  <c r="P36" i="33" s="1"/>
  <c r="M33" i="35" s="1"/>
  <c r="X39" i="40"/>
  <c r="AJ39" i="40" s="1"/>
  <c r="AV39" i="40" s="1"/>
  <c r="W39" i="40"/>
  <c r="AI39" i="40" s="1"/>
  <c r="F35" i="56"/>
  <c r="H35" i="56" s="1"/>
  <c r="J35" i="56" s="1"/>
  <c r="K35" i="56" s="1"/>
  <c r="L35" i="56" s="1"/>
  <c r="G35" i="56"/>
  <c r="I35" i="56" s="1"/>
  <c r="Q39" i="40"/>
  <c r="AC39" i="40" s="1"/>
  <c r="D40" i="40"/>
  <c r="G37" i="33"/>
  <c r="J37" i="33" s="1"/>
  <c r="L37" i="33" s="1"/>
  <c r="N37" i="33" s="1"/>
  <c r="N33" i="35"/>
  <c r="M34" i="56"/>
  <c r="P33" i="35"/>
  <c r="R33" i="35" s="1"/>
  <c r="AX38" i="40"/>
  <c r="AY38" i="40"/>
  <c r="AW38" i="40"/>
  <c r="O33" i="35"/>
  <c r="H45" i="41"/>
  <c r="I45" i="41" s="1"/>
  <c r="L36" i="35" s="1"/>
  <c r="L49" i="28"/>
  <c r="D51" i="28"/>
  <c r="K50" i="28"/>
  <c r="K36" i="35" s="1"/>
  <c r="D46" i="41"/>
  <c r="B39" i="33"/>
  <c r="D41" i="40" s="1"/>
  <c r="AZ38" i="40" l="1"/>
  <c r="B38" i="35"/>
  <c r="W40" i="40"/>
  <c r="AI40" i="40" s="1"/>
  <c r="Q40" i="40"/>
  <c r="AC40" i="40" s="1"/>
  <c r="F36" i="56"/>
  <c r="H36" i="56" s="1"/>
  <c r="J36" i="56" s="1"/>
  <c r="K36" i="56" s="1"/>
  <c r="L36" i="56" s="1"/>
  <c r="G36" i="56"/>
  <c r="I36" i="56" s="1"/>
  <c r="X40" i="40"/>
  <c r="AJ40" i="40" s="1"/>
  <c r="AV40" i="40" s="1"/>
  <c r="G38" i="33"/>
  <c r="N34" i="35"/>
  <c r="M35" i="56"/>
  <c r="AU39" i="40"/>
  <c r="W41" i="40"/>
  <c r="AI41" i="40" s="1"/>
  <c r="X41" i="40"/>
  <c r="AJ41" i="40" s="1"/>
  <c r="AV41" i="40" s="1"/>
  <c r="F37" i="56"/>
  <c r="H37" i="56" s="1"/>
  <c r="J37" i="56" s="1"/>
  <c r="K37" i="56" s="1"/>
  <c r="L37" i="56" s="1"/>
  <c r="Q41" i="40"/>
  <c r="AC41" i="40" s="1"/>
  <c r="G37" i="56"/>
  <c r="I37" i="56" s="1"/>
  <c r="I37" i="33"/>
  <c r="K37" i="33" s="1"/>
  <c r="M37" i="33" s="1"/>
  <c r="O37" i="33" s="1"/>
  <c r="P37" i="33" s="1"/>
  <c r="M34" i="35" s="1"/>
  <c r="P34" i="35"/>
  <c r="R34" i="35" s="1"/>
  <c r="AX39" i="40"/>
  <c r="B40" i="33"/>
  <c r="G39" i="33"/>
  <c r="H46" i="41"/>
  <c r="I46" i="41" s="1"/>
  <c r="L37" i="35" s="1"/>
  <c r="L50" i="28"/>
  <c r="D52" i="28"/>
  <c r="K51" i="28"/>
  <c r="K37" i="35" s="1"/>
  <c r="D47" i="41"/>
  <c r="B39" i="35" l="1"/>
  <c r="AU41" i="40"/>
  <c r="O36" i="35" s="1"/>
  <c r="J38" i="33"/>
  <c r="L38" i="33" s="1"/>
  <c r="N38" i="33" s="1"/>
  <c r="I38" i="33"/>
  <c r="K38" i="33" s="1"/>
  <c r="M38" i="33" s="1"/>
  <c r="O38" i="33" s="1"/>
  <c r="D42" i="40"/>
  <c r="AX40" i="40"/>
  <c r="P35" i="35"/>
  <c r="R35" i="35" s="1"/>
  <c r="M37" i="56"/>
  <c r="N36" i="35"/>
  <c r="P36" i="35"/>
  <c r="R36" i="35" s="1"/>
  <c r="AX41" i="40"/>
  <c r="M36" i="56"/>
  <c r="N35" i="35"/>
  <c r="AY41" i="40"/>
  <c r="AU40" i="40"/>
  <c r="AY39" i="40"/>
  <c r="AZ39" i="40" s="1"/>
  <c r="AW39" i="40"/>
  <c r="O34" i="35"/>
  <c r="B41" i="33"/>
  <c r="B42" i="33" s="1"/>
  <c r="I39" i="33"/>
  <c r="K39" i="33" s="1"/>
  <c r="M39" i="33" s="1"/>
  <c r="O39" i="33" s="1"/>
  <c r="J39" i="33"/>
  <c r="L39" i="33" s="1"/>
  <c r="N39" i="33" s="1"/>
  <c r="H47" i="41"/>
  <c r="I47" i="41" s="1"/>
  <c r="L38" i="35" s="1"/>
  <c r="L51" i="28"/>
  <c r="D53" i="28"/>
  <c r="K52" i="28"/>
  <c r="K38" i="35" s="1"/>
  <c r="D48" i="41"/>
  <c r="AZ41" i="40" l="1"/>
  <c r="B40" i="35"/>
  <c r="AW41" i="40"/>
  <c r="X42" i="40"/>
  <c r="AJ42" i="40" s="1"/>
  <c r="AV42" i="40" s="1"/>
  <c r="F38" i="56"/>
  <c r="H38" i="56" s="1"/>
  <c r="J38" i="56" s="1"/>
  <c r="K38" i="56" s="1"/>
  <c r="L38" i="56" s="1"/>
  <c r="W42" i="40"/>
  <c r="AI42" i="40" s="1"/>
  <c r="AU42" i="40" s="1"/>
  <c r="Q42" i="40"/>
  <c r="AC42" i="40" s="1"/>
  <c r="G38" i="56"/>
  <c r="I38" i="56" s="1"/>
  <c r="AW40" i="40"/>
  <c r="AY40" i="40"/>
  <c r="AZ40" i="40" s="1"/>
  <c r="O35" i="35"/>
  <c r="G40" i="33"/>
  <c r="D44" i="40"/>
  <c r="P38" i="33"/>
  <c r="M35" i="35" s="1"/>
  <c r="P39" i="33"/>
  <c r="M36" i="35" s="1"/>
  <c r="H48" i="41"/>
  <c r="I48" i="41" s="1"/>
  <c r="L39" i="35" s="1"/>
  <c r="L52" i="28"/>
  <c r="D54" i="28"/>
  <c r="K53" i="28"/>
  <c r="K39" i="35" s="1"/>
  <c r="B43" i="33"/>
  <c r="D49" i="41"/>
  <c r="H14" i="26"/>
  <c r="G13" i="26"/>
  <c r="B13" i="26"/>
  <c r="C14" i="26"/>
  <c r="C15" i="26" s="1"/>
  <c r="C16" i="26" s="1"/>
  <c r="C17" i="26" s="1"/>
  <c r="C18" i="26" s="1"/>
  <c r="C19" i="26" s="1"/>
  <c r="C20" i="26" s="1"/>
  <c r="C21" i="26" s="1"/>
  <c r="C22" i="26" s="1"/>
  <c r="C23" i="26" s="1"/>
  <c r="C24" i="26" s="1"/>
  <c r="C25" i="26" s="1"/>
  <c r="C26" i="26" s="1"/>
  <c r="C27" i="26" s="1"/>
  <c r="C28" i="26" s="1"/>
  <c r="C29" i="26" s="1"/>
  <c r="C30" i="26" s="1"/>
  <c r="C31" i="26" s="1"/>
  <c r="C32" i="26" s="1"/>
  <c r="C33" i="26" s="1"/>
  <c r="C34" i="26" s="1"/>
  <c r="C35" i="26" s="1"/>
  <c r="C36" i="26" s="1"/>
  <c r="C37" i="26" s="1"/>
  <c r="C38" i="26" s="1"/>
  <c r="C39" i="26" s="1"/>
  <c r="C40" i="26" s="1"/>
  <c r="C41" i="26" s="1"/>
  <c r="C42" i="26" s="1"/>
  <c r="B25" i="25"/>
  <c r="B41" i="35" l="1"/>
  <c r="G42" i="33"/>
  <c r="J42" i="33" s="1"/>
  <c r="L42" i="33" s="1"/>
  <c r="N42" i="33" s="1"/>
  <c r="D45" i="40"/>
  <c r="W44" i="40"/>
  <c r="AI44" i="40" s="1"/>
  <c r="F40" i="56"/>
  <c r="H40" i="56" s="1"/>
  <c r="J40" i="56" s="1"/>
  <c r="K40" i="56" s="1"/>
  <c r="L40" i="56" s="1"/>
  <c r="Q44" i="40"/>
  <c r="AC44" i="40" s="1"/>
  <c r="G40" i="56"/>
  <c r="I40" i="56" s="1"/>
  <c r="X44" i="40"/>
  <c r="AJ44" i="40" s="1"/>
  <c r="AV44" i="40" s="1"/>
  <c r="AY42" i="40"/>
  <c r="AW42" i="40"/>
  <c r="O37" i="35"/>
  <c r="D43" i="40"/>
  <c r="G41" i="33"/>
  <c r="J41" i="33" s="1"/>
  <c r="L41" i="33" s="1"/>
  <c r="N41" i="33" s="1"/>
  <c r="M38" i="56"/>
  <c r="N37" i="35"/>
  <c r="I42" i="33"/>
  <c r="K42" i="33" s="1"/>
  <c r="M42" i="33" s="1"/>
  <c r="O42" i="33" s="1"/>
  <c r="P42" i="33" s="1"/>
  <c r="I40" i="33"/>
  <c r="K40" i="33" s="1"/>
  <c r="M40" i="33" s="1"/>
  <c r="O40" i="33" s="1"/>
  <c r="J40" i="33"/>
  <c r="L40" i="33" s="1"/>
  <c r="N40" i="33" s="1"/>
  <c r="P37" i="35"/>
  <c r="R37" i="35" s="1"/>
  <c r="AX42" i="40"/>
  <c r="AZ42" i="40" s="1"/>
  <c r="H49" i="41"/>
  <c r="I49" i="41" s="1"/>
  <c r="L40" i="35" s="1"/>
  <c r="L53" i="28"/>
  <c r="D55" i="28"/>
  <c r="K54" i="28"/>
  <c r="K40" i="35" s="1"/>
  <c r="G14" i="26"/>
  <c r="G15" i="26" s="1"/>
  <c r="G16" i="26" s="1"/>
  <c r="G17" i="26" s="1"/>
  <c r="G18" i="26" s="1"/>
  <c r="G19" i="26" s="1"/>
  <c r="G20" i="26" s="1"/>
  <c r="G21" i="26" s="1"/>
  <c r="G22" i="26" s="1"/>
  <c r="G23" i="26" s="1"/>
  <c r="G24" i="26" s="1"/>
  <c r="G25" i="26" s="1"/>
  <c r="G26" i="26" s="1"/>
  <c r="G27" i="26" s="1"/>
  <c r="G28" i="26" s="1"/>
  <c r="G29" i="26" s="1"/>
  <c r="G30" i="26" s="1"/>
  <c r="G31" i="26" s="1"/>
  <c r="G32" i="26" s="1"/>
  <c r="G33" i="26" s="1"/>
  <c r="G34" i="26" s="1"/>
  <c r="G35" i="26" s="1"/>
  <c r="G36" i="26" s="1"/>
  <c r="G37" i="26" s="1"/>
  <c r="G38" i="26" s="1"/>
  <c r="G39" i="26" s="1"/>
  <c r="G40" i="26" s="1"/>
  <c r="G41" i="26" s="1"/>
  <c r="G42" i="26" s="1"/>
  <c r="B44" i="33"/>
  <c r="D46" i="40" s="1"/>
  <c r="D50" i="41"/>
  <c r="F25" i="25"/>
  <c r="B26" i="25"/>
  <c r="B27" i="25" s="1"/>
  <c r="H15" i="26"/>
  <c r="B14" i="26"/>
  <c r="AU44" i="40" l="1"/>
  <c r="P40" i="33"/>
  <c r="M39" i="35"/>
  <c r="Q42" i="33"/>
  <c r="X46" i="40"/>
  <c r="AJ46" i="40" s="1"/>
  <c r="AV46" i="40" s="1"/>
  <c r="F42" i="56"/>
  <c r="G42" i="56"/>
  <c r="W46" i="40"/>
  <c r="AI46" i="40" s="1"/>
  <c r="Q46" i="40"/>
  <c r="AC46" i="40" s="1"/>
  <c r="I41" i="33"/>
  <c r="K41" i="33" s="1"/>
  <c r="M41" i="33" s="1"/>
  <c r="O41" i="33" s="1"/>
  <c r="P41" i="33" s="1"/>
  <c r="M40" i="56"/>
  <c r="N39" i="35"/>
  <c r="AW44" i="40"/>
  <c r="AY44" i="40"/>
  <c r="O39" i="35"/>
  <c r="W45" i="40"/>
  <c r="AI45" i="40" s="1"/>
  <c r="F41" i="56"/>
  <c r="H41" i="56" s="1"/>
  <c r="J41" i="56" s="1"/>
  <c r="K41" i="56" s="1"/>
  <c r="L41" i="56" s="1"/>
  <c r="G41" i="56"/>
  <c r="I41" i="56" s="1"/>
  <c r="X45" i="40"/>
  <c r="AJ45" i="40" s="1"/>
  <c r="AV45" i="40" s="1"/>
  <c r="Q45" i="40"/>
  <c r="AC45" i="40" s="1"/>
  <c r="P39" i="35"/>
  <c r="R39" i="35" s="1"/>
  <c r="AX44" i="40"/>
  <c r="AZ44" i="40" s="1"/>
  <c r="G43" i="33"/>
  <c r="W43" i="40"/>
  <c r="AI43" i="40" s="1"/>
  <c r="AU43" i="40" s="1"/>
  <c r="G39" i="56"/>
  <c r="I39" i="56" s="1"/>
  <c r="Q43" i="40"/>
  <c r="AC43" i="40" s="1"/>
  <c r="X43" i="40"/>
  <c r="AJ43" i="40" s="1"/>
  <c r="AV43" i="40" s="1"/>
  <c r="F39" i="56"/>
  <c r="H39" i="56" s="1"/>
  <c r="J39" i="56" s="1"/>
  <c r="K39" i="56" s="1"/>
  <c r="L39" i="56" s="1"/>
  <c r="B28" i="25"/>
  <c r="C27" i="25"/>
  <c r="H27" i="25"/>
  <c r="G44" i="33"/>
  <c r="E45" i="33"/>
  <c r="H50" i="41"/>
  <c r="I50" i="41" s="1"/>
  <c r="L41" i="35" s="1"/>
  <c r="K55" i="28"/>
  <c r="L54" i="28"/>
  <c r="F26" i="25"/>
  <c r="H16" i="26"/>
  <c r="B15" i="26"/>
  <c r="K56" i="28" l="1"/>
  <c r="D13" i="39" s="1"/>
  <c r="K41" i="35"/>
  <c r="AU45" i="40"/>
  <c r="AY45" i="40" s="1"/>
  <c r="Q40" i="33"/>
  <c r="M37" i="35"/>
  <c r="M38" i="35"/>
  <c r="Q41" i="33"/>
  <c r="AU46" i="40"/>
  <c r="J43" i="33"/>
  <c r="L43" i="33" s="1"/>
  <c r="N43" i="33" s="1"/>
  <c r="I43" i="33"/>
  <c r="K43" i="33" s="1"/>
  <c r="M43" i="33" s="1"/>
  <c r="O43" i="33" s="1"/>
  <c r="I42" i="56"/>
  <c r="I43" i="56" s="1"/>
  <c r="G43" i="56"/>
  <c r="AW43" i="40"/>
  <c r="AY43" i="40"/>
  <c r="O38" i="35"/>
  <c r="M41" i="56"/>
  <c r="N40" i="35"/>
  <c r="H42" i="56"/>
  <c r="F43" i="56"/>
  <c r="AX46" i="40"/>
  <c r="P41" i="35"/>
  <c r="AV47" i="40"/>
  <c r="P38" i="35"/>
  <c r="R38" i="35" s="1"/>
  <c r="AX43" i="40"/>
  <c r="M39" i="56"/>
  <c r="N38" i="35"/>
  <c r="P40" i="35"/>
  <c r="R40" i="35" s="1"/>
  <c r="AX45" i="40"/>
  <c r="L42" i="35"/>
  <c r="I44" i="33"/>
  <c r="K44" i="33" s="1"/>
  <c r="M44" i="33" s="1"/>
  <c r="O44" i="33" s="1"/>
  <c r="J44" i="33"/>
  <c r="L44" i="33" s="1"/>
  <c r="N44" i="33" s="1"/>
  <c r="K42" i="35"/>
  <c r="L55" i="28"/>
  <c r="L56" i="28" s="1"/>
  <c r="E13" i="39" s="1"/>
  <c r="E28" i="25"/>
  <c r="C28" i="25" s="1"/>
  <c r="H17" i="26"/>
  <c r="B16" i="26"/>
  <c r="AZ43" i="40" l="1"/>
  <c r="AW45" i="40"/>
  <c r="AZ45" i="40"/>
  <c r="P44" i="33"/>
  <c r="M41" i="35" s="1"/>
  <c r="O40" i="35"/>
  <c r="P43" i="33"/>
  <c r="J42" i="56"/>
  <c r="H43" i="56"/>
  <c r="AY46" i="40"/>
  <c r="AY47" i="40" s="1"/>
  <c r="AW46" i="40"/>
  <c r="AW47" i="40" s="1"/>
  <c r="D10" i="39" s="1"/>
  <c r="O41" i="35"/>
  <c r="AU47" i="40"/>
  <c r="AX47" i="40"/>
  <c r="R41" i="35"/>
  <c r="R42" i="35" s="1"/>
  <c r="P42" i="35"/>
  <c r="Q44" i="33"/>
  <c r="H18" i="26"/>
  <c r="B17" i="26"/>
  <c r="O42" i="35" l="1"/>
  <c r="AZ46" i="40"/>
  <c r="AZ47" i="40" s="1"/>
  <c r="E10" i="39" s="1"/>
  <c r="K42" i="56"/>
  <c r="J43" i="56"/>
  <c r="M40" i="35"/>
  <c r="Q43" i="33"/>
  <c r="H19" i="26"/>
  <c r="B18" i="26"/>
  <c r="L42" i="56" l="1"/>
  <c r="K43" i="56"/>
  <c r="H20" i="26"/>
  <c r="B19" i="26"/>
  <c r="N41" i="35" l="1"/>
  <c r="N42" i="35" s="1"/>
  <c r="M42" i="56"/>
  <c r="M43" i="56" s="1"/>
  <c r="E6" i="39" s="1"/>
  <c r="L43" i="56"/>
  <c r="D6" i="39" s="1"/>
  <c r="H21" i="26"/>
  <c r="B20" i="26"/>
  <c r="H22" i="26" l="1"/>
  <c r="B21" i="26"/>
  <c r="F29" i="25" l="1"/>
  <c r="F30" i="25" s="1"/>
  <c r="E29" i="25"/>
  <c r="E30" i="25" s="1"/>
  <c r="H23" i="26"/>
  <c r="B22" i="26"/>
  <c r="G29" i="25" l="1"/>
  <c r="G30" i="25" s="1"/>
  <c r="H24" i="26"/>
  <c r="B23" i="26"/>
  <c r="H25" i="26" l="1"/>
  <c r="D23" i="26"/>
  <c r="D22" i="35" s="1"/>
  <c r="E22" i="35" s="1"/>
  <c r="B24" i="26"/>
  <c r="F22" i="35" l="1"/>
  <c r="E23" i="26"/>
  <c r="H26" i="26"/>
  <c r="D24" i="26"/>
  <c r="D23" i="35" s="1"/>
  <c r="E23" i="35" s="1"/>
  <c r="B25" i="26"/>
  <c r="F23" i="35" l="1"/>
  <c r="E24" i="26"/>
  <c r="H27" i="26"/>
  <c r="D25" i="26"/>
  <c r="D24" i="35" s="1"/>
  <c r="E24" i="35" s="1"/>
  <c r="B26" i="26"/>
  <c r="F24" i="35" l="1"/>
  <c r="E25" i="26"/>
  <c r="H28" i="26"/>
  <c r="D26" i="26"/>
  <c r="D25" i="35" s="1"/>
  <c r="E25" i="35" s="1"/>
  <c r="B27" i="26"/>
  <c r="F25" i="35" l="1"/>
  <c r="E26" i="26"/>
  <c r="H29" i="26"/>
  <c r="D27" i="26"/>
  <c r="D26" i="35" s="1"/>
  <c r="E26" i="35" s="1"/>
  <c r="B28" i="26"/>
  <c r="F26" i="35" l="1"/>
  <c r="E27" i="26"/>
  <c r="H30" i="26"/>
  <c r="D28" i="26"/>
  <c r="D27" i="35" s="1"/>
  <c r="E27" i="35" s="1"/>
  <c r="B29" i="26"/>
  <c r="F27" i="35" l="1"/>
  <c r="E28" i="26"/>
  <c r="H31" i="26"/>
  <c r="D29" i="26"/>
  <c r="D28" i="35" s="1"/>
  <c r="E28" i="35" s="1"/>
  <c r="B30" i="26"/>
  <c r="F28" i="35" l="1"/>
  <c r="E29" i="26"/>
  <c r="H32" i="26"/>
  <c r="D30" i="26"/>
  <c r="D29" i="35" s="1"/>
  <c r="E29" i="35" s="1"/>
  <c r="B31" i="26"/>
  <c r="F29" i="35" l="1"/>
  <c r="E30" i="26"/>
  <c r="H33" i="26"/>
  <c r="D31" i="26"/>
  <c r="D30" i="35" s="1"/>
  <c r="E30" i="35" s="1"/>
  <c r="B32" i="26"/>
  <c r="F30" i="35" l="1"/>
  <c r="E31" i="26"/>
  <c r="H34" i="26"/>
  <c r="D32" i="26"/>
  <c r="D31" i="35" s="1"/>
  <c r="E31" i="35" s="1"/>
  <c r="B33" i="26"/>
  <c r="F31" i="35" l="1"/>
  <c r="E32" i="26"/>
  <c r="H35" i="26"/>
  <c r="D33" i="26"/>
  <c r="D32" i="35" s="1"/>
  <c r="E32" i="35" s="1"/>
  <c r="B34" i="26"/>
  <c r="F32" i="35" l="1"/>
  <c r="E33" i="26"/>
  <c r="H36" i="26"/>
  <c r="D34" i="26"/>
  <c r="D33" i="35" s="1"/>
  <c r="E33" i="35" s="1"/>
  <c r="B35" i="26"/>
  <c r="F33" i="35" l="1"/>
  <c r="E34" i="26"/>
  <c r="H37" i="26"/>
  <c r="H38" i="26" s="1"/>
  <c r="D35" i="26"/>
  <c r="D34" i="35" s="1"/>
  <c r="E34" i="35" s="1"/>
  <c r="B36" i="26"/>
  <c r="K38" i="26" l="1"/>
  <c r="H39" i="26"/>
  <c r="J38" i="26"/>
  <c r="F34" i="35"/>
  <c r="E35" i="26"/>
  <c r="D36" i="26"/>
  <c r="D35" i="35" s="1"/>
  <c r="E35" i="35" s="1"/>
  <c r="B37" i="26"/>
  <c r="B38" i="26" s="1"/>
  <c r="L38" i="26" l="1"/>
  <c r="J37" i="35" s="1"/>
  <c r="S37" i="35" s="1"/>
  <c r="H40" i="26"/>
  <c r="K39" i="26"/>
  <c r="J39" i="26"/>
  <c r="B39" i="26"/>
  <c r="F35" i="35"/>
  <c r="E36" i="26"/>
  <c r="D37" i="26"/>
  <c r="D36" i="35" s="1"/>
  <c r="E36" i="35" s="1"/>
  <c r="Q37" i="35" l="1"/>
  <c r="T37" i="35"/>
  <c r="M38" i="26"/>
  <c r="H41" i="26"/>
  <c r="K40" i="26"/>
  <c r="J40" i="26"/>
  <c r="L39" i="26"/>
  <c r="J38" i="35" s="1"/>
  <c r="S38" i="35" s="1"/>
  <c r="B40" i="26"/>
  <c r="F36" i="35"/>
  <c r="E37" i="26"/>
  <c r="Q38" i="35" l="1"/>
  <c r="T38" i="35"/>
  <c r="L40" i="26"/>
  <c r="J39" i="35" s="1"/>
  <c r="S39" i="35" s="1"/>
  <c r="M39" i="26"/>
  <c r="K41" i="26"/>
  <c r="H42" i="26"/>
  <c r="J41" i="26"/>
  <c r="B41" i="26"/>
  <c r="Q39" i="35" l="1"/>
  <c r="T39" i="35"/>
  <c r="M40" i="26"/>
  <c r="L41" i="26"/>
  <c r="J40" i="35" s="1"/>
  <c r="S40" i="35" s="1"/>
  <c r="B42" i="26"/>
  <c r="G45" i="33"/>
  <c r="F45" i="33"/>
  <c r="Q40" i="35" l="1"/>
  <c r="T40" i="35"/>
  <c r="M41" i="26"/>
  <c r="J45" i="33"/>
  <c r="I45" i="33"/>
  <c r="H45" i="33"/>
  <c r="Q35" i="33"/>
  <c r="K45" i="33" l="1"/>
  <c r="N45" i="33"/>
  <c r="L45" i="33"/>
  <c r="M45" i="33"/>
  <c r="O45" i="33" l="1"/>
  <c r="K13" i="26" l="1"/>
  <c r="J13" i="26"/>
  <c r="K36" i="26"/>
  <c r="K14" i="26"/>
  <c r="K16" i="26"/>
  <c r="K18" i="26"/>
  <c r="K20" i="26"/>
  <c r="K22" i="26"/>
  <c r="K24" i="26"/>
  <c r="J26" i="26"/>
  <c r="J28" i="26"/>
  <c r="K30" i="26"/>
  <c r="J32" i="26"/>
  <c r="J34" i="26"/>
  <c r="J14" i="26"/>
  <c r="J16" i="26"/>
  <c r="J18" i="26"/>
  <c r="J20" i="26"/>
  <c r="J22" i="26"/>
  <c r="J24" i="26"/>
  <c r="K26" i="26"/>
  <c r="K28" i="26"/>
  <c r="J30" i="26"/>
  <c r="K32" i="26"/>
  <c r="K34" i="26"/>
  <c r="K15" i="26"/>
  <c r="K17" i="26"/>
  <c r="J19" i="26"/>
  <c r="K21" i="26"/>
  <c r="J23" i="26"/>
  <c r="K25" i="26"/>
  <c r="K27" i="26"/>
  <c r="J29" i="26"/>
  <c r="J31" i="26"/>
  <c r="J33" i="26"/>
  <c r="J35" i="26"/>
  <c r="J15" i="26"/>
  <c r="J17" i="26"/>
  <c r="K19" i="26"/>
  <c r="J21" i="26"/>
  <c r="K23" i="26"/>
  <c r="J25" i="26"/>
  <c r="J27" i="26"/>
  <c r="K29" i="26"/>
  <c r="K31" i="26"/>
  <c r="K33" i="26"/>
  <c r="K35" i="26"/>
  <c r="P45" i="33" l="1"/>
  <c r="D5" i="39" s="1"/>
  <c r="L16" i="26"/>
  <c r="L14" i="26"/>
  <c r="J36" i="26"/>
  <c r="L32" i="26"/>
  <c r="Q39" i="33"/>
  <c r="Q38" i="33"/>
  <c r="Q37" i="33"/>
  <c r="Q36" i="33"/>
  <c r="Q34" i="33"/>
  <c r="Q33" i="33"/>
  <c r="Q32" i="33"/>
  <c r="Q31" i="33"/>
  <c r="Q30" i="33"/>
  <c r="Q28" i="33"/>
  <c r="Q29" i="33"/>
  <c r="Q27" i="33"/>
  <c r="Q26" i="33"/>
  <c r="Q25" i="33"/>
  <c r="Q24" i="33"/>
  <c r="Q23" i="33"/>
  <c r="Q22" i="33"/>
  <c r="Q21" i="33"/>
  <c r="Q20" i="33"/>
  <c r="Q19" i="33"/>
  <c r="Q18" i="33"/>
  <c r="Q17" i="33"/>
  <c r="Q16" i="33"/>
  <c r="Q15" i="33"/>
  <c r="M12" i="35"/>
  <c r="L13" i="26"/>
  <c r="L20" i="26"/>
  <c r="L24" i="26"/>
  <c r="L28" i="26"/>
  <c r="L18" i="26"/>
  <c r="L21" i="26"/>
  <c r="L25" i="26"/>
  <c r="L30" i="26"/>
  <c r="L33" i="26"/>
  <c r="L15" i="26"/>
  <c r="L19" i="26"/>
  <c r="L22" i="26"/>
  <c r="L26" i="26"/>
  <c r="L29" i="26"/>
  <c r="L34" i="26"/>
  <c r="L23" i="26"/>
  <c r="L27" i="26"/>
  <c r="L31" i="26"/>
  <c r="L35" i="26"/>
  <c r="L17" i="26"/>
  <c r="M42" i="35" l="1"/>
  <c r="M13" i="26"/>
  <c r="Q45" i="33"/>
  <c r="E5" i="39" s="1"/>
  <c r="L36" i="26"/>
  <c r="M35" i="26"/>
  <c r="J34" i="35"/>
  <c r="S34" i="35" s="1"/>
  <c r="M34" i="26"/>
  <c r="J33" i="35"/>
  <c r="S33" i="35" s="1"/>
  <c r="M21" i="26"/>
  <c r="J20" i="35"/>
  <c r="S20" i="35" s="1"/>
  <c r="M20" i="26"/>
  <c r="J19" i="35"/>
  <c r="S19" i="35" s="1"/>
  <c r="J12" i="35"/>
  <c r="S12" i="35" s="1"/>
  <c r="M33" i="26"/>
  <c r="J32" i="35"/>
  <c r="S32" i="35" s="1"/>
  <c r="M32" i="26"/>
  <c r="J31" i="35"/>
  <c r="S31" i="35" s="1"/>
  <c r="M31" i="26"/>
  <c r="J30" i="35"/>
  <c r="S30" i="35" s="1"/>
  <c r="M27" i="26"/>
  <c r="J26" i="35"/>
  <c r="S26" i="35" s="1"/>
  <c r="M26" i="26"/>
  <c r="J25" i="35"/>
  <c r="S25" i="35" s="1"/>
  <c r="M19" i="26"/>
  <c r="J18" i="35"/>
  <c r="S18" i="35" s="1"/>
  <c r="M30" i="26"/>
  <c r="J29" i="35"/>
  <c r="S29" i="35" s="1"/>
  <c r="M18" i="26"/>
  <c r="J17" i="35"/>
  <c r="S17" i="35" s="1"/>
  <c r="M28" i="26"/>
  <c r="J27" i="35"/>
  <c r="S27" i="35" s="1"/>
  <c r="M29" i="26"/>
  <c r="J28" i="35"/>
  <c r="S28" i="35" s="1"/>
  <c r="M17" i="26"/>
  <c r="J16" i="35"/>
  <c r="S16" i="35" s="1"/>
  <c r="M23" i="26"/>
  <c r="J22" i="35"/>
  <c r="S22" i="35" s="1"/>
  <c r="M16" i="26"/>
  <c r="J15" i="35"/>
  <c r="S15" i="35" s="1"/>
  <c r="M22" i="26"/>
  <c r="J21" i="35"/>
  <c r="S21" i="35" s="1"/>
  <c r="M15" i="26"/>
  <c r="J14" i="35"/>
  <c r="S14" i="35" s="1"/>
  <c r="M25" i="26"/>
  <c r="J24" i="35"/>
  <c r="S24" i="35" s="1"/>
  <c r="J13" i="35"/>
  <c r="S13" i="35" s="1"/>
  <c r="M14" i="26"/>
  <c r="M24" i="26"/>
  <c r="J23" i="35"/>
  <c r="S23" i="35" s="1"/>
  <c r="Q27" i="35" l="1"/>
  <c r="T27" i="35"/>
  <c r="Q25" i="35"/>
  <c r="T25" i="35"/>
  <c r="Q32" i="35"/>
  <c r="T32" i="35"/>
  <c r="Q34" i="35"/>
  <c r="T34" i="35"/>
  <c r="Q26" i="35"/>
  <c r="T26" i="35"/>
  <c r="Q33" i="35"/>
  <c r="T33" i="35"/>
  <c r="Q15" i="35"/>
  <c r="T15" i="35"/>
  <c r="Q24" i="35"/>
  <c r="T24" i="35"/>
  <c r="Q19" i="35"/>
  <c r="T19" i="35"/>
  <c r="Q17" i="35"/>
  <c r="T17" i="35"/>
  <c r="Q14" i="35"/>
  <c r="T14" i="35"/>
  <c r="Q16" i="35"/>
  <c r="T16" i="35"/>
  <c r="Q29" i="35"/>
  <c r="T29" i="35"/>
  <c r="Q30" i="35"/>
  <c r="T30" i="35"/>
  <c r="Q22" i="35"/>
  <c r="T22" i="35"/>
  <c r="Q20" i="35"/>
  <c r="T20" i="35"/>
  <c r="Q13" i="35"/>
  <c r="T13" i="35"/>
  <c r="Q12" i="35"/>
  <c r="Q23" i="35"/>
  <c r="T23" i="35"/>
  <c r="Q21" i="35"/>
  <c r="T21" i="35"/>
  <c r="Q28" i="35"/>
  <c r="T28" i="35"/>
  <c r="Q18" i="35"/>
  <c r="T18" i="35"/>
  <c r="Q31" i="35"/>
  <c r="T31" i="35"/>
  <c r="J35" i="35"/>
  <c r="S35" i="35" s="1"/>
  <c r="M36" i="26"/>
  <c r="Q35" i="35" l="1"/>
  <c r="T35" i="35"/>
  <c r="T12" i="35"/>
  <c r="H8" i="26"/>
  <c r="G8" i="26"/>
  <c r="I42" i="26" s="1"/>
  <c r="I4" i="26"/>
  <c r="I8" i="26" s="1"/>
  <c r="J37" i="26" l="1"/>
  <c r="J42" i="26"/>
  <c r="K37" i="26"/>
  <c r="K42" i="26"/>
  <c r="I43" i="26" l="1"/>
  <c r="K43" i="26"/>
  <c r="J43" i="26"/>
  <c r="L37" i="26"/>
  <c r="L42" i="26"/>
  <c r="J36" i="35" l="1"/>
  <c r="S36" i="35" s="1"/>
  <c r="L43" i="26"/>
  <c r="D12" i="39" s="1"/>
  <c r="M42" i="26"/>
  <c r="J41" i="35"/>
  <c r="S41" i="35" s="1"/>
  <c r="M37" i="26"/>
  <c r="Q41" i="35" l="1"/>
  <c r="T41" i="35"/>
  <c r="T36" i="35"/>
  <c r="Q36" i="35"/>
  <c r="Q42" i="35" s="1"/>
  <c r="J42" i="35"/>
  <c r="M43" i="26"/>
  <c r="E12" i="39" s="1"/>
  <c r="C4" i="35" l="1"/>
  <c r="S42" i="35"/>
  <c r="T42" i="35"/>
  <c r="E4" i="35" s="1"/>
  <c r="D18" i="26"/>
  <c r="D17" i="35" s="1"/>
  <c r="E17" i="35" s="1"/>
  <c r="F17" i="35" s="1"/>
  <c r="D21" i="26"/>
  <c r="D20" i="35" s="1"/>
  <c r="E20" i="35" s="1"/>
  <c r="F20" i="35" s="1"/>
  <c r="D20" i="26"/>
  <c r="D19" i="35" s="1"/>
  <c r="E19" i="35" s="1"/>
  <c r="F19" i="35" s="1"/>
  <c r="D17" i="26"/>
  <c r="E17" i="26" s="1"/>
  <c r="D19" i="26"/>
  <c r="D18" i="35" s="1"/>
  <c r="E18" i="35" s="1"/>
  <c r="F18" i="35" s="1"/>
  <c r="D22" i="26"/>
  <c r="E22" i="26" s="1"/>
  <c r="D38" i="26" l="1"/>
  <c r="D40" i="26"/>
  <c r="D41" i="26"/>
  <c r="D42" i="26"/>
  <c r="D39" i="26"/>
  <c r="E19" i="26"/>
  <c r="E20" i="26"/>
  <c r="E18" i="26"/>
  <c r="D16" i="35"/>
  <c r="E16" i="35" s="1"/>
  <c r="F16" i="35" s="1"/>
  <c r="D21" i="35"/>
  <c r="E21" i="35" s="1"/>
  <c r="F21" i="35" s="1"/>
  <c r="E21" i="26"/>
  <c r="E39" i="26" l="1"/>
  <c r="D38" i="35"/>
  <c r="E38" i="35" s="1"/>
  <c r="F38" i="35" s="1"/>
  <c r="E42" i="26"/>
  <c r="D41" i="35"/>
  <c r="E41" i="35" s="1"/>
  <c r="F41" i="35" s="1"/>
  <c r="E41" i="26"/>
  <c r="D40" i="35"/>
  <c r="E40" i="35" s="1"/>
  <c r="F40" i="35" s="1"/>
  <c r="E40" i="26"/>
  <c r="D39" i="35"/>
  <c r="E39" i="35" s="1"/>
  <c r="F39" i="35" s="1"/>
  <c r="E38" i="26"/>
  <c r="D37" i="35"/>
  <c r="E37" i="35" s="1"/>
  <c r="F37" i="35" s="1"/>
  <c r="J50" i="41" l="1"/>
  <c r="J39" i="41"/>
  <c r="J23" i="41"/>
  <c r="J27" i="41"/>
  <c r="J42" i="41"/>
  <c r="J44" i="41"/>
  <c r="J26" i="41"/>
  <c r="J38" i="41"/>
  <c r="J34" i="41"/>
  <c r="J47" i="41"/>
  <c r="J36" i="41"/>
  <c r="J25" i="41"/>
  <c r="J37" i="41"/>
  <c r="J28" i="41"/>
  <c r="J48" i="41"/>
  <c r="J33" i="41"/>
  <c r="J49" i="41" l="1"/>
  <c r="J32" i="41"/>
  <c r="J31" i="41"/>
  <c r="J30" i="41"/>
  <c r="J35" i="41"/>
  <c r="J46" i="41"/>
  <c r="I51" i="41"/>
  <c r="D8" i="39" s="1"/>
  <c r="D14" i="39" s="1"/>
  <c r="J24" i="41"/>
  <c r="J41" i="41"/>
  <c r="J40" i="41"/>
  <c r="J45" i="41"/>
  <c r="J29" i="41"/>
  <c r="J43" i="41"/>
  <c r="J51" i="41" l="1"/>
  <c r="E8" i="39" s="1"/>
  <c r="E14" i="39" s="1"/>
  <c r="G12" i="39" l="1"/>
  <c r="G5" i="39"/>
  <c r="G13" i="39"/>
  <c r="G10" i="39"/>
  <c r="G6" i="39"/>
  <c r="G8" i="39"/>
  <c r="D18" i="39"/>
  <c r="E18" i="39"/>
  <c r="C20" i="25" l="1"/>
  <c r="H26" i="25"/>
  <c r="D20" i="25"/>
  <c r="C25" i="25"/>
  <c r="D13" i="26" s="1"/>
  <c r="H28" i="25"/>
  <c r="H24" i="25"/>
  <c r="H25" i="25"/>
  <c r="C24" i="25"/>
  <c r="C26" i="25"/>
  <c r="D14" i="26" s="1"/>
  <c r="D15" i="26" l="1"/>
  <c r="E15" i="26" s="1"/>
  <c r="D16" i="26"/>
  <c r="H29" i="25"/>
  <c r="C29" i="25"/>
  <c r="H30" i="25" s="1"/>
  <c r="D14" i="35"/>
  <c r="E14" i="35" s="1"/>
  <c r="F14" i="35" s="1"/>
  <c r="D12" i="35"/>
  <c r="E13" i="26"/>
  <c r="E14" i="26"/>
  <c r="D13" i="35"/>
  <c r="E13" i="35" s="1"/>
  <c r="F13" i="35" s="1"/>
  <c r="D16" i="25"/>
  <c r="E16" i="25" s="1"/>
  <c r="D17" i="25"/>
  <c r="E17" i="25" s="1"/>
  <c r="D19" i="25"/>
  <c r="E19" i="25" s="1"/>
  <c r="D18" i="25"/>
  <c r="E18" i="25" s="1"/>
  <c r="D15" i="35" l="1"/>
  <c r="E15" i="35" s="1"/>
  <c r="F15" i="35" s="1"/>
  <c r="E16" i="26"/>
  <c r="E43" i="26" s="1"/>
  <c r="D43" i="26"/>
  <c r="E20" i="25"/>
  <c r="F20" i="25" s="1"/>
  <c r="E12" i="35"/>
  <c r="D42" i="35" l="1"/>
  <c r="C30" i="25"/>
  <c r="E42" i="35"/>
  <c r="C5" i="35" s="1"/>
  <c r="C7" i="35" s="1"/>
  <c r="F12" i="35"/>
  <c r="F42" i="35" s="1"/>
  <c r="E5" i="35" s="1"/>
  <c r="E6" i="35" s="1"/>
  <c r="C6" i="35" l="1"/>
  <c r="D15" i="39"/>
  <c r="E15" i="39"/>
  <c r="D19" i="39" l="1"/>
  <c r="D17" i="39"/>
  <c r="D16" i="39"/>
  <c r="E16" i="39"/>
  <c r="E17" i="39"/>
  <c r="E7" i="35"/>
  <c r="E19" i="39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<sst xmlns="http://schemas.openxmlformats.org/spreadsheetml/2006/main" count="1422" uniqueCount="348">
  <si>
    <t>Project Information</t>
  </si>
  <si>
    <t>Project</t>
  </si>
  <si>
    <t>Grant</t>
  </si>
  <si>
    <t>CRISI 2022</t>
  </si>
  <si>
    <t>Project Schedule</t>
  </si>
  <si>
    <t>Source</t>
  </si>
  <si>
    <t>Base Year</t>
  </si>
  <si>
    <t>Project Start</t>
  </si>
  <si>
    <t>Construction Start</t>
  </si>
  <si>
    <t>Construction Years</t>
  </si>
  <si>
    <t>Project Use Start</t>
  </si>
  <si>
    <t>Total Analysis Period</t>
  </si>
  <si>
    <t>years</t>
  </si>
  <si>
    <t>Years of Operations</t>
  </si>
  <si>
    <t>Days / year</t>
  </si>
  <si>
    <t>Weekdays / year</t>
  </si>
  <si>
    <t>Discount Rate 1</t>
  </si>
  <si>
    <t>Discount Rate</t>
  </si>
  <si>
    <t>Future Inflation Rate</t>
  </si>
  <si>
    <t>Guidance Source</t>
  </si>
  <si>
    <t>Primary Guidance Source</t>
  </si>
  <si>
    <t>USDOT Benefit-Cost Analysis Guidance for Discretionary Grant Programs 2022</t>
  </si>
  <si>
    <t>Costs and Other Inputs</t>
  </si>
  <si>
    <t>Value</t>
  </si>
  <si>
    <t xml:space="preserve">Note </t>
  </si>
  <si>
    <t>In-Vehicle Travel Time: All</t>
  </si>
  <si>
    <t>per hour</t>
  </si>
  <si>
    <t>Commercial Vehicle Operators Travel Time: Truck Drivers</t>
  </si>
  <si>
    <t>Non-commercial vehicle occupants</t>
  </si>
  <si>
    <t>Passenger vehicles (all travel)</t>
  </si>
  <si>
    <t>Commercial vehicle occupants</t>
  </si>
  <si>
    <t>Assume 1 driver per truck</t>
  </si>
  <si>
    <t>Walk/Bike Travel Time</t>
  </si>
  <si>
    <t>per hour for personal travel</t>
  </si>
  <si>
    <t>Assumed k factor</t>
  </si>
  <si>
    <t>Source:</t>
  </si>
  <si>
    <t>Calendar Year</t>
  </si>
  <si>
    <t>Project Year</t>
  </si>
  <si>
    <t>Project Use Year</t>
  </si>
  <si>
    <t>No Build</t>
  </si>
  <si>
    <t>Build</t>
  </si>
  <si>
    <t>Annual Weekday ADT</t>
  </si>
  <si>
    <t>BCA Output Table</t>
  </si>
  <si>
    <t>Possible Societal Benefits for Consideration</t>
  </si>
  <si>
    <t>Key Benefits Quantified</t>
  </si>
  <si>
    <t>Total Benefits</t>
  </si>
  <si>
    <t>Tab</t>
  </si>
  <si>
    <t>Economic Competitiveness</t>
  </si>
  <si>
    <t>Peak Hour Travel Time Savings/-Costs</t>
  </si>
  <si>
    <t>I</t>
  </si>
  <si>
    <t>Operating Cost Savings</t>
  </si>
  <si>
    <t>J</t>
  </si>
  <si>
    <t>Safety</t>
  </si>
  <si>
    <t>Crash Savings</t>
  </si>
  <si>
    <t>Reduction in fatal, injury and PDO crashes for both motorized and non-motorized crashes</t>
  </si>
  <si>
    <t>G</t>
  </si>
  <si>
    <t>Environmental Sustainability</t>
  </si>
  <si>
    <t>Peak Hour Vehicle Emissions Savings/-Costs</t>
  </si>
  <si>
    <r>
      <t>Decrease in CO, CO</t>
    </r>
    <r>
      <rPr>
        <vertAlign val="subscript"/>
        <sz val="9"/>
        <rFont val="Calibri"/>
        <family val="2"/>
      </rPr>
      <t>2</t>
    </r>
    <r>
      <rPr>
        <sz val="9"/>
        <rFont val="Calibri"/>
        <family val="2"/>
      </rPr>
      <t>, VOC, NO</t>
    </r>
    <r>
      <rPr>
        <vertAlign val="subscript"/>
        <sz val="9"/>
        <rFont val="Calibri"/>
        <family val="2"/>
      </rPr>
      <t>X</t>
    </r>
    <r>
      <rPr>
        <sz val="9"/>
        <rFont val="Calibri"/>
        <family val="2"/>
      </rPr>
      <t>, PM</t>
    </r>
    <r>
      <rPr>
        <vertAlign val="subscript"/>
        <sz val="9"/>
        <rFont val="Calibri"/>
        <family val="2"/>
      </rPr>
      <t>2.5</t>
    </r>
    <r>
      <rPr>
        <sz val="9"/>
        <rFont val="Calibri"/>
        <family val="2"/>
      </rPr>
      <t>, SO</t>
    </r>
    <r>
      <rPr>
        <vertAlign val="subscript"/>
        <sz val="9"/>
        <rFont val="Calibri"/>
        <family val="2"/>
      </rPr>
      <t>2</t>
    </r>
    <r>
      <rPr>
        <sz val="9"/>
        <rFont val="Calibri"/>
        <family val="2"/>
      </rPr>
      <t xml:space="preserve"> emissions due to reduced vehicle mileage</t>
    </r>
  </si>
  <si>
    <t>L</t>
  </si>
  <si>
    <t>Other</t>
  </si>
  <si>
    <t>Residual Value</t>
  </si>
  <si>
    <t>Residual value of assets at the end of the analysis period</t>
  </si>
  <si>
    <t>E</t>
  </si>
  <si>
    <t>Maintenance Costs &amp; State of Good Repair Savings</t>
  </si>
  <si>
    <t>Change in cost of regular maintenance and inspection of assets, including savings due to state of good repair benefits</t>
  </si>
  <si>
    <t>F</t>
  </si>
  <si>
    <t>Total Costs</t>
  </si>
  <si>
    <t>D</t>
  </si>
  <si>
    <t>Benefit / Cost Ratio</t>
  </si>
  <si>
    <t>Consistency Check (Outputs vs. Summary)</t>
  </si>
  <si>
    <t>Summary of Costs and Benefits</t>
  </si>
  <si>
    <t>Undiscounted</t>
  </si>
  <si>
    <t>Benefits</t>
  </si>
  <si>
    <t>Costs</t>
  </si>
  <si>
    <t>BCR</t>
  </si>
  <si>
    <t>NPV</t>
  </si>
  <si>
    <t>Construction</t>
  </si>
  <si>
    <t>Maintenance &amp; SOGR</t>
  </si>
  <si>
    <t>Travel Time Benefits</t>
  </si>
  <si>
    <t>Total Benefit</t>
  </si>
  <si>
    <t>Total</t>
  </si>
  <si>
    <t>Detailed Cost Estimate</t>
  </si>
  <si>
    <t>Pay Item</t>
  </si>
  <si>
    <t>Description</t>
  </si>
  <si>
    <t>YOE Year</t>
  </si>
  <si>
    <t>Lifespan</t>
  </si>
  <si>
    <t>Cost Year</t>
  </si>
  <si>
    <t>75 Year Life Span</t>
  </si>
  <si>
    <t>All</t>
  </si>
  <si>
    <t>No residual</t>
  </si>
  <si>
    <t>30 Year Life Span</t>
  </si>
  <si>
    <t>Total Construction Price</t>
  </si>
  <si>
    <t>Contingency</t>
  </si>
  <si>
    <t>Total Price</t>
  </si>
  <si>
    <t>Cost Breakdown by Asset Lifespan &amp; Residual Value</t>
  </si>
  <si>
    <t>Initial Costs 
(Exc. Contingency)</t>
  </si>
  <si>
    <t xml:space="preserve">ROW </t>
  </si>
  <si>
    <t>Cost Breakdown by Year of Expenditure</t>
  </si>
  <si>
    <t>Annual Construction Costs</t>
  </si>
  <si>
    <t>Total cost ($2020)</t>
  </si>
  <si>
    <t>% pre-construction</t>
  </si>
  <si>
    <t>% start</t>
  </si>
  <si>
    <t>% end</t>
  </si>
  <si>
    <t>% all</t>
  </si>
  <si>
    <t>Construction Costs</t>
  </si>
  <si>
    <t>Check</t>
  </si>
  <si>
    <t>Cost Estimate Inputs</t>
  </si>
  <si>
    <t>Escalation Year</t>
  </si>
  <si>
    <t>Inflation Rate</t>
  </si>
  <si>
    <t xml:space="preserve">Discount Rate </t>
  </si>
  <si>
    <t>Residual Calculation</t>
  </si>
  <si>
    <t>30 year lifespan</t>
  </si>
  <si>
    <t>75 year lifespan</t>
  </si>
  <si>
    <t>ROW</t>
  </si>
  <si>
    <t>Construction Cost</t>
  </si>
  <si>
    <t>Design Service Life (years)</t>
  </si>
  <si>
    <t>Operating Period (years)</t>
  </si>
  <si>
    <t>Residual ratio at end of analysis (linear depreciation)</t>
  </si>
  <si>
    <t>Residual Value at end of analysis</t>
  </si>
  <si>
    <t>Construction Costs (Cost)</t>
  </si>
  <si>
    <t>Residual Value (Benefit)</t>
  </si>
  <si>
    <t>Project Cost</t>
  </si>
  <si>
    <t>30 Year Lifespan</t>
  </si>
  <si>
    <t>75 Year Lifespan</t>
  </si>
  <si>
    <t>miles</t>
  </si>
  <si>
    <t>per VMT</t>
  </si>
  <si>
    <t>Maintenance and SOGR Benefits</t>
  </si>
  <si>
    <t>No-Build Maintenance Costs</t>
  </si>
  <si>
    <t>Build Maintenance Costs</t>
  </si>
  <si>
    <t>Total Disbenefit</t>
  </si>
  <si>
    <t>Present Value (7% Discount Rate)</t>
  </si>
  <si>
    <t>Monetized Values per Crash</t>
  </si>
  <si>
    <t>Avg. Crashes Per Year</t>
  </si>
  <si>
    <t>Crash Probability</t>
  </si>
  <si>
    <t>Segment #</t>
  </si>
  <si>
    <t>Severity</t>
  </si>
  <si>
    <t>Monetized value ($2020)</t>
  </si>
  <si>
    <t>Note</t>
  </si>
  <si>
    <t>Fatal</t>
  </si>
  <si>
    <t>Possible Injury</t>
  </si>
  <si>
    <t>Property Damage Only</t>
  </si>
  <si>
    <t>Average Monetized Value per Crash (by Roadway Segment)</t>
  </si>
  <si>
    <t>Crash Modification Factors (CMFs)</t>
  </si>
  <si>
    <t>CMF</t>
  </si>
  <si>
    <t>Applicable Crash Types</t>
  </si>
  <si>
    <t>Applicable Crash Severities</t>
  </si>
  <si>
    <t>All suspected and possible injury crashes</t>
  </si>
  <si>
    <t>https://www.cmfclearinghouse.org/</t>
  </si>
  <si>
    <t>Crashes - No Build</t>
  </si>
  <si>
    <t>Crashes - Build</t>
  </si>
  <si>
    <t>% of Crashes that are Applicable</t>
  </si>
  <si>
    <t>Crash Adjustment Factor</t>
  </si>
  <si>
    <t>Safety Benefits</t>
  </si>
  <si>
    <t>No Build - Monetized Value</t>
  </si>
  <si>
    <t>Build - Monetized Value</t>
  </si>
  <si>
    <t>Benefit</t>
  </si>
  <si>
    <t>Input</t>
  </si>
  <si>
    <t xml:space="preserve">Unit </t>
  </si>
  <si>
    <t>people</t>
  </si>
  <si>
    <t xml:space="preserve">Average Annual Growth </t>
  </si>
  <si>
    <t>FEMA Benefit-Cost Sustainment and Enhancements</t>
  </si>
  <si>
    <t>2016 -&gt; 2020 Inflation Adjustment Value</t>
  </si>
  <si>
    <t>Increase in number of deaths per 1-mile increase in distance</t>
  </si>
  <si>
    <t>Acute myocardial infarction (AMI)</t>
  </si>
  <si>
    <t>No-Build</t>
  </si>
  <si>
    <t>Unintentional Injuries (UI)</t>
  </si>
  <si>
    <t>Response route</t>
  </si>
  <si>
    <t>Response time</t>
  </si>
  <si>
    <t>minutes</t>
  </si>
  <si>
    <t>Increase in distance to hospital (No-Build vs. Build)</t>
  </si>
  <si>
    <t>Probability of a No-Loss incident</t>
  </si>
  <si>
    <t>Annual Dollar Loss Per Incident (2016 $)</t>
  </si>
  <si>
    <t>2016 $</t>
  </si>
  <si>
    <t>Value of a statistical life (2016 $)</t>
  </si>
  <si>
    <t>Annual Dollar Loss Per Incident (2020 $)</t>
  </si>
  <si>
    <t>2020 $</t>
  </si>
  <si>
    <t>Annual dollar loss including indirect loss</t>
  </si>
  <si>
    <t>Value of a statistical life (2020 $)</t>
  </si>
  <si>
    <t>Loss for death and human injury</t>
  </si>
  <si>
    <t>Total annual loss per incident</t>
  </si>
  <si>
    <t>Total Annual Loss due to Fire Instances</t>
  </si>
  <si>
    <t>Fire Station Service Benefit</t>
  </si>
  <si>
    <t>Number of deaths per year due to:</t>
  </si>
  <si>
    <t>Increase in number of deaths per year due to:</t>
  </si>
  <si>
    <t>Annual cost in lives due to increased hospital distance:</t>
  </si>
  <si>
    <t>Hospital Service Benefit</t>
  </si>
  <si>
    <t>Beneft</t>
  </si>
  <si>
    <t>Annual Fire Instances</t>
  </si>
  <si>
    <t>AMI</t>
  </si>
  <si>
    <t>UI</t>
  </si>
  <si>
    <t>Total Emergency Services Benefit (2020 $)</t>
  </si>
  <si>
    <t>Travel Time Calculation Inputs - Vehicles</t>
  </si>
  <si>
    <t xml:space="preserve"> Annual Hour  VHT</t>
  </si>
  <si>
    <t>VHT Savings</t>
  </si>
  <si>
    <t>Travel Time Savings</t>
  </si>
  <si>
    <t>Total Travel Time  Savings</t>
  </si>
  <si>
    <t>Passenger Vehicle</t>
  </si>
  <si>
    <t>Trucks</t>
  </si>
  <si>
    <t>(Vehicles)</t>
  </si>
  <si>
    <t>(Persons)</t>
  </si>
  <si>
    <t>(2020 $)</t>
  </si>
  <si>
    <t>Operating Cost of light-duty vehicles</t>
  </si>
  <si>
    <t>Travel Time Disbenefits</t>
  </si>
  <si>
    <t>Environmental Calculation Inputs</t>
  </si>
  <si>
    <t>Grams to Metric Tons</t>
  </si>
  <si>
    <t>1 metric ton is equal to 1,000,000 grams</t>
  </si>
  <si>
    <t>No Build Emissions</t>
  </si>
  <si>
    <t>Build Emissions</t>
  </si>
  <si>
    <t>Annual Weekday VMT</t>
  </si>
  <si>
    <t>Metric Tons Emitted - Car</t>
  </si>
  <si>
    <t>Metric Emitted - Truck</t>
  </si>
  <si>
    <t>Metric Tons Saved - Car</t>
  </si>
  <si>
    <t>Metric Tons Saved - Truck</t>
  </si>
  <si>
    <t>Emission Savings</t>
  </si>
  <si>
    <t>Damage Costs for Emissions per metric ton</t>
  </si>
  <si>
    <t>Damage Costs for Emissions per metric ton*</t>
  </si>
  <si>
    <t>Car</t>
  </si>
  <si>
    <t>Truck</t>
  </si>
  <si>
    <t xml:space="preserve">Build </t>
  </si>
  <si>
    <t>CO</t>
  </si>
  <si>
    <t>CO2</t>
  </si>
  <si>
    <t>NOX</t>
  </si>
  <si>
    <t>PM2.5</t>
  </si>
  <si>
    <t>SOX</t>
  </si>
  <si>
    <t>VOC</t>
  </si>
  <si>
    <t>Total Non CO2 Savings</t>
  </si>
  <si>
    <t>Total cO2 Savings</t>
  </si>
  <si>
    <t>Present Value (3% Discount Rate)*</t>
  </si>
  <si>
    <t>Present Value (7% Discount Rate)*</t>
  </si>
  <si>
    <t>Year</t>
  </si>
  <si>
    <t>SO2</t>
  </si>
  <si>
    <t>VOCs</t>
  </si>
  <si>
    <t>Sources</t>
  </si>
  <si>
    <t>NOX, SO2, PM2.5, CO2</t>
  </si>
  <si>
    <t>Sources: McCubbin and Delucchi, 1996 for emissions other than CO2e</t>
  </si>
  <si>
    <t>Interagency Working Group on Social Cost of Carbon, United States Government, 2021 for CO2e</t>
  </si>
  <si>
    <t>mph</t>
  </si>
  <si>
    <t>feet</t>
  </si>
  <si>
    <t> </t>
  </si>
  <si>
    <t>HIGHWAY EMISSIONS FACTORS (g/mi)</t>
  </si>
  <si>
    <t>Model Year 2024</t>
  </si>
  <si>
    <t>Model Year 2044</t>
  </si>
  <si>
    <t>Mode</t>
  </si>
  <si>
    <t>Speed</t>
  </si>
  <si>
    <t>Auto</t>
  </si>
  <si>
    <t>Salvage Value of Signal</t>
  </si>
  <si>
    <t>25 secoinds</t>
  </si>
  <si>
    <t>Assume a travel speed @ posted speed limit</t>
  </si>
  <si>
    <t>Intersection #</t>
  </si>
  <si>
    <t>Total Crashes (2015-2019)</t>
  </si>
  <si>
    <t>FDOT historical crash data 2015-2019</t>
  </si>
  <si>
    <t xml:space="preserve">per vehicle </t>
  </si>
  <si>
    <t>Historical Crash Data by Intersection</t>
  </si>
  <si>
    <t xml:space="preserve">Intersection name </t>
  </si>
  <si>
    <t>Post Street at McDuff Avenue</t>
  </si>
  <si>
    <t xml:space="preserve">Incapacitating </t>
  </si>
  <si>
    <t>Non-incapacitating</t>
  </si>
  <si>
    <t>No Injury</t>
  </si>
  <si>
    <t>Total Avg monetized value ($2020)</t>
  </si>
  <si>
    <t>CMF Clearinghouse &gt;&gt; CMF / CRF Details</t>
  </si>
  <si>
    <t>Conversion of stop- and signal-controlled intersections into roundabouts</t>
  </si>
  <si>
    <t>Post Street at McDuff Ave</t>
  </si>
  <si>
    <t xml:space="preserve">All </t>
  </si>
  <si>
    <t>Annual Peak Hour Traffic Volumes (Weekdays only)</t>
  </si>
  <si>
    <t>AADT (weekdays only)</t>
  </si>
  <si>
    <t>SR 228 (Post Street) and SR 129 (McDuff Avenue) Intersection Traffic Operational Analysis</t>
  </si>
  <si>
    <t>No Build PM</t>
  </si>
  <si>
    <t>Build PM</t>
  </si>
  <si>
    <t>No Build AM</t>
  </si>
  <si>
    <t>Build AM</t>
  </si>
  <si>
    <t>Intersection Vehicle Delay (sec)</t>
  </si>
  <si>
    <t>Delay Forecasts</t>
  </si>
  <si>
    <t>Annual PH Traffic Volumes (Weekdays only)</t>
  </si>
  <si>
    <t>Intersection</t>
  </si>
  <si>
    <t>Notes</t>
  </si>
  <si>
    <t xml:space="preserve">assumed 30 mph for all approaches at the intersection due to the low volumes on Plymouth and Roosevelt </t>
  </si>
  <si>
    <t xml:space="preserve">Assumed Idling Speed </t>
  </si>
  <si>
    <t>Build Savings - 
Post Street at McDuff Ave</t>
  </si>
  <si>
    <t>Total Post St at McDuff Ave Benefit</t>
  </si>
  <si>
    <t xml:space="preserve">Post Street at McDuff Avenue </t>
  </si>
  <si>
    <t>0.5 Mile Buffer around Post Street at McDuff Ave Intersection</t>
  </si>
  <si>
    <t xml:space="preserve">USDOT STEAP Analysis - </t>
  </si>
  <si>
    <t>Jacksonville, FL Population (2010)</t>
  </si>
  <si>
    <t>Jacksonville, FL Population (2020)</t>
  </si>
  <si>
    <t xml:space="preserve">https://www.census.gov/quickfacts/fact/table/jacksonvillecityflorida,US/PST045221 </t>
  </si>
  <si>
    <t>https://www.census.gov/quickfacts/fact/table/jacksonvillecityflorida,US/PST045220</t>
  </si>
  <si>
    <t xml:space="preserve">Construction </t>
  </si>
  <si>
    <t>Intelligent Transportation Systems (ITS)</t>
  </si>
  <si>
    <t>Construction Engineering and Inspection (CEI)</t>
  </si>
  <si>
    <t>end</t>
  </si>
  <si>
    <t>pre-construction</t>
  </si>
  <si>
    <t xml:space="preserve">Narrative  </t>
  </si>
  <si>
    <t>Commercial Trucks</t>
  </si>
  <si>
    <t xml:space="preserve">Vehicle Operating Cost Inputs </t>
  </si>
  <si>
    <t xml:space="preserve">Annual Weekday VMT </t>
  </si>
  <si>
    <t>Percentage Trucks (HV %)</t>
  </si>
  <si>
    <t xml:space="preserve">VMT Savings </t>
  </si>
  <si>
    <t xml:space="preserve">No Build </t>
  </si>
  <si>
    <t>Delay to Hospital Service Calculation Inputs</t>
  </si>
  <si>
    <t>Population served by Hospital</t>
  </si>
  <si>
    <t>Present Value (3% Discount CO2)</t>
  </si>
  <si>
    <t>Environmental Benefits (Non CO2 Emissions)</t>
  </si>
  <si>
    <t>Environmental Benefits (CO2 Emissions)</t>
  </si>
  <si>
    <t>Total Discounted</t>
  </si>
  <si>
    <t>Salvage Value of Signals</t>
  </si>
  <si>
    <t>FDOT</t>
  </si>
  <si>
    <t xml:space="preserve">Life Cycle of Signal Infrastructure </t>
  </si>
  <si>
    <t xml:space="preserve">Signal Infrastructure </t>
  </si>
  <si>
    <t xml:space="preserve">Rail Crossing </t>
  </si>
  <si>
    <t>per signal</t>
  </si>
  <si>
    <t>Number of Signals</t>
  </si>
  <si>
    <t>Traffic Signals Maintenance per signal</t>
  </si>
  <si>
    <t xml:space="preserve">Total Traffic Signal Maintenance </t>
  </si>
  <si>
    <t>Network Interconnection</t>
  </si>
  <si>
    <t xml:space="preserve">Number of Network interconnections </t>
  </si>
  <si>
    <t>Total Network Interconnection</t>
  </si>
  <si>
    <t>FDOT TSM&amp;O Program estimates</t>
  </si>
  <si>
    <t>Replacement Frequency</t>
  </si>
  <si>
    <t>Post Street at McDuff Avenue (including rail accident report crashes)</t>
  </si>
  <si>
    <t>Install an intersection conflict warning system (ICWS) with post mounted signs (various messages) and flashers at the intersection on minor; loop on major</t>
  </si>
  <si>
    <t>https://www.cmfclearinghouse.org/detail.cfm?facid=8474</t>
  </si>
  <si>
    <t>Combined</t>
  </si>
  <si>
    <t>Additive Effect</t>
  </si>
  <si>
    <t>crashes - No Build</t>
  </si>
  <si>
    <t>Rail crossing replacement - asphalt</t>
  </si>
  <si>
    <t>Rail Crossing replacement - concrete</t>
  </si>
  <si>
    <t>Rail crossing replacement Cost - asphalt</t>
  </si>
  <si>
    <t>Rail Crossing replacement Cost - concrete</t>
  </si>
  <si>
    <t>$ per foot</t>
  </si>
  <si>
    <t>Rail crossing width (both)</t>
  </si>
  <si>
    <t>per year</t>
  </si>
  <si>
    <t xml:space="preserve">Total Signal Infrastructure </t>
  </si>
  <si>
    <t>Signal Replacement Costs</t>
  </si>
  <si>
    <t>Total Signal Cost per signal</t>
  </si>
  <si>
    <t xml:space="preserve">Total Signal cost </t>
  </si>
  <si>
    <t xml:space="preserve">FEMA - value of a statistical life </t>
  </si>
  <si>
    <t xml:space="preserve">look through old ES stuff and look at old equations, </t>
  </si>
  <si>
    <t xml:space="preserve">Assumed Heavy Vehicle % </t>
  </si>
  <si>
    <t>Annual Peak Period VHT</t>
  </si>
  <si>
    <t>Post and McDuff Innovative Rail Crossing</t>
  </si>
  <si>
    <t>Engineer's Estimate</t>
  </si>
  <si>
    <t xml:space="preserve">Signal Infrastructure Maintenance </t>
  </si>
  <si>
    <t>Signal Infrastructure</t>
  </si>
  <si>
    <t xml:space="preserve">Annual Number of Crashes by Roadway Segment </t>
  </si>
  <si>
    <t>Decreased travel time through the intersection with a roundabout</t>
  </si>
  <si>
    <t xml:space="preserve">Reduction in vehicle operating costs due to reduced delay and better intersection efficiency in the Build alternative </t>
  </si>
  <si>
    <t xml:space="preserve">Total Discounted Present Value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</si>
</sst>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00"/>
    <numFmt numFmtId="166" formatCode="&quot;$&quot;#,##0.00"/>
    <numFmt numFmtId="167" formatCode="0.0%"/>
    <numFmt numFmtId="168" formatCode="#,##0.0"/>
    <numFmt numFmtId="169" formatCode="_(&quot;$&quot;* #,##0_);_(&quot;$&quot;* \(#,##0\);_(&quot;$&quot;* &quot;-&quot;??_);_(@_)"/>
    <numFmt numFmtId="170" formatCode="0.0"/>
    <numFmt numFmtId="171" formatCode="_(* #,##0_);_(* \(#,##0\);_(* &quot;-&quot;??_);_(@_)"/>
    <numFmt numFmtId="172" formatCode="0.000%"/>
  </numFmts>
  <fonts count="7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rgb="FF008000"/>
      <name val="Arial"/>
      <family val="2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1"/>
      <color rgb="FF0099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0"/>
      <name val="Arial"/>
      <family val="2"/>
    </font>
    <font>
      <sz val="10"/>
      <color rgb="FF0000FF"/>
      <name val="Calibri"/>
      <family val="2"/>
      <scheme val="minor"/>
    </font>
    <font>
      <sz val="10"/>
      <color rgb="FF00800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0000FF"/>
      <name val="Arial"/>
      <family val="2"/>
    </font>
    <font>
      <sz val="9"/>
      <name val="Calibri"/>
      <family val="2"/>
    </font>
    <font>
      <sz val="11"/>
      <color theme="0"/>
      <name val="Calibri"/>
      <family val="2"/>
      <scheme val="minor"/>
    </font>
    <font>
      <b/>
      <sz val="11"/>
      <color theme="8" tint="0.79998168889431442"/>
      <name val="Calibri"/>
      <family val="2"/>
      <scheme val="minor"/>
    </font>
    <font>
      <sz val="8"/>
      <name val="Arial"/>
      <family val="2"/>
    </font>
    <font>
      <sz val="11"/>
      <color rgb="FF444444"/>
      <name val="Calibri"/>
      <family val="2"/>
      <charset val="1"/>
    </font>
    <font>
      <sz val="11"/>
      <color theme="8" tint="0.79998168889431442"/>
      <name val="Calibri"/>
      <family val="2"/>
      <scheme val="minor"/>
    </font>
    <font>
      <sz val="10"/>
      <color theme="8" tint="0.7999816888943144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rgb="FF0000FF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bscript"/>
      <sz val="9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0000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FF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008000"/>
      <name val="Calibri"/>
      <family val="2"/>
      <scheme val="minor"/>
    </font>
    <font>
      <i/>
      <sz val="9"/>
      <color theme="0" tint="-0.499984740745262"/>
      <name val="Calibri"/>
      <family val="2"/>
      <scheme val="minor"/>
    </font>
    <font>
      <i/>
      <sz val="8"/>
      <color theme="0" tint="-0.499984740745262"/>
      <name val="Arial"/>
      <family val="2"/>
    </font>
    <font>
      <b/>
      <sz val="9"/>
      <color rgb="FFC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0"/>
      <color rgb="FFC00000"/>
      <name val="Arial"/>
      <family val="2"/>
    </font>
    <font>
      <b/>
      <sz val="10"/>
      <color rgb="FFFF0000"/>
      <name val="Arial"/>
      <family val="2"/>
    </font>
    <font>
      <sz val="11"/>
      <color rgb="FF0000FF"/>
      <name val="Calibri"/>
      <family val="2"/>
    </font>
    <font>
      <b/>
      <sz val="10"/>
      <color rgb="FF000080"/>
      <name val="Arial"/>
      <family val="2"/>
    </font>
    <font>
      <sz val="10"/>
      <color rgb="FF800000"/>
      <name val="Arial"/>
      <family val="2"/>
    </font>
    <font>
      <i/>
      <sz val="10"/>
      <name val="Arial"/>
      <family val="2"/>
    </font>
    <font>
      <u/>
      <sz val="9"/>
      <color theme="10"/>
      <name val="Calibri"/>
      <family val="2"/>
      <scheme val="minor"/>
    </font>
    <font>
      <sz val="9"/>
      <color theme="1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1"/>
      <color rgb="FF0F3141"/>
      <name val="Lato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8">
    <xf numFmtId="0" fontId="0" fillId="0" borderId="0"/>
    <xf numFmtId="44" fontId="14" fillId="0" borderId="0" applyFont="0" applyFill="0" applyBorder="0" applyAlignment="0" applyProtection="0"/>
    <xf numFmtId="0" fontId="14" fillId="0" borderId="0"/>
    <xf numFmtId="9" fontId="14" fillId="0" borderId="0" applyFont="0" applyFill="0" applyBorder="0" applyAlignment="0" applyProtection="0"/>
    <xf numFmtId="0" fontId="13" fillId="0" borderId="0"/>
    <xf numFmtId="9" fontId="21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0" fillId="0" borderId="0"/>
    <xf numFmtId="44" fontId="10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9" fillId="0" borderId="0"/>
    <xf numFmtId="43" fontId="50" fillId="0" borderId="0" applyFont="0" applyFill="0" applyBorder="0" applyAlignment="0" applyProtection="0"/>
    <xf numFmtId="0" fontId="7" fillId="0" borderId="0"/>
    <xf numFmtId="43" fontId="14" fillId="0" borderId="0" applyFont="0" applyFill="0" applyBorder="0" applyAlignment="0" applyProtection="0"/>
    <xf numFmtId="0" fontId="6" fillId="0" borderId="0"/>
    <xf numFmtId="0" fontId="6" fillId="0" borderId="0"/>
    <xf numFmtId="0" fontId="14" fillId="0" borderId="0"/>
  </cellStyleXfs>
  <cellXfs count="733">
    <xf numFmtId="0" fontId="0" fillId="0" borderId="0" xfId="0"/>
    <xf numFmtId="0" fontId="16" fillId="0" borderId="0" xfId="0" applyFont="1"/>
    <xf numFmtId="0" fontId="23" fillId="0" borderId="1" xfId="6" applyFont="1" applyBorder="1" applyAlignment="1">
      <alignment horizontal="centerContinuous"/>
    </xf>
    <xf numFmtId="0" fontId="23" fillId="0" borderId="8" xfId="6" applyFont="1" applyBorder="1" applyAlignment="1">
      <alignment horizontal="centerContinuous"/>
    </xf>
    <xf numFmtId="0" fontId="18" fillId="0" borderId="0" xfId="0" applyFont="1"/>
    <xf numFmtId="0" fontId="17" fillId="0" borderId="1" xfId="0" applyFont="1" applyBorder="1" applyAlignment="1">
      <alignment horizontal="centerContinuous"/>
    </xf>
    <xf numFmtId="0" fontId="17" fillId="0" borderId="0" xfId="0" applyFont="1" applyAlignment="1">
      <alignment wrapText="1"/>
    </xf>
    <xf numFmtId="0" fontId="24" fillId="0" borderId="0" xfId="6" applyFont="1" applyAlignment="1">
      <alignment horizontal="center"/>
    </xf>
    <xf numFmtId="0" fontId="17" fillId="2" borderId="0" xfId="6" applyFont="1" applyFill="1" applyAlignment="1">
      <alignment horizontal="center"/>
    </xf>
    <xf numFmtId="0" fontId="17" fillId="2" borderId="7" xfId="6" applyFont="1" applyFill="1" applyBorder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/>
    <xf numFmtId="0" fontId="11" fillId="0" borderId="0" xfId="6" applyFont="1" applyAlignment="1">
      <alignment horizontal="center"/>
    </xf>
    <xf numFmtId="0" fontId="16" fillId="0" borderId="0" xfId="0" applyFont="1" applyAlignment="1">
      <alignment wrapText="1"/>
    </xf>
    <xf numFmtId="0" fontId="11" fillId="0" borderId="0" xfId="6" applyFont="1" applyAlignment="1">
      <alignment wrapText="1"/>
    </xf>
    <xf numFmtId="0" fontId="11" fillId="0" borderId="0" xfId="6" applyFont="1"/>
    <xf numFmtId="0" fontId="27" fillId="0" borderId="0" xfId="0" applyFont="1"/>
    <xf numFmtId="0" fontId="0" fillId="0" borderId="0" xfId="0" applyAlignment="1">
      <alignment wrapText="1"/>
    </xf>
    <xf numFmtId="0" fontId="17" fillId="0" borderId="1" xfId="6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0" xfId="2" applyFont="1"/>
    <xf numFmtId="0" fontId="14" fillId="0" borderId="0" xfId="2"/>
    <xf numFmtId="0" fontId="14" fillId="0" borderId="7" xfId="2" applyBorder="1"/>
    <xf numFmtId="0" fontId="15" fillId="0" borderId="1" xfId="2" applyFont="1" applyBorder="1" applyAlignment="1">
      <alignment horizontal="centerContinuous"/>
    </xf>
    <xf numFmtId="0" fontId="15" fillId="0" borderId="8" xfId="2" applyFont="1" applyBorder="1" applyAlignment="1">
      <alignment horizontal="centerContinuous"/>
    </xf>
    <xf numFmtId="0" fontId="16" fillId="0" borderId="0" xfId="2" applyFont="1" applyAlignment="1">
      <alignment horizontal="center"/>
    </xf>
    <xf numFmtId="0" fontId="15" fillId="0" borderId="1" xfId="2" applyFont="1" applyBorder="1" applyAlignment="1">
      <alignment horizontal="center" wrapText="1"/>
    </xf>
    <xf numFmtId="0" fontId="15" fillId="0" borderId="8" xfId="2" applyFont="1" applyBorder="1" applyAlignment="1">
      <alignment horizontal="center" wrapText="1"/>
    </xf>
    <xf numFmtId="0" fontId="15" fillId="0" borderId="6" xfId="2" applyFont="1" applyBorder="1" applyAlignment="1">
      <alignment horizontal="center" wrapText="1"/>
    </xf>
    <xf numFmtId="0" fontId="14" fillId="0" borderId="7" xfId="2" applyBorder="1" applyAlignment="1">
      <alignment horizontal="center"/>
    </xf>
    <xf numFmtId="164" fontId="16" fillId="0" borderId="0" xfId="2" applyNumberFormat="1" applyFont="1" applyAlignment="1">
      <alignment horizontal="center"/>
    </xf>
    <xf numFmtId="164" fontId="19" fillId="0" borderId="0" xfId="2" applyNumberFormat="1" applyFont="1"/>
    <xf numFmtId="0" fontId="14" fillId="0" borderId="0" xfId="2" applyAlignment="1">
      <alignment horizontal="center"/>
    </xf>
    <xf numFmtId="0" fontId="17" fillId="0" borderId="0" xfId="2" applyFont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7" xfId="2" applyFont="1" applyFill="1" applyBorder="1" applyAlignment="1">
      <alignment horizontal="center"/>
    </xf>
    <xf numFmtId="3" fontId="15" fillId="2" borderId="0" xfId="2" applyNumberFormat="1" applyFont="1" applyFill="1" applyAlignment="1">
      <alignment horizontal="center"/>
    </xf>
    <xf numFmtId="0" fontId="32" fillId="0" borderId="0" xfId="10"/>
    <xf numFmtId="3" fontId="19" fillId="0" borderId="0" xfId="2" applyNumberFormat="1" applyFont="1"/>
    <xf numFmtId="164" fontId="16" fillId="0" borderId="0" xfId="2" applyNumberFormat="1" applyFont="1"/>
    <xf numFmtId="0" fontId="19" fillId="0" borderId="0" xfId="2" applyFont="1" applyAlignment="1">
      <alignment horizontal="center"/>
    </xf>
    <xf numFmtId="0" fontId="15" fillId="0" borderId="4" xfId="2" applyFont="1" applyBorder="1" applyAlignment="1">
      <alignment horizontal="center"/>
    </xf>
    <xf numFmtId="0" fontId="15" fillId="0" borderId="4" xfId="2" applyFont="1" applyBorder="1"/>
    <xf numFmtId="0" fontId="17" fillId="0" borderId="1" xfId="0" applyFont="1" applyBorder="1" applyAlignment="1">
      <alignment horizontal="center" wrapText="1"/>
    </xf>
    <xf numFmtId="166" fontId="24" fillId="0" borderId="0" xfId="0" applyNumberFormat="1" applyFont="1"/>
    <xf numFmtId="4" fontId="24" fillId="0" borderId="0" xfId="0" applyNumberFormat="1" applyFont="1"/>
    <xf numFmtId="10" fontId="24" fillId="0" borderId="0" xfId="0" applyNumberFormat="1" applyFont="1"/>
    <xf numFmtId="0" fontId="9" fillId="0" borderId="0" xfId="11"/>
    <xf numFmtId="0" fontId="23" fillId="0" borderId="0" xfId="6" applyFont="1"/>
    <xf numFmtId="0" fontId="23" fillId="0" borderId="7" xfId="6" applyFont="1" applyBorder="1"/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/>
    </xf>
    <xf numFmtId="166" fontId="0" fillId="0" borderId="0" xfId="0" applyNumberFormat="1" applyAlignment="1">
      <alignment horizontal="right" vertical="top"/>
    </xf>
    <xf numFmtId="166" fontId="18" fillId="0" borderId="0" xfId="0" applyNumberFormat="1" applyFont="1"/>
    <xf numFmtId="0" fontId="28" fillId="4" borderId="0" xfId="0" applyFont="1" applyFill="1" applyAlignment="1">
      <alignment horizontal="center" vertical="center" wrapText="1"/>
    </xf>
    <xf numFmtId="166" fontId="40" fillId="0" borderId="0" xfId="0" applyNumberFormat="1" applyFont="1" applyAlignment="1">
      <alignment horizontal="right" vertical="top" shrinkToFit="1"/>
    </xf>
    <xf numFmtId="166" fontId="14" fillId="0" borderId="0" xfId="0" applyNumberFormat="1" applyFont="1" applyAlignment="1">
      <alignment horizontal="right" vertical="top"/>
    </xf>
    <xf numFmtId="0" fontId="19" fillId="0" borderId="0" xfId="0" applyFont="1" applyAlignment="1">
      <alignment horizontal="center" vertical="center"/>
    </xf>
    <xf numFmtId="0" fontId="22" fillId="0" borderId="0" xfId="6" applyFont="1"/>
    <xf numFmtId="164" fontId="24" fillId="0" borderId="0" xfId="6" applyNumberFormat="1" applyFont="1" applyAlignment="1">
      <alignment horizontal="right" vertical="center"/>
    </xf>
    <xf numFmtId="0" fontId="23" fillId="0" borderId="11" xfId="6" applyFont="1" applyBorder="1" applyAlignment="1">
      <alignment horizontal="centerContinuous"/>
    </xf>
    <xf numFmtId="0" fontId="42" fillId="0" borderId="0" xfId="6" applyFont="1"/>
    <xf numFmtId="0" fontId="19" fillId="0" borderId="0" xfId="6" applyFont="1"/>
    <xf numFmtId="1" fontId="16" fillId="0" borderId="0" xfId="0" applyNumberFormat="1" applyFont="1" applyAlignment="1">
      <alignment horizontal="center"/>
    </xf>
    <xf numFmtId="0" fontId="17" fillId="0" borderId="0" xfId="0" applyFont="1" applyAlignment="1">
      <alignment horizontal="centerContinuous"/>
    </xf>
    <xf numFmtId="3" fontId="16" fillId="0" borderId="0" xfId="0" applyNumberFormat="1" applyFont="1"/>
    <xf numFmtId="0" fontId="37" fillId="0" borderId="0" xfId="0" applyFont="1" applyAlignment="1">
      <alignment horizontal="left" vertical="top"/>
    </xf>
    <xf numFmtId="166" fontId="37" fillId="0" borderId="0" xfId="0" applyNumberFormat="1" applyFont="1" applyAlignment="1">
      <alignment horizontal="right" vertical="top" shrinkToFit="1"/>
    </xf>
    <xf numFmtId="0" fontId="37" fillId="0" borderId="0" xfId="0" applyFont="1" applyAlignment="1">
      <alignment horizontal="center" vertical="top"/>
    </xf>
    <xf numFmtId="0" fontId="38" fillId="0" borderId="0" xfId="0" applyFont="1" applyAlignment="1">
      <alignment horizontal="center" vertical="top"/>
    </xf>
    <xf numFmtId="0" fontId="37" fillId="0" borderId="0" xfId="0" applyFont="1" applyAlignment="1">
      <alignment horizontal="left" vertical="center"/>
    </xf>
    <xf numFmtId="0" fontId="36" fillId="0" borderId="0" xfId="0" applyFont="1" applyAlignment="1">
      <alignment horizontal="left" vertical="top"/>
    </xf>
    <xf numFmtId="166" fontId="39" fillId="0" borderId="0" xfId="0" applyNumberFormat="1" applyFont="1" applyAlignment="1">
      <alignment horizontal="right" vertical="top" shrinkToFit="1"/>
    </xf>
    <xf numFmtId="166" fontId="36" fillId="0" borderId="0" xfId="0" applyNumberFormat="1" applyFont="1" applyAlignment="1">
      <alignment horizontal="right" vertical="top" shrinkToFit="1"/>
    </xf>
    <xf numFmtId="166" fontId="37" fillId="0" borderId="0" xfId="0" applyNumberFormat="1" applyFont="1" applyAlignment="1">
      <alignment horizontal="right" vertical="top"/>
    </xf>
    <xf numFmtId="166" fontId="40" fillId="0" borderId="0" xfId="0" applyNumberFormat="1" applyFont="1" applyAlignment="1">
      <alignment horizontal="right" vertical="top"/>
    </xf>
    <xf numFmtId="166" fontId="39" fillId="0" borderId="0" xfId="0" applyNumberFormat="1" applyFont="1" applyAlignment="1">
      <alignment horizontal="right" vertical="top"/>
    </xf>
    <xf numFmtId="166" fontId="36" fillId="0" borderId="0" xfId="0" applyNumberFormat="1" applyFont="1" applyAlignment="1">
      <alignment horizontal="right" vertical="top"/>
    </xf>
    <xf numFmtId="0" fontId="37" fillId="0" borderId="0" xfId="0" applyFont="1" applyAlignment="1">
      <alignment horizontal="left"/>
    </xf>
    <xf numFmtId="0" fontId="39" fillId="0" borderId="0" xfId="0" applyFont="1" applyAlignment="1">
      <alignment horizontal="left" vertical="top"/>
    </xf>
    <xf numFmtId="0" fontId="39" fillId="0" borderId="0" xfId="0" applyFont="1" applyAlignment="1">
      <alignment horizontal="center" vertical="top"/>
    </xf>
    <xf numFmtId="166" fontId="36" fillId="0" borderId="0" xfId="0" applyNumberFormat="1" applyFont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46" fillId="0" borderId="0" xfId="0" applyFont="1"/>
    <xf numFmtId="0" fontId="47" fillId="0" borderId="0" xfId="0" applyFont="1"/>
    <xf numFmtId="1" fontId="37" fillId="0" borderId="0" xfId="0" applyNumberFormat="1" applyFont="1" applyAlignment="1">
      <alignment horizontal="center" vertical="top"/>
    </xf>
    <xf numFmtId="1" fontId="36" fillId="0" borderId="0" xfId="0" applyNumberFormat="1" applyFont="1" applyAlignment="1">
      <alignment horizontal="center" vertical="top"/>
    </xf>
    <xf numFmtId="1" fontId="14" fillId="0" borderId="0" xfId="0" applyNumberFormat="1" applyFont="1" applyAlignment="1">
      <alignment horizontal="center" vertical="top"/>
    </xf>
    <xf numFmtId="1" fontId="37" fillId="0" borderId="0" xfId="0" applyNumberFormat="1" applyFont="1" applyAlignment="1">
      <alignment horizontal="center" vertical="top" shrinkToFit="1"/>
    </xf>
    <xf numFmtId="1" fontId="36" fillId="0" borderId="0" xfId="0" applyNumberFormat="1" applyFont="1" applyAlignment="1">
      <alignment horizontal="center" vertical="top" shrinkToFit="1"/>
    </xf>
    <xf numFmtId="0" fontId="30" fillId="0" borderId="0" xfId="0" applyFont="1" applyAlignment="1">
      <alignment horizontal="center"/>
    </xf>
    <xf numFmtId="45" fontId="49" fillId="0" borderId="0" xfId="0" applyNumberFormat="1" applyFont="1" applyAlignment="1">
      <alignment horizontal="center" vertical="center"/>
    </xf>
    <xf numFmtId="164" fontId="17" fillId="2" borderId="2" xfId="6" applyNumberFormat="1" applyFont="1" applyFill="1" applyBorder="1" applyAlignment="1">
      <alignment horizontal="center"/>
    </xf>
    <xf numFmtId="3" fontId="19" fillId="5" borderId="0" xfId="0" applyNumberFormat="1" applyFont="1" applyFill="1" applyAlignment="1">
      <alignment horizontal="center" vertical="center"/>
    </xf>
    <xf numFmtId="3" fontId="45" fillId="0" borderId="0" xfId="0" applyNumberFormat="1" applyFont="1" applyAlignment="1">
      <alignment horizontal="center" wrapText="1"/>
    </xf>
    <xf numFmtId="0" fontId="0" fillId="0" borderId="7" xfId="0" applyBorder="1"/>
    <xf numFmtId="0" fontId="17" fillId="0" borderId="6" xfId="0" applyFont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3" fontId="45" fillId="0" borderId="0" xfId="0" applyNumberFormat="1" applyFont="1" applyAlignment="1">
      <alignment wrapText="1"/>
    </xf>
    <xf numFmtId="0" fontId="48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0" fontId="8" fillId="0" borderId="0" xfId="6" applyFont="1"/>
    <xf numFmtId="0" fontId="8" fillId="0" borderId="0" xfId="6" applyFont="1" applyAlignment="1">
      <alignment horizontal="center"/>
    </xf>
    <xf numFmtId="0" fontId="8" fillId="0" borderId="0" xfId="6" applyFont="1" applyAlignment="1">
      <alignment wrapText="1"/>
    </xf>
    <xf numFmtId="0" fontId="16" fillId="0" borderId="0" xfId="6" applyFont="1" applyAlignment="1">
      <alignment horizontal="left" vertical="center" wrapText="1"/>
    </xf>
    <xf numFmtId="0" fontId="19" fillId="0" borderId="3" xfId="6" applyFont="1" applyBorder="1" applyAlignment="1">
      <alignment horizontal="center" vertical="center"/>
    </xf>
    <xf numFmtId="0" fontId="19" fillId="0" borderId="7" xfId="6" applyFont="1" applyBorder="1" applyAlignment="1">
      <alignment horizontal="center" vertical="center"/>
    </xf>
    <xf numFmtId="0" fontId="19" fillId="0" borderId="0" xfId="6" applyFont="1" applyAlignment="1">
      <alignment horizontal="center" vertical="center"/>
    </xf>
    <xf numFmtId="2" fontId="35" fillId="0" borderId="0" xfId="0" applyNumberFormat="1" applyFont="1"/>
    <xf numFmtId="0" fontId="17" fillId="0" borderId="4" xfId="6" applyFont="1" applyBorder="1" applyAlignment="1">
      <alignment horizontal="center" vertical="center" wrapText="1"/>
    </xf>
    <xf numFmtId="0" fontId="17" fillId="0" borderId="6" xfId="6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center"/>
    </xf>
    <xf numFmtId="0" fontId="26" fillId="3" borderId="0" xfId="0" applyFont="1" applyFill="1" applyAlignment="1">
      <alignment horizontal="left"/>
    </xf>
    <xf numFmtId="3" fontId="45" fillId="3" borderId="0" xfId="0" applyNumberFormat="1" applyFont="1" applyFill="1" applyAlignment="1">
      <alignment wrapText="1"/>
    </xf>
    <xf numFmtId="3" fontId="19" fillId="0" borderId="0" xfId="0" applyNumberFormat="1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16" fillId="0" borderId="0" xfId="2" applyFont="1" applyAlignment="1">
      <alignment horizontal="left" vertical="center"/>
    </xf>
    <xf numFmtId="0" fontId="26" fillId="3" borderId="0" xfId="0" applyFont="1" applyFill="1" applyAlignment="1">
      <alignment vertical="center"/>
    </xf>
    <xf numFmtId="0" fontId="16" fillId="3" borderId="0" xfId="0" applyFont="1" applyFill="1" applyAlignment="1">
      <alignment horizontal="left" vertical="center"/>
    </xf>
    <xf numFmtId="0" fontId="16" fillId="3" borderId="0" xfId="0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vertical="center" wrapText="1"/>
    </xf>
    <xf numFmtId="0" fontId="17" fillId="3" borderId="0" xfId="0" applyFont="1" applyFill="1" applyAlignment="1">
      <alignment vertical="center"/>
    </xf>
    <xf numFmtId="0" fontId="19" fillId="0" borderId="0" xfId="2" applyFont="1" applyAlignment="1">
      <alignment vertical="center"/>
    </xf>
    <xf numFmtId="0" fontId="16" fillId="0" borderId="0" xfId="2" applyFont="1" applyAlignment="1">
      <alignment vertical="center"/>
    </xf>
    <xf numFmtId="9" fontId="19" fillId="0" borderId="0" xfId="2" applyNumberFormat="1" applyFont="1" applyAlignment="1">
      <alignment vertical="center"/>
    </xf>
    <xf numFmtId="167" fontId="19" fillId="0" borderId="0" xfId="2" applyNumberFormat="1" applyFont="1" applyAlignment="1">
      <alignment vertical="center"/>
    </xf>
    <xf numFmtId="0" fontId="26" fillId="3" borderId="0" xfId="0" applyFont="1" applyFill="1" applyAlignment="1">
      <alignment horizontal="left" vertical="center"/>
    </xf>
    <xf numFmtId="167" fontId="19" fillId="3" borderId="0" xfId="0" applyNumberFormat="1" applyFont="1" applyFill="1" applyAlignment="1">
      <alignment vertical="center"/>
    </xf>
    <xf numFmtId="0" fontId="17" fillId="0" borderId="0" xfId="0" applyFont="1" applyAlignment="1">
      <alignment horizontal="left" vertical="center"/>
    </xf>
    <xf numFmtId="167" fontId="17" fillId="0" borderId="0" xfId="0" applyNumberFormat="1" applyFont="1" applyAlignment="1">
      <alignment vertical="center"/>
    </xf>
    <xf numFmtId="0" fontId="17" fillId="0" borderId="0" xfId="0" applyFont="1" applyAlignment="1">
      <alignment vertical="center"/>
    </xf>
    <xf numFmtId="0" fontId="16" fillId="0" borderId="0" xfId="0" applyFont="1" applyAlignment="1">
      <alignment horizontal="left" vertical="center" wrapText="1"/>
    </xf>
    <xf numFmtId="167" fontId="19" fillId="0" borderId="0" xfId="0" applyNumberFormat="1" applyFont="1" applyAlignment="1">
      <alignment vertical="center"/>
    </xf>
    <xf numFmtId="0" fontId="55" fillId="0" borderId="0" xfId="2" applyFont="1" applyAlignment="1">
      <alignment horizontal="left" vertical="center"/>
    </xf>
    <xf numFmtId="0" fontId="56" fillId="0" borderId="0" xfId="0" applyFont="1" applyAlignment="1">
      <alignment vertical="center"/>
    </xf>
    <xf numFmtId="164" fontId="24" fillId="0" borderId="2" xfId="6" applyNumberFormat="1" applyFont="1" applyBorder="1" applyAlignment="1">
      <alignment horizontal="center"/>
    </xf>
    <xf numFmtId="164" fontId="16" fillId="0" borderId="0" xfId="0" applyNumberFormat="1" applyFont="1" applyAlignment="1">
      <alignment horizontal="center"/>
    </xf>
    <xf numFmtId="164" fontId="24" fillId="0" borderId="0" xfId="6" applyNumberFormat="1" applyFont="1" applyAlignment="1">
      <alignment horizontal="center"/>
    </xf>
    <xf numFmtId="164" fontId="17" fillId="2" borderId="0" xfId="0" applyNumberFormat="1" applyFont="1" applyFill="1" applyAlignment="1">
      <alignment horizontal="center"/>
    </xf>
    <xf numFmtId="164" fontId="17" fillId="2" borderId="0" xfId="6" applyNumberFormat="1" applyFont="1" applyFill="1" applyAlignment="1">
      <alignment horizontal="center"/>
    </xf>
    <xf numFmtId="0" fontId="23" fillId="3" borderId="0" xfId="6" applyFont="1" applyFill="1" applyAlignment="1">
      <alignment horizontal="centerContinuous"/>
    </xf>
    <xf numFmtId="164" fontId="24" fillId="0" borderId="0" xfId="0" applyNumberFormat="1" applyFont="1" applyAlignment="1">
      <alignment horizontal="center"/>
    </xf>
    <xf numFmtId="0" fontId="16" fillId="0" borderId="0" xfId="0" applyFont="1" applyAlignment="1">
      <alignment horizontal="centerContinuous"/>
    </xf>
    <xf numFmtId="0" fontId="54" fillId="0" borderId="0" xfId="0" applyFont="1"/>
    <xf numFmtId="0" fontId="17" fillId="0" borderId="1" xfId="0" applyFont="1" applyBorder="1" applyAlignment="1">
      <alignment horizontal="centerContinuous" vertical="center" wrapText="1"/>
    </xf>
    <xf numFmtId="0" fontId="16" fillId="0" borderId="1" xfId="0" applyFont="1" applyBorder="1" applyAlignment="1">
      <alignment horizontal="centerContinuous" vertical="center" wrapText="1"/>
    </xf>
    <xf numFmtId="164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164" fontId="16" fillId="0" borderId="0" xfId="1" applyNumberFormat="1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164" fontId="24" fillId="0" borderId="0" xfId="0" applyNumberFormat="1" applyFont="1" applyAlignment="1">
      <alignment horizontal="center" vertical="center"/>
    </xf>
    <xf numFmtId="164" fontId="16" fillId="0" borderId="7" xfId="0" applyNumberFormat="1" applyFont="1" applyBorder="1" applyAlignment="1">
      <alignment horizontal="center" vertical="center"/>
    </xf>
    <xf numFmtId="164" fontId="17" fillId="2" borderId="0" xfId="0" applyNumberFormat="1" applyFont="1" applyFill="1" applyAlignment="1">
      <alignment horizontal="center" vertical="center"/>
    </xf>
    <xf numFmtId="164" fontId="17" fillId="2" borderId="7" xfId="0" applyNumberFormat="1" applyFont="1" applyFill="1" applyBorder="1" applyAlignment="1">
      <alignment horizontal="center" vertical="center"/>
    </xf>
    <xf numFmtId="0" fontId="28" fillId="3" borderId="0" xfId="0" applyFont="1" applyFill="1" applyAlignment="1">
      <alignment vertical="center"/>
    </xf>
    <xf numFmtId="0" fontId="28" fillId="3" borderId="0" xfId="0" applyFont="1" applyFill="1" applyAlignment="1">
      <alignment vertical="center" wrapText="1"/>
    </xf>
    <xf numFmtId="0" fontId="29" fillId="0" borderId="0" xfId="0" applyFont="1" applyAlignment="1">
      <alignment vertical="center" wrapText="1"/>
    </xf>
    <xf numFmtId="164" fontId="29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164" fontId="28" fillId="3" borderId="0" xfId="0" applyNumberFormat="1" applyFont="1" applyFill="1" applyAlignment="1">
      <alignment vertical="center" wrapText="1"/>
    </xf>
    <xf numFmtId="0" fontId="41" fillId="0" borderId="0" xfId="0" applyFont="1" applyAlignment="1">
      <alignment vertical="center" wrapText="1"/>
    </xf>
    <xf numFmtId="0" fontId="28" fillId="4" borderId="0" xfId="0" applyFont="1" applyFill="1" applyAlignment="1">
      <alignment vertical="center"/>
    </xf>
    <xf numFmtId="0" fontId="28" fillId="4" borderId="0" xfId="0" applyFont="1" applyFill="1" applyAlignment="1">
      <alignment horizontal="right" vertical="center" wrapText="1"/>
    </xf>
    <xf numFmtId="164" fontId="28" fillId="4" borderId="0" xfId="0" applyNumberFormat="1" applyFont="1" applyFill="1" applyAlignment="1">
      <alignment horizontal="center" vertical="center" wrapText="1"/>
    </xf>
    <xf numFmtId="40" fontId="28" fillId="4" borderId="0" xfId="0" applyNumberFormat="1" applyFont="1" applyFill="1" applyAlignment="1">
      <alignment horizontal="center" vertical="center"/>
    </xf>
    <xf numFmtId="0" fontId="57" fillId="0" borderId="1" xfId="0" applyFont="1" applyBorder="1" applyAlignment="1">
      <alignment horizontal="center" vertical="center" wrapText="1"/>
    </xf>
    <xf numFmtId="1" fontId="57" fillId="0" borderId="1" xfId="0" applyNumberFormat="1" applyFont="1" applyBorder="1" applyAlignment="1">
      <alignment horizontal="center" vertical="center" wrapText="1"/>
    </xf>
    <xf numFmtId="0" fontId="57" fillId="0" borderId="4" xfId="0" applyFont="1" applyBorder="1" applyAlignment="1">
      <alignment horizontal="left" vertical="top"/>
    </xf>
    <xf numFmtId="0" fontId="30" fillId="0" borderId="4" xfId="0" applyFont="1" applyBorder="1" applyAlignment="1">
      <alignment horizontal="center" vertical="top"/>
    </xf>
    <xf numFmtId="0" fontId="30" fillId="0" borderId="0" xfId="0" applyFont="1" applyAlignment="1">
      <alignment horizontal="left" vertical="top"/>
    </xf>
    <xf numFmtId="164" fontId="58" fillId="0" borderId="0" xfId="0" applyNumberFormat="1" applyFont="1" applyAlignment="1">
      <alignment horizontal="center" vertical="top" shrinkToFit="1"/>
    </xf>
    <xf numFmtId="1" fontId="58" fillId="0" borderId="0" xfId="0" applyNumberFormat="1" applyFont="1" applyAlignment="1">
      <alignment horizontal="center" vertical="top" shrinkToFit="1"/>
    </xf>
    <xf numFmtId="164" fontId="30" fillId="0" borderId="0" xfId="0" applyNumberFormat="1" applyFont="1" applyAlignment="1">
      <alignment horizontal="center" vertical="top" shrinkToFit="1"/>
    </xf>
    <xf numFmtId="0" fontId="59" fillId="0" borderId="0" xfId="0" applyFont="1" applyAlignment="1">
      <alignment horizontal="center" vertical="top"/>
    </xf>
    <xf numFmtId="0" fontId="57" fillId="6" borderId="0" xfId="0" applyFont="1" applyFill="1" applyAlignment="1">
      <alignment horizontal="left" vertical="top"/>
    </xf>
    <xf numFmtId="164" fontId="60" fillId="6" borderId="0" xfId="0" applyNumberFormat="1" applyFont="1" applyFill="1" applyAlignment="1">
      <alignment horizontal="center" vertical="top" shrinkToFit="1"/>
    </xf>
    <xf numFmtId="1" fontId="57" fillId="6" borderId="0" xfId="0" applyNumberFormat="1" applyFont="1" applyFill="1" applyAlignment="1">
      <alignment horizontal="center" vertical="top" shrinkToFit="1"/>
    </xf>
    <xf numFmtId="164" fontId="57" fillId="6" borderId="0" xfId="0" applyNumberFormat="1" applyFont="1" applyFill="1" applyAlignment="1">
      <alignment horizontal="center" vertical="top" shrinkToFit="1"/>
    </xf>
    <xf numFmtId="0" fontId="30" fillId="6" borderId="0" xfId="0" applyFont="1" applyFill="1" applyAlignment="1">
      <alignment horizontal="center" vertical="top"/>
    </xf>
    <xf numFmtId="0" fontId="30" fillId="0" borderId="0" xfId="0" applyFont="1" applyAlignment="1">
      <alignment horizontal="left"/>
    </xf>
    <xf numFmtId="0" fontId="30" fillId="0" borderId="0" xfId="0" applyFont="1"/>
    <xf numFmtId="0" fontId="59" fillId="6" borderId="0" xfId="0" applyFont="1" applyFill="1" applyAlignment="1">
      <alignment horizontal="center" vertical="top"/>
    </xf>
    <xf numFmtId="0" fontId="57" fillId="7" borderId="4" xfId="0" applyFont="1" applyFill="1" applyBorder="1" applyAlignment="1">
      <alignment horizontal="left" vertical="top"/>
    </xf>
    <xf numFmtId="0" fontId="30" fillId="7" borderId="4" xfId="0" applyFont="1" applyFill="1" applyBorder="1" applyAlignment="1">
      <alignment horizontal="left" vertical="top"/>
    </xf>
    <xf numFmtId="166" fontId="30" fillId="7" borderId="4" xfId="0" applyNumberFormat="1" applyFont="1" applyFill="1" applyBorder="1" applyAlignment="1">
      <alignment horizontal="center" vertical="top"/>
    </xf>
    <xf numFmtId="1" fontId="30" fillId="7" borderId="4" xfId="0" applyNumberFormat="1" applyFont="1" applyFill="1" applyBorder="1" applyAlignment="1">
      <alignment horizontal="center" vertical="top"/>
    </xf>
    <xf numFmtId="0" fontId="30" fillId="7" borderId="4" xfId="0" applyFont="1" applyFill="1" applyBorder="1" applyAlignment="1">
      <alignment horizontal="center" vertical="top"/>
    </xf>
    <xf numFmtId="0" fontId="18" fillId="0" borderId="0" xfId="0" applyFont="1" applyAlignment="1">
      <alignment horizontal="left" vertical="top"/>
    </xf>
    <xf numFmtId="166" fontId="18" fillId="0" borderId="0" xfId="0" applyNumberFormat="1" applyFont="1" applyAlignment="1">
      <alignment horizontal="right" vertical="top"/>
    </xf>
    <xf numFmtId="1" fontId="18" fillId="0" borderId="0" xfId="0" applyNumberFormat="1" applyFont="1" applyAlignment="1">
      <alignment horizontal="center" vertical="top"/>
    </xf>
    <xf numFmtId="0" fontId="18" fillId="0" borderId="0" xfId="0" applyFont="1" applyAlignment="1">
      <alignment horizontal="center" vertical="top"/>
    </xf>
    <xf numFmtId="0" fontId="30" fillId="0" borderId="1" xfId="0" applyFont="1" applyBorder="1" applyAlignment="1">
      <alignment horizontal="center" vertical="center"/>
    </xf>
    <xf numFmtId="0" fontId="57" fillId="0" borderId="1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164" fontId="30" fillId="0" borderId="0" xfId="0" applyNumberFormat="1" applyFont="1" applyAlignment="1">
      <alignment horizontal="center" vertical="center"/>
    </xf>
    <xf numFmtId="0" fontId="57" fillId="0" borderId="4" xfId="0" applyFont="1" applyBorder="1" applyAlignment="1">
      <alignment horizontal="center" vertical="center"/>
    </xf>
    <xf numFmtId="164" fontId="57" fillId="0" borderId="4" xfId="0" applyNumberFormat="1" applyFont="1" applyBorder="1" applyAlignment="1">
      <alignment horizontal="center" vertical="center"/>
    </xf>
    <xf numFmtId="164" fontId="61" fillId="0" borderId="4" xfId="0" applyNumberFormat="1" applyFont="1" applyBorder="1" applyAlignment="1">
      <alignment horizontal="center" vertical="center"/>
    </xf>
    <xf numFmtId="0" fontId="62" fillId="0" borderId="0" xfId="0" applyFont="1" applyAlignment="1">
      <alignment horizontal="center" vertical="center"/>
    </xf>
    <xf numFmtId="9" fontId="58" fillId="0" borderId="0" xfId="5" applyFont="1" applyAlignment="1">
      <alignment horizontal="center" vertical="center"/>
    </xf>
    <xf numFmtId="0" fontId="18" fillId="8" borderId="0" xfId="0" applyFont="1" applyFill="1"/>
    <xf numFmtId="0" fontId="18" fillId="8" borderId="0" xfId="0" applyFont="1" applyFill="1" applyAlignment="1">
      <alignment horizontal="center" vertical="top"/>
    </xf>
    <xf numFmtId="0" fontId="31" fillId="8" borderId="0" xfId="0" applyFont="1" applyFill="1"/>
    <xf numFmtId="0" fontId="31" fillId="2" borderId="4" xfId="0" applyFont="1" applyFill="1" applyBorder="1" applyAlignment="1">
      <alignment horizontal="left" vertical="center"/>
    </xf>
    <xf numFmtId="164" fontId="31" fillId="2" borderId="4" xfId="0" applyNumberFormat="1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/>
    </xf>
    <xf numFmtId="0" fontId="57" fillId="2" borderId="4" xfId="0" applyFont="1" applyFill="1" applyBorder="1" applyAlignment="1">
      <alignment horizontal="center" vertical="center"/>
    </xf>
    <xf numFmtId="164" fontId="57" fillId="2" borderId="4" xfId="0" applyNumberFormat="1" applyFont="1" applyFill="1" applyBorder="1" applyAlignment="1">
      <alignment horizontal="center" vertical="center"/>
    </xf>
    <xf numFmtId="9" fontId="30" fillId="2" borderId="4" xfId="5" applyFont="1" applyFill="1" applyBorder="1" applyAlignment="1">
      <alignment horizontal="center" vertical="center"/>
    </xf>
    <xf numFmtId="0" fontId="63" fillId="0" borderId="0" xfId="0" applyFont="1"/>
    <xf numFmtId="0" fontId="63" fillId="0" borderId="0" xfId="0" applyFont="1" applyAlignment="1">
      <alignment horizontal="center" vertical="center"/>
    </xf>
    <xf numFmtId="0" fontId="64" fillId="0" borderId="0" xfId="0" applyFont="1" applyAlignment="1">
      <alignment horizontal="right" wrapText="1"/>
    </xf>
    <xf numFmtId="164" fontId="64" fillId="0" borderId="0" xfId="0" applyNumberFormat="1" applyFont="1"/>
    <xf numFmtId="0" fontId="16" fillId="0" borderId="7" xfId="0" applyFont="1" applyBorder="1" applyAlignment="1">
      <alignment horizontal="center" vertical="center"/>
    </xf>
    <xf numFmtId="164" fontId="16" fillId="0" borderId="15" xfId="0" applyNumberFormat="1" applyFont="1" applyBorder="1" applyAlignment="1">
      <alignment horizontal="center" vertical="center"/>
    </xf>
    <xf numFmtId="0" fontId="33" fillId="0" borderId="0" xfId="0" applyFont="1"/>
    <xf numFmtId="0" fontId="30" fillId="0" borderId="0" xfId="0" applyFont="1" applyAlignment="1">
      <alignment wrapText="1"/>
    </xf>
    <xf numFmtId="169" fontId="58" fillId="0" borderId="0" xfId="0" applyNumberFormat="1" applyFont="1" applyAlignment="1">
      <alignment horizontal="right" vertical="center"/>
    </xf>
    <xf numFmtId="0" fontId="57" fillId="0" borderId="0" xfId="0" applyFont="1"/>
    <xf numFmtId="0" fontId="57" fillId="0" borderId="7" xfId="0" applyFont="1" applyBorder="1"/>
    <xf numFmtId="0" fontId="57" fillId="0" borderId="8" xfId="0" applyFont="1" applyBorder="1" applyAlignment="1">
      <alignment horizontal="center" vertical="center" wrapText="1"/>
    </xf>
    <xf numFmtId="0" fontId="57" fillId="0" borderId="14" xfId="0" applyFont="1" applyBorder="1" applyAlignment="1">
      <alignment horizontal="center" vertical="center" wrapText="1"/>
    </xf>
    <xf numFmtId="0" fontId="30" fillId="0" borderId="7" xfId="0" applyFont="1" applyBorder="1" applyAlignment="1">
      <alignment horizontal="center" vertical="center"/>
    </xf>
    <xf numFmtId="164" fontId="30" fillId="0" borderId="3" xfId="0" applyNumberFormat="1" applyFont="1" applyBorder="1" applyAlignment="1">
      <alignment horizontal="center" vertical="center"/>
    </xf>
    <xf numFmtId="0" fontId="66" fillId="0" borderId="0" xfId="6" applyFont="1" applyAlignment="1">
      <alignment horizontal="center" vertical="center"/>
    </xf>
    <xf numFmtId="0" fontId="57" fillId="2" borderId="0" xfId="0" applyFont="1" applyFill="1" applyAlignment="1">
      <alignment horizontal="center" vertical="center"/>
    </xf>
    <xf numFmtId="0" fontId="57" fillId="2" borderId="7" xfId="0" applyFont="1" applyFill="1" applyBorder="1" applyAlignment="1">
      <alignment horizontal="center" vertical="center"/>
    </xf>
    <xf numFmtId="164" fontId="57" fillId="2" borderId="0" xfId="0" applyNumberFormat="1" applyFont="1" applyFill="1" applyAlignment="1">
      <alignment horizontal="center" vertical="center"/>
    </xf>
    <xf numFmtId="164" fontId="57" fillId="2" borderId="3" xfId="0" applyNumberFormat="1" applyFont="1" applyFill="1" applyBorder="1" applyAlignment="1">
      <alignment horizontal="center" vertical="center"/>
    </xf>
    <xf numFmtId="0" fontId="57" fillId="0" borderId="0" xfId="0" applyFont="1" applyAlignment="1">
      <alignment horizontal="left"/>
    </xf>
    <xf numFmtId="0" fontId="59" fillId="0" borderId="0" xfId="0" applyFont="1" applyAlignment="1">
      <alignment horizontal="left" vertical="center"/>
    </xf>
    <xf numFmtId="0" fontId="58" fillId="0" borderId="0" xfId="0" applyFont="1" applyAlignment="1">
      <alignment horizontal="center" vertical="center"/>
    </xf>
    <xf numFmtId="1" fontId="58" fillId="0" borderId="0" xfId="0" applyNumberFormat="1" applyFont="1" applyAlignment="1">
      <alignment horizontal="center" vertical="center"/>
    </xf>
    <xf numFmtId="0" fontId="57" fillId="0" borderId="1" xfId="0" applyFont="1" applyBorder="1" applyAlignment="1">
      <alignment horizontal="centerContinuous" vertical="center" wrapText="1"/>
    </xf>
    <xf numFmtId="0" fontId="57" fillId="0" borderId="14" xfId="0" applyFont="1" applyBorder="1" applyAlignment="1">
      <alignment horizontal="centerContinuous" vertical="center"/>
    </xf>
    <xf numFmtId="0" fontId="57" fillId="0" borderId="1" xfId="0" applyFont="1" applyBorder="1" applyAlignment="1">
      <alignment horizontal="centerContinuous" vertical="center"/>
    </xf>
    <xf numFmtId="0" fontId="34" fillId="0" borderId="0" xfId="0" applyFont="1"/>
    <xf numFmtId="167" fontId="34" fillId="0" borderId="0" xfId="5" applyNumberFormat="1" applyFont="1"/>
    <xf numFmtId="9" fontId="34" fillId="0" borderId="0" xfId="5" applyFont="1"/>
    <xf numFmtId="0" fontId="14" fillId="0" borderId="0" xfId="0" applyFont="1" applyAlignment="1">
      <alignment horizontal="left" vertical="top"/>
    </xf>
    <xf numFmtId="166" fontId="49" fillId="0" borderId="0" xfId="0" applyNumberFormat="1" applyFont="1" applyAlignment="1">
      <alignment horizontal="right" vertical="top" shrinkToFit="1"/>
    </xf>
    <xf numFmtId="1" fontId="14" fillId="0" borderId="0" xfId="0" applyNumberFormat="1" applyFont="1" applyAlignment="1">
      <alignment horizontal="center" vertical="top" shrinkToFit="1"/>
    </xf>
    <xf numFmtId="166" fontId="14" fillId="0" borderId="0" xfId="0" applyNumberFormat="1" applyFont="1" applyAlignment="1">
      <alignment horizontal="right" vertical="top" shrinkToFit="1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left" vertical="top"/>
    </xf>
    <xf numFmtId="166" fontId="67" fillId="0" borderId="0" xfId="0" applyNumberFormat="1" applyFont="1" applyAlignment="1">
      <alignment horizontal="right" vertical="top" shrinkToFit="1"/>
    </xf>
    <xf numFmtId="1" fontId="15" fillId="0" borderId="0" xfId="0" applyNumberFormat="1" applyFont="1" applyAlignment="1">
      <alignment horizontal="center" vertical="top" shrinkToFit="1"/>
    </xf>
    <xf numFmtId="166" fontId="15" fillId="0" borderId="0" xfId="0" applyNumberFormat="1" applyFont="1" applyAlignment="1">
      <alignment horizontal="right" vertical="top" shrinkToFit="1"/>
    </xf>
    <xf numFmtId="0" fontId="18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30" fillId="3" borderId="0" xfId="0" applyFont="1" applyFill="1"/>
    <xf numFmtId="0" fontId="57" fillId="3" borderId="0" xfId="0" applyFont="1" applyFill="1"/>
    <xf numFmtId="0" fontId="23" fillId="0" borderId="1" xfId="6" applyFont="1" applyBorder="1" applyAlignment="1">
      <alignment horizontal="center" vertical="center"/>
    </xf>
    <xf numFmtId="0" fontId="23" fillId="0" borderId="5" xfId="6" applyFont="1" applyBorder="1" applyAlignment="1">
      <alignment horizontal="center" vertical="center" wrapText="1"/>
    </xf>
    <xf numFmtId="0" fontId="23" fillId="0" borderId="4" xfId="6" applyFont="1" applyBorder="1" applyAlignment="1">
      <alignment horizontal="center" vertical="center" wrapText="1"/>
    </xf>
    <xf numFmtId="0" fontId="23" fillId="0" borderId="6" xfId="6" applyFont="1" applyBorder="1" applyAlignment="1">
      <alignment horizontal="center" vertical="center" wrapText="1"/>
    </xf>
    <xf numFmtId="0" fontId="16" fillId="0" borderId="13" xfId="6" applyFont="1" applyBorder="1" applyAlignment="1">
      <alignment horizontal="left" vertical="center" wrapText="1"/>
    </xf>
    <xf numFmtId="0" fontId="19" fillId="0" borderId="13" xfId="6" applyFont="1" applyBorder="1" applyAlignment="1">
      <alignment horizontal="center" vertical="center"/>
    </xf>
    <xf numFmtId="0" fontId="68" fillId="0" borderId="0" xfId="6" applyFont="1" applyAlignment="1">
      <alignment horizontal="center"/>
    </xf>
    <xf numFmtId="0" fontId="68" fillId="0" borderId="0" xfId="6" applyFont="1" applyAlignment="1">
      <alignment horizontal="center" vertical="center"/>
    </xf>
    <xf numFmtId="164" fontId="23" fillId="2" borderId="0" xfId="6" applyNumberFormat="1" applyFont="1" applyFill="1"/>
    <xf numFmtId="0" fontId="23" fillId="2" borderId="0" xfId="6" applyFont="1" applyFill="1" applyAlignment="1">
      <alignment horizontal="right"/>
    </xf>
    <xf numFmtId="164" fontId="17" fillId="2" borderId="0" xfId="6" applyNumberFormat="1" applyFont="1" applyFill="1" applyAlignment="1">
      <alignment horizontal="center" vertical="center"/>
    </xf>
    <xf numFmtId="0" fontId="17" fillId="0" borderId="0" xfId="0" applyFont="1" applyAlignment="1">
      <alignment vertical="top"/>
    </xf>
    <xf numFmtId="0" fontId="0" fillId="3" borderId="0" xfId="0" applyFill="1"/>
    <xf numFmtId="0" fontId="15" fillId="3" borderId="0" xfId="0" applyFont="1" applyFill="1"/>
    <xf numFmtId="0" fontId="17" fillId="0" borderId="8" xfId="6" applyFont="1" applyBorder="1" applyAlignment="1">
      <alignment horizontal="center" vertical="center" wrapText="1"/>
    </xf>
    <xf numFmtId="0" fontId="24" fillId="0" borderId="0" xfId="6" applyFont="1" applyAlignment="1">
      <alignment horizontal="center" vertical="center"/>
    </xf>
    <xf numFmtId="0" fontId="17" fillId="2" borderId="0" xfId="6" applyFont="1" applyFill="1" applyAlignment="1">
      <alignment horizontal="center" vertical="center"/>
    </xf>
    <xf numFmtId="0" fontId="17" fillId="2" borderId="7" xfId="6" applyFont="1" applyFill="1" applyBorder="1" applyAlignment="1">
      <alignment horizontal="center" vertical="center"/>
    </xf>
    <xf numFmtId="0" fontId="43" fillId="2" borderId="2" xfId="6" applyFont="1" applyFill="1" applyBorder="1" applyAlignment="1">
      <alignment horizontal="center" vertical="center"/>
    </xf>
    <xf numFmtId="3" fontId="16" fillId="0" borderId="0" xfId="6" applyNumberFormat="1" applyFont="1" applyAlignment="1">
      <alignment horizontal="center" vertical="center" wrapText="1"/>
    </xf>
    <xf numFmtId="3" fontId="16" fillId="0" borderId="0" xfId="6" applyNumberFormat="1" applyFont="1" applyAlignment="1">
      <alignment horizontal="center" vertical="center"/>
    </xf>
    <xf numFmtId="164" fontId="17" fillId="2" borderId="7" xfId="6" applyNumberFormat="1" applyFont="1" applyFill="1" applyBorder="1" applyAlignment="1">
      <alignment horizontal="center" vertical="center"/>
    </xf>
    <xf numFmtId="164" fontId="17" fillId="2" borderId="3" xfId="6" applyNumberFormat="1" applyFont="1" applyFill="1" applyBorder="1" applyAlignment="1">
      <alignment horizontal="center" vertical="center"/>
    </xf>
    <xf numFmtId="164" fontId="16" fillId="2" borderId="0" xfId="6" applyNumberFormat="1" applyFont="1" applyFill="1" applyAlignment="1">
      <alignment horizontal="center" vertical="center"/>
    </xf>
    <xf numFmtId="0" fontId="16" fillId="3" borderId="0" xfId="2" applyFont="1" applyFill="1"/>
    <xf numFmtId="0" fontId="17" fillId="3" borderId="0" xfId="2" applyFont="1" applyFill="1"/>
    <xf numFmtId="0" fontId="15" fillId="0" borderId="1" xfId="2" applyFont="1" applyBorder="1" applyAlignment="1">
      <alignment horizontal="center" vertical="center" wrapText="1"/>
    </xf>
    <xf numFmtId="0" fontId="17" fillId="0" borderId="16" xfId="6" applyFont="1" applyBorder="1" applyAlignment="1">
      <alignment horizontal="center" vertical="center" wrapText="1"/>
    </xf>
    <xf numFmtId="3" fontId="16" fillId="0" borderId="7" xfId="6" applyNumberFormat="1" applyFont="1" applyBorder="1" applyAlignment="1">
      <alignment horizontal="center" vertical="center"/>
    </xf>
    <xf numFmtId="164" fontId="16" fillId="0" borderId="0" xfId="6" applyNumberFormat="1" applyFont="1" applyAlignment="1">
      <alignment horizontal="center" vertical="center"/>
    </xf>
    <xf numFmtId="164" fontId="16" fillId="0" borderId="7" xfId="6" applyNumberFormat="1" applyFont="1" applyBorder="1" applyAlignment="1">
      <alignment horizontal="center" vertical="center"/>
    </xf>
    <xf numFmtId="3" fontId="17" fillId="2" borderId="0" xfId="6" applyNumberFormat="1" applyFont="1" applyFill="1" applyAlignment="1">
      <alignment horizontal="center" vertical="center"/>
    </xf>
    <xf numFmtId="3" fontId="17" fillId="2" borderId="7" xfId="6" applyNumberFormat="1" applyFont="1" applyFill="1" applyBorder="1" applyAlignment="1">
      <alignment horizontal="center" vertical="center"/>
    </xf>
    <xf numFmtId="3" fontId="17" fillId="2" borderId="3" xfId="6" applyNumberFormat="1" applyFont="1" applyFill="1" applyBorder="1" applyAlignment="1">
      <alignment horizontal="center" vertical="center"/>
    </xf>
    <xf numFmtId="166" fontId="24" fillId="0" borderId="0" xfId="0" applyNumberFormat="1" applyFont="1" applyAlignment="1">
      <alignment horizontal="centerContinuous"/>
    </xf>
    <xf numFmtId="4" fontId="24" fillId="0" borderId="0" xfId="0" applyNumberFormat="1" applyFont="1" applyAlignment="1">
      <alignment horizontal="centerContinuous"/>
    </xf>
    <xf numFmtId="10" fontId="24" fillId="0" borderId="0" xfId="0" applyNumberFormat="1" applyFont="1" applyAlignment="1">
      <alignment horizontal="centerContinuous"/>
    </xf>
    <xf numFmtId="3" fontId="68" fillId="0" borderId="0" xfId="6" applyNumberFormat="1" applyFont="1" applyAlignment="1">
      <alignment horizontal="center"/>
    </xf>
    <xf numFmtId="0" fontId="0" fillId="0" borderId="1" xfId="0" applyBorder="1"/>
    <xf numFmtId="0" fontId="15" fillId="0" borderId="1" xfId="0" applyFont="1" applyBorder="1"/>
    <xf numFmtId="0" fontId="0" fillId="0" borderId="0" xfId="0" applyAlignment="1">
      <alignment horizontal="center" vertical="center"/>
    </xf>
    <xf numFmtId="0" fontId="17" fillId="0" borderId="14" xfId="6" applyFont="1" applyBorder="1" applyAlignment="1">
      <alignment horizontal="center" vertical="center" wrapText="1"/>
    </xf>
    <xf numFmtId="0" fontId="17" fillId="2" borderId="3" xfId="6" applyFont="1" applyFill="1" applyBorder="1" applyAlignment="1">
      <alignment horizontal="center" vertical="center"/>
    </xf>
    <xf numFmtId="166" fontId="19" fillId="0" borderId="0" xfId="0" applyNumberFormat="1" applyFont="1" applyAlignment="1">
      <alignment vertical="center"/>
    </xf>
    <xf numFmtId="166" fontId="19" fillId="0" borderId="0" xfId="2" applyNumberFormat="1" applyFont="1" applyAlignment="1">
      <alignment vertical="center"/>
    </xf>
    <xf numFmtId="0" fontId="19" fillId="0" borderId="7" xfId="6" applyFont="1" applyBorder="1" applyAlignment="1">
      <alignment horizontal="center"/>
    </xf>
    <xf numFmtId="3" fontId="49" fillId="0" borderId="0" xfId="0" applyNumberFormat="1" applyFont="1" applyAlignment="1">
      <alignment horizontal="center" vertical="center"/>
    </xf>
    <xf numFmtId="3" fontId="49" fillId="0" borderId="0" xfId="0" applyNumberFormat="1" applyFont="1" applyAlignment="1">
      <alignment horizontal="center"/>
    </xf>
    <xf numFmtId="9" fontId="0" fillId="0" borderId="0" xfId="5" applyFont="1" applyAlignment="1">
      <alignment horizontal="center"/>
    </xf>
    <xf numFmtId="0" fontId="4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70" fillId="0" borderId="1" xfId="0" applyFont="1" applyBorder="1"/>
    <xf numFmtId="0" fontId="26" fillId="0" borderId="0" xfId="0" applyFont="1" applyAlignment="1">
      <alignment vertical="center"/>
    </xf>
    <xf numFmtId="3" fontId="16" fillId="0" borderId="0" xfId="0" applyNumberFormat="1" applyFont="1" applyAlignment="1">
      <alignment horizontal="center" vertical="center"/>
    </xf>
    <xf numFmtId="0" fontId="22" fillId="0" borderId="0" xfId="0" applyFont="1" applyAlignment="1">
      <alignment vertical="center"/>
    </xf>
    <xf numFmtId="0" fontId="17" fillId="0" borderId="0" xfId="6" applyFont="1" applyAlignment="1">
      <alignment horizontal="center" vertical="center" wrapText="1"/>
    </xf>
    <xf numFmtId="0" fontId="68" fillId="0" borderId="3" xfId="6" applyFont="1" applyBorder="1" applyAlignment="1">
      <alignment horizontal="center"/>
    </xf>
    <xf numFmtId="0" fontId="19" fillId="0" borderId="12" xfId="6" applyFont="1" applyBorder="1" applyAlignment="1">
      <alignment horizontal="center" vertical="center"/>
    </xf>
    <xf numFmtId="0" fontId="43" fillId="2" borderId="0" xfId="6" applyFont="1" applyFill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4" fontId="16" fillId="0" borderId="7" xfId="0" applyNumberFormat="1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0" xfId="6" applyFont="1" applyAlignment="1">
      <alignment horizontal="center" vertical="center" wrapText="1"/>
    </xf>
    <xf numFmtId="0" fontId="16" fillId="0" borderId="0" xfId="6" applyFont="1" applyAlignment="1">
      <alignment horizontal="center" vertical="center"/>
    </xf>
    <xf numFmtId="164" fontId="19" fillId="0" borderId="0" xfId="1" applyNumberFormat="1" applyFont="1" applyBorder="1" applyAlignment="1">
      <alignment horizontal="center" vertical="center"/>
    </xf>
    <xf numFmtId="164" fontId="19" fillId="0" borderId="0" xfId="1" applyNumberFormat="1" applyFont="1" applyAlignment="1">
      <alignment horizontal="center"/>
    </xf>
    <xf numFmtId="164" fontId="23" fillId="2" borderId="0" xfId="6" applyNumberFormat="1" applyFont="1" applyFill="1" applyAlignment="1">
      <alignment horizontal="center" vertical="center"/>
    </xf>
    <xf numFmtId="0" fontId="19" fillId="0" borderId="0" xfId="0" applyFont="1" applyAlignment="1">
      <alignment horizontal="center"/>
    </xf>
    <xf numFmtId="3" fontId="71" fillId="5" borderId="0" xfId="0" applyNumberFormat="1" applyFont="1" applyFill="1" applyAlignment="1">
      <alignment horizontal="center" wrapText="1"/>
    </xf>
    <xf numFmtId="3" fontId="71" fillId="5" borderId="0" xfId="0" applyNumberFormat="1" applyFont="1" applyFill="1" applyAlignment="1">
      <alignment horizontal="center" vertical="center" wrapText="1"/>
    </xf>
    <xf numFmtId="0" fontId="27" fillId="0" borderId="0" xfId="6" applyFont="1" applyAlignment="1">
      <alignment horizontal="left" vertical="center" wrapText="1"/>
    </xf>
    <xf numFmtId="0" fontId="17" fillId="0" borderId="0" xfId="2" applyFont="1"/>
    <xf numFmtId="0" fontId="19" fillId="0" borderId="0" xfId="6" applyFont="1" applyAlignment="1">
      <alignment horizontal="center" wrapText="1"/>
    </xf>
    <xf numFmtId="0" fontId="19" fillId="0" borderId="0" xfId="6" applyFont="1" applyAlignment="1">
      <alignment horizontal="center"/>
    </xf>
    <xf numFmtId="3" fontId="24" fillId="0" borderId="12" xfId="6" applyNumberFormat="1" applyFont="1" applyBorder="1" applyAlignment="1">
      <alignment horizontal="center" vertical="center"/>
    </xf>
    <xf numFmtId="3" fontId="24" fillId="0" borderId="15" xfId="6" applyNumberFormat="1" applyFont="1" applyBorder="1" applyAlignment="1">
      <alignment horizontal="center" vertical="center"/>
    </xf>
    <xf numFmtId="164" fontId="60" fillId="0" borderId="4" xfId="0" applyNumberFormat="1" applyFont="1" applyBorder="1" applyAlignment="1">
      <alignment horizontal="center" vertical="top" shrinkToFit="1"/>
    </xf>
    <xf numFmtId="1" fontId="57" fillId="0" borderId="4" xfId="0" applyNumberFormat="1" applyFont="1" applyBorder="1" applyAlignment="1">
      <alignment horizontal="center" vertical="top" shrinkToFit="1"/>
    </xf>
    <xf numFmtId="164" fontId="57" fillId="0" borderId="4" xfId="0" applyNumberFormat="1" applyFont="1" applyBorder="1" applyAlignment="1">
      <alignment horizontal="center" vertical="top" shrinkToFit="1"/>
    </xf>
    <xf numFmtId="0" fontId="59" fillId="0" borderId="4" xfId="0" applyFont="1" applyBorder="1" applyAlignment="1">
      <alignment horizontal="center" vertical="top"/>
    </xf>
    <xf numFmtId="164" fontId="16" fillId="0" borderId="3" xfId="0" applyNumberFormat="1" applyFont="1" applyBorder="1" applyAlignment="1">
      <alignment horizontal="center"/>
    </xf>
    <xf numFmtId="164" fontId="17" fillId="2" borderId="3" xfId="6" applyNumberFormat="1" applyFont="1" applyFill="1" applyBorder="1" applyAlignment="1">
      <alignment horizontal="center"/>
    </xf>
    <xf numFmtId="0" fontId="17" fillId="0" borderId="11" xfId="6" applyFont="1" applyBorder="1" applyAlignment="1">
      <alignment horizontal="center" vertical="center" wrapText="1"/>
    </xf>
    <xf numFmtId="0" fontId="23" fillId="0" borderId="1" xfId="6" applyFont="1" applyBorder="1" applyAlignment="1">
      <alignment horizontal="center"/>
    </xf>
    <xf numFmtId="164" fontId="17" fillId="0" borderId="1" xfId="6" applyNumberFormat="1" applyFont="1" applyBorder="1" applyAlignment="1">
      <alignment horizontal="center" vertical="center"/>
    </xf>
    <xf numFmtId="0" fontId="16" fillId="0" borderId="0" xfId="6" applyFont="1" applyAlignment="1">
      <alignment horizontal="left" vertical="center"/>
    </xf>
    <xf numFmtId="9" fontId="19" fillId="0" borderId="0" xfId="5" applyFont="1" applyAlignment="1">
      <alignment horizontal="center" vertical="center"/>
    </xf>
    <xf numFmtId="9" fontId="49" fillId="0" borderId="0" xfId="5" applyFont="1" applyAlignment="1">
      <alignment horizontal="center"/>
    </xf>
    <xf numFmtId="0" fontId="69" fillId="0" borderId="0" xfId="10" applyFont="1" applyBorder="1" applyAlignment="1">
      <alignment horizontal="right" vertical="center" wrapText="1"/>
    </xf>
    <xf numFmtId="0" fontId="32" fillId="0" borderId="0" xfId="10" applyFill="1" applyAlignment="1">
      <alignment vertical="center"/>
    </xf>
    <xf numFmtId="2" fontId="16" fillId="0" borderId="0" xfId="0" applyNumberFormat="1" applyFont="1" applyAlignment="1">
      <alignment horizontal="center"/>
    </xf>
    <xf numFmtId="0" fontId="26" fillId="8" borderId="0" xfId="0" applyFont="1" applyFill="1" applyAlignment="1">
      <alignment vertical="center"/>
    </xf>
    <xf numFmtId="0" fontId="0" fillId="8" borderId="0" xfId="0" applyFill="1"/>
    <xf numFmtId="0" fontId="17" fillId="8" borderId="0" xfId="2" applyFont="1" applyFill="1"/>
    <xf numFmtId="0" fontId="14" fillId="0" borderId="0" xfId="0" applyFont="1" applyAlignment="1">
      <alignment horizontal="left"/>
    </xf>
    <xf numFmtId="0" fontId="57" fillId="0" borderId="0" xfId="0" applyFont="1" applyAlignment="1">
      <alignment horizontal="center" wrapText="1"/>
    </xf>
    <xf numFmtId="44" fontId="16" fillId="0" borderId="0" xfId="1" applyFont="1"/>
    <xf numFmtId="164" fontId="58" fillId="0" borderId="0" xfId="0" applyNumberFormat="1" applyFont="1" applyAlignment="1">
      <alignment horizontal="center" vertical="center"/>
    </xf>
    <xf numFmtId="0" fontId="58" fillId="0" borderId="0" xfId="0" applyFont="1" applyAlignment="1">
      <alignment horizontal="center"/>
    </xf>
    <xf numFmtId="164" fontId="30" fillId="0" borderId="0" xfId="0" applyNumberFormat="1" applyFont="1" applyAlignment="1">
      <alignment horizontal="center"/>
    </xf>
    <xf numFmtId="0" fontId="59" fillId="0" borderId="0" xfId="0" applyFont="1" applyAlignment="1">
      <alignment vertical="center"/>
    </xf>
    <xf numFmtId="0" fontId="59" fillId="0" borderId="0" xfId="0" applyFont="1" applyAlignment="1">
      <alignment horizontal="center" vertical="center"/>
    </xf>
    <xf numFmtId="44" fontId="58" fillId="0" borderId="0" xfId="1" applyFont="1" applyFill="1" applyBorder="1"/>
    <xf numFmtId="0" fontId="23" fillId="0" borderId="0" xfId="6" applyFont="1" applyAlignment="1">
      <alignment horizontal="center" vertical="center"/>
    </xf>
    <xf numFmtId="0" fontId="23" fillId="0" borderId="0" xfId="6" applyFont="1" applyAlignment="1">
      <alignment horizontal="center" vertical="center" wrapText="1"/>
    </xf>
    <xf numFmtId="0" fontId="14" fillId="0" borderId="17" xfId="2" applyBorder="1"/>
    <xf numFmtId="0" fontId="14" fillId="0" borderId="18" xfId="2" applyBorder="1"/>
    <xf numFmtId="0" fontId="14" fillId="0" borderId="19" xfId="2" applyBorder="1"/>
    <xf numFmtId="0" fontId="14" fillId="0" borderId="20" xfId="2" applyBorder="1"/>
    <xf numFmtId="0" fontId="72" fillId="0" borderId="0" xfId="2" applyFont="1"/>
    <xf numFmtId="0" fontId="14" fillId="0" borderId="21" xfId="2" applyBorder="1"/>
    <xf numFmtId="0" fontId="73" fillId="0" borderId="0" xfId="2" applyFont="1"/>
    <xf numFmtId="0" fontId="15" fillId="0" borderId="0" xfId="2" applyFont="1"/>
    <xf numFmtId="0" fontId="15" fillId="9" borderId="9" xfId="2" applyFont="1" applyFill="1" applyBorder="1"/>
    <xf numFmtId="0" fontId="15" fillId="9" borderId="6" xfId="2" applyFont="1" applyFill="1" applyBorder="1"/>
    <xf numFmtId="0" fontId="15" fillId="9" borderId="22" xfId="2" applyFont="1" applyFill="1" applyBorder="1"/>
    <xf numFmtId="0" fontId="15" fillId="9" borderId="23" xfId="2" applyFont="1" applyFill="1" applyBorder="1"/>
    <xf numFmtId="0" fontId="15" fillId="9" borderId="4" xfId="2" applyFont="1" applyFill="1" applyBorder="1"/>
    <xf numFmtId="0" fontId="15" fillId="9" borderId="24" xfId="2" applyFont="1" applyFill="1" applyBorder="1"/>
    <xf numFmtId="0" fontId="73" fillId="0" borderId="2" xfId="2" applyFont="1" applyBorder="1"/>
    <xf numFmtId="0" fontId="73" fillId="0" borderId="7" xfId="2" applyFont="1" applyBorder="1"/>
    <xf numFmtId="0" fontId="14" fillId="0" borderId="25" xfId="2" applyBorder="1"/>
    <xf numFmtId="0" fontId="14" fillId="0" borderId="26" xfId="2" applyBorder="1"/>
    <xf numFmtId="0" fontId="14" fillId="0" borderId="27" xfId="2" applyBorder="1"/>
    <xf numFmtId="0" fontId="15" fillId="0" borderId="0" xfId="0" applyFont="1"/>
    <xf numFmtId="0" fontId="14" fillId="0" borderId="0" xfId="10" applyFont="1"/>
    <xf numFmtId="0" fontId="16" fillId="0" borderId="0" xfId="15" applyFont="1"/>
    <xf numFmtId="0" fontId="0" fillId="0" borderId="0" xfId="15" applyFont="1"/>
    <xf numFmtId="43" fontId="14" fillId="0" borderId="0" xfId="2" applyNumberFormat="1"/>
    <xf numFmtId="0" fontId="15" fillId="0" borderId="28" xfId="15" applyFont="1" applyBorder="1" applyAlignment="1">
      <alignment horizontal="centerContinuous"/>
    </xf>
    <xf numFmtId="0" fontId="15" fillId="0" borderId="29" xfId="15" applyFont="1" applyBorder="1" applyAlignment="1">
      <alignment horizontal="centerContinuous"/>
    </xf>
    <xf numFmtId="0" fontId="15" fillId="0" borderId="30" xfId="15" applyFont="1" applyBorder="1" applyAlignment="1">
      <alignment horizontal="centerContinuous"/>
    </xf>
    <xf numFmtId="0" fontId="15" fillId="0" borderId="31" xfId="15" applyFont="1" applyBorder="1" applyAlignment="1">
      <alignment horizontal="centerContinuous"/>
    </xf>
    <xf numFmtId="0" fontId="15" fillId="0" borderId="1" xfId="2" applyFont="1" applyBorder="1" applyAlignment="1">
      <alignment horizontal="center"/>
    </xf>
    <xf numFmtId="0" fontId="15" fillId="0" borderId="33" xfId="15" applyFont="1" applyBorder="1" applyAlignment="1">
      <alignment horizontal="centerContinuous"/>
    </xf>
    <xf numFmtId="0" fontId="15" fillId="0" borderId="14" xfId="15" applyFont="1" applyBorder="1" applyAlignment="1">
      <alignment horizontal="centerContinuous"/>
    </xf>
    <xf numFmtId="0" fontId="15" fillId="0" borderId="1" xfId="15" applyFont="1" applyBorder="1" applyAlignment="1">
      <alignment horizontal="centerContinuous"/>
    </xf>
    <xf numFmtId="0" fontId="15" fillId="0" borderId="8" xfId="15" applyFont="1" applyBorder="1" applyAlignment="1">
      <alignment horizontal="centerContinuous"/>
    </xf>
    <xf numFmtId="0" fontId="15" fillId="0" borderId="35" xfId="2" applyFont="1" applyBorder="1" applyAlignment="1">
      <alignment horizontal="center"/>
    </xf>
    <xf numFmtId="0" fontId="15" fillId="0" borderId="0" xfId="2" applyFont="1" applyAlignment="1">
      <alignment horizontal="center"/>
    </xf>
    <xf numFmtId="0" fontId="15" fillId="0" borderId="36" xfId="2" applyFont="1" applyBorder="1" applyAlignment="1">
      <alignment horizontal="center"/>
    </xf>
    <xf numFmtId="0" fontId="15" fillId="0" borderId="0" xfId="2" applyFont="1" applyAlignment="1">
      <alignment horizontal="centerContinuous"/>
    </xf>
    <xf numFmtId="0" fontId="15" fillId="0" borderId="37" xfId="2" applyFont="1" applyBorder="1" applyAlignment="1">
      <alignment horizontal="center" vertical="center"/>
    </xf>
    <xf numFmtId="0" fontId="15" fillId="0" borderId="22" xfId="2" applyFont="1" applyBorder="1" applyAlignment="1">
      <alignment horizontal="center" vertical="center"/>
    </xf>
    <xf numFmtId="0" fontId="15" fillId="0" borderId="23" xfId="2" applyFont="1" applyBorder="1" applyAlignment="1">
      <alignment horizontal="center" vertical="center"/>
    </xf>
    <xf numFmtId="0" fontId="15" fillId="0" borderId="6" xfId="2" applyFont="1" applyBorder="1" applyAlignment="1">
      <alignment horizontal="center" vertical="center"/>
    </xf>
    <xf numFmtId="0" fontId="15" fillId="0" borderId="38" xfId="2" applyFont="1" applyBorder="1" applyAlignment="1">
      <alignment horizontal="center" vertical="center"/>
    </xf>
    <xf numFmtId="0" fontId="15" fillId="0" borderId="24" xfId="2" applyFont="1" applyBorder="1" applyAlignment="1">
      <alignment horizontal="center" vertical="center"/>
    </xf>
    <xf numFmtId="0" fontId="15" fillId="0" borderId="39" xfId="2" applyFont="1" applyBorder="1" applyAlignment="1">
      <alignment horizontal="center" vertical="center"/>
    </xf>
    <xf numFmtId="0" fontId="15" fillId="0" borderId="40" xfId="2" applyFont="1" applyBorder="1" applyAlignment="1">
      <alignment horizontal="center" vertical="center"/>
    </xf>
    <xf numFmtId="0" fontId="15" fillId="0" borderId="4" xfId="2" applyFont="1" applyBorder="1" applyAlignment="1">
      <alignment horizontal="center" wrapText="1"/>
    </xf>
    <xf numFmtId="0" fontId="15" fillId="0" borderId="14" xfId="2" applyFont="1" applyBorder="1" applyAlignment="1">
      <alignment horizontal="center" wrapText="1"/>
    </xf>
    <xf numFmtId="0" fontId="20" fillId="0" borderId="0" xfId="2" applyFont="1" applyAlignment="1">
      <alignment horizontal="center"/>
    </xf>
    <xf numFmtId="3" fontId="24" fillId="0" borderId="0" xfId="16" applyNumberFormat="1" applyFont="1" applyAlignment="1">
      <alignment horizontal="center"/>
    </xf>
    <xf numFmtId="170" fontId="16" fillId="0" borderId="35" xfId="15" applyNumberFormat="1" applyFont="1" applyBorder="1" applyAlignment="1">
      <alignment horizontal="center"/>
    </xf>
    <xf numFmtId="170" fontId="16" fillId="0" borderId="0" xfId="15" applyNumberFormat="1" applyFont="1" applyAlignment="1">
      <alignment horizontal="center"/>
    </xf>
    <xf numFmtId="170" fontId="16" fillId="0" borderId="7" xfId="15" applyNumberFormat="1" applyFont="1" applyBorder="1" applyAlignment="1">
      <alignment horizontal="center"/>
    </xf>
    <xf numFmtId="164" fontId="16" fillId="0" borderId="41" xfId="2" applyNumberFormat="1" applyFont="1" applyBorder="1" applyAlignment="1">
      <alignment horizontal="center"/>
    </xf>
    <xf numFmtId="164" fontId="16" fillId="0" borderId="13" xfId="2" applyNumberFormat="1" applyFont="1" applyBorder="1" applyAlignment="1">
      <alignment horizontal="center"/>
    </xf>
    <xf numFmtId="164" fontId="16" fillId="0" borderId="42" xfId="2" applyNumberFormat="1" applyFont="1" applyBorder="1" applyAlignment="1">
      <alignment horizontal="center"/>
    </xf>
    <xf numFmtId="164" fontId="14" fillId="0" borderId="3" xfId="2" applyNumberFormat="1" applyBorder="1"/>
    <xf numFmtId="164" fontId="14" fillId="0" borderId="7" xfId="2" applyNumberFormat="1" applyBorder="1"/>
    <xf numFmtId="164" fontId="14" fillId="0" borderId="0" xfId="2" applyNumberFormat="1"/>
    <xf numFmtId="164" fontId="16" fillId="0" borderId="35" xfId="2" applyNumberFormat="1" applyFont="1" applyBorder="1" applyAlignment="1">
      <alignment horizontal="center"/>
    </xf>
    <xf numFmtId="164" fontId="16" fillId="0" borderId="36" xfId="2" applyNumberFormat="1" applyFont="1" applyBorder="1" applyAlignment="1">
      <alignment horizontal="center"/>
    </xf>
    <xf numFmtId="4" fontId="16" fillId="0" borderId="3" xfId="15" applyNumberFormat="1" applyFont="1" applyBorder="1" applyAlignment="1">
      <alignment horizontal="center"/>
    </xf>
    <xf numFmtId="4" fontId="16" fillId="0" borderId="0" xfId="15" applyNumberFormat="1" applyFont="1" applyAlignment="1">
      <alignment horizontal="center"/>
    </xf>
    <xf numFmtId="4" fontId="16" fillId="0" borderId="7" xfId="15" applyNumberFormat="1" applyFont="1" applyBorder="1" applyAlignment="1">
      <alignment horizontal="center"/>
    </xf>
    <xf numFmtId="3" fontId="15" fillId="2" borderId="35" xfId="15" applyNumberFormat="1" applyFont="1" applyFill="1" applyBorder="1" applyAlignment="1">
      <alignment horizontal="center"/>
    </xf>
    <xf numFmtId="3" fontId="15" fillId="2" borderId="0" xfId="15" applyNumberFormat="1" applyFont="1" applyFill="1" applyAlignment="1">
      <alignment horizontal="center"/>
    </xf>
    <xf numFmtId="3" fontId="15" fillId="2" borderId="7" xfId="15" applyNumberFormat="1" applyFont="1" applyFill="1" applyBorder="1" applyAlignment="1">
      <alignment horizontal="center"/>
    </xf>
    <xf numFmtId="3" fontId="15" fillId="2" borderId="3" xfId="15" applyNumberFormat="1" applyFont="1" applyFill="1" applyBorder="1" applyAlignment="1">
      <alignment horizontal="center"/>
    </xf>
    <xf numFmtId="164" fontId="15" fillId="2" borderId="35" xfId="15" applyNumberFormat="1" applyFont="1" applyFill="1" applyBorder="1"/>
    <xf numFmtId="164" fontId="15" fillId="2" borderId="0" xfId="15" applyNumberFormat="1" applyFont="1" applyFill="1"/>
    <xf numFmtId="164" fontId="15" fillId="2" borderId="7" xfId="15" applyNumberFormat="1" applyFont="1" applyFill="1" applyBorder="1"/>
    <xf numFmtId="164" fontId="15" fillId="2" borderId="3" xfId="15" applyNumberFormat="1" applyFont="1" applyFill="1" applyBorder="1"/>
    <xf numFmtId="0" fontId="16" fillId="2" borderId="0" xfId="15" applyFont="1" applyFill="1"/>
    <xf numFmtId="0" fontId="16" fillId="2" borderId="35" xfId="2" applyFont="1" applyFill="1" applyBorder="1"/>
    <xf numFmtId="0" fontId="16" fillId="2" borderId="0" xfId="2" applyFont="1" applyFill="1"/>
    <xf numFmtId="3" fontId="15" fillId="2" borderId="36" xfId="2" applyNumberFormat="1" applyFont="1" applyFill="1" applyBorder="1" applyAlignment="1">
      <alignment horizontal="center"/>
    </xf>
    <xf numFmtId="164" fontId="15" fillId="2" borderId="0" xfId="2" applyNumberFormat="1" applyFont="1" applyFill="1"/>
    <xf numFmtId="164" fontId="15" fillId="2" borderId="2" xfId="15" applyNumberFormat="1" applyFont="1" applyFill="1" applyBorder="1"/>
    <xf numFmtId="0" fontId="24" fillId="0" borderId="0" xfId="2" applyFont="1"/>
    <xf numFmtId="0" fontId="74" fillId="0" borderId="0" xfId="17" applyFont="1"/>
    <xf numFmtId="0" fontId="14" fillId="0" borderId="0" xfId="17"/>
    <xf numFmtId="0" fontId="19" fillId="0" borderId="7" xfId="16" applyFont="1" applyBorder="1" applyAlignment="1">
      <alignment horizontal="center"/>
    </xf>
    <xf numFmtId="0" fontId="16" fillId="3" borderId="0" xfId="2" applyFont="1" applyFill="1" applyAlignment="1">
      <alignment horizontal="right"/>
    </xf>
    <xf numFmtId="0" fontId="16" fillId="3" borderId="0" xfId="2" applyFont="1" applyFill="1" applyAlignment="1">
      <alignment horizontal="center"/>
    </xf>
    <xf numFmtId="0" fontId="16" fillId="3" borderId="0" xfId="15" applyFont="1" applyFill="1" applyAlignment="1">
      <alignment horizontal="center"/>
    </xf>
    <xf numFmtId="0" fontId="16" fillId="3" borderId="0" xfId="15" applyFont="1" applyFill="1"/>
    <xf numFmtId="0" fontId="17" fillId="0" borderId="7" xfId="0" applyFont="1" applyBorder="1"/>
    <xf numFmtId="0" fontId="17" fillId="0" borderId="8" xfId="0" applyFont="1" applyBorder="1" applyAlignment="1">
      <alignment horizontal="center" wrapText="1"/>
    </xf>
    <xf numFmtId="0" fontId="24" fillId="0" borderId="0" xfId="0" applyFont="1" applyAlignment="1">
      <alignment horizontal="center"/>
    </xf>
    <xf numFmtId="0" fontId="16" fillId="0" borderId="7" xfId="0" applyFont="1" applyBorder="1" applyAlignment="1">
      <alignment horizontal="center"/>
    </xf>
    <xf numFmtId="0" fontId="6" fillId="0" borderId="0" xfId="16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7" xfId="0" applyFont="1" applyFill="1" applyBorder="1" applyAlignment="1">
      <alignment horizontal="center"/>
    </xf>
    <xf numFmtId="4" fontId="49" fillId="0" borderId="0" xfId="0" applyNumberFormat="1" applyFont="1" applyAlignment="1">
      <alignment horizontal="center" vertical="center"/>
    </xf>
    <xf numFmtId="4" fontId="14" fillId="0" borderId="0" xfId="0" applyNumberFormat="1" applyFont="1" applyAlignment="1">
      <alignment horizontal="center" vertical="center"/>
    </xf>
    <xf numFmtId="171" fontId="17" fillId="2" borderId="0" xfId="0" applyNumberFormat="1" applyFont="1" applyFill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15" fillId="0" borderId="14" xfId="0" applyFont="1" applyBorder="1" applyAlignment="1">
      <alignment horizontal="center" vertical="center"/>
    </xf>
    <xf numFmtId="171" fontId="17" fillId="2" borderId="0" xfId="0" applyNumberFormat="1" applyFont="1" applyFill="1" applyAlignment="1">
      <alignment horizontal="center" vertical="center"/>
    </xf>
    <xf numFmtId="10" fontId="49" fillId="0" borderId="0" xfId="0" applyNumberFormat="1" applyFont="1"/>
    <xf numFmtId="164" fontId="0" fillId="0" borderId="3" xfId="0" applyNumberFormat="1" applyBorder="1" applyAlignment="1">
      <alignment vertical="center"/>
    </xf>
    <xf numFmtId="164" fontId="15" fillId="2" borderId="3" xfId="0" applyNumberFormat="1" applyFont="1" applyFill="1" applyBorder="1" applyAlignment="1">
      <alignment vertical="center"/>
    </xf>
    <xf numFmtId="164" fontId="15" fillId="2" borderId="3" xfId="0" applyNumberFormat="1" applyFont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15" fillId="2" borderId="2" xfId="0" applyNumberFormat="1" applyFont="1" applyFill="1" applyBorder="1" applyAlignment="1">
      <alignment horizontal="center" vertical="center"/>
    </xf>
    <xf numFmtId="171" fontId="17" fillId="2" borderId="2" xfId="0" applyNumberFormat="1" applyFont="1" applyFill="1" applyBorder="1" applyAlignment="1">
      <alignment horizontal="center" vertical="center"/>
    </xf>
    <xf numFmtId="164" fontId="15" fillId="2" borderId="7" xfId="0" applyNumberFormat="1" applyFont="1" applyFill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43" fontId="0" fillId="0" borderId="3" xfId="0" applyNumberFormat="1" applyBorder="1" applyAlignment="1">
      <alignment horizontal="center" vertical="center"/>
    </xf>
    <xf numFmtId="43" fontId="0" fillId="0" borderId="7" xfId="0" applyNumberFormat="1" applyBorder="1" applyAlignment="1">
      <alignment horizontal="center" vertical="center"/>
    </xf>
    <xf numFmtId="43" fontId="0" fillId="0" borderId="7" xfId="0" applyNumberFormat="1" applyBorder="1" applyAlignment="1">
      <alignment vertical="center"/>
    </xf>
    <xf numFmtId="164" fontId="49" fillId="0" borderId="0" xfId="0" applyNumberFormat="1" applyFont="1"/>
    <xf numFmtId="43" fontId="0" fillId="0" borderId="0" xfId="0" applyNumberFormat="1" applyAlignment="1">
      <alignment vertical="center"/>
    </xf>
    <xf numFmtId="164" fontId="15" fillId="2" borderId="7" xfId="0" applyNumberFormat="1" applyFont="1" applyFill="1" applyBorder="1" applyAlignment="1">
      <alignment vertical="center"/>
    </xf>
    <xf numFmtId="164" fontId="0" fillId="0" borderId="12" xfId="0" applyNumberFormat="1" applyBorder="1" applyAlignment="1">
      <alignment vertical="center"/>
    </xf>
    <xf numFmtId="164" fontId="0" fillId="0" borderId="15" xfId="0" applyNumberFormat="1" applyBorder="1" applyAlignment="1">
      <alignment vertical="center"/>
    </xf>
    <xf numFmtId="164" fontId="0" fillId="0" borderId="7" xfId="0" applyNumberFormat="1" applyBorder="1" applyAlignment="1">
      <alignment vertical="center"/>
    </xf>
    <xf numFmtId="0" fontId="15" fillId="0" borderId="14" xfId="0" applyFont="1" applyBorder="1" applyAlignment="1">
      <alignment wrapText="1"/>
    </xf>
    <xf numFmtId="164" fontId="17" fillId="2" borderId="7" xfId="13" applyNumberFormat="1" applyFont="1" applyFill="1" applyBorder="1" applyAlignment="1">
      <alignment horizontal="center" vertical="center"/>
    </xf>
    <xf numFmtId="0" fontId="65" fillId="0" borderId="0" xfId="0" applyFont="1"/>
    <xf numFmtId="0" fontId="75" fillId="0" borderId="0" xfId="10" applyFont="1" applyFill="1" applyBorder="1"/>
    <xf numFmtId="0" fontId="57" fillId="0" borderId="0" xfId="2" applyFont="1"/>
    <xf numFmtId="0" fontId="66" fillId="0" borderId="0" xfId="6" applyFont="1" applyAlignment="1">
      <alignment wrapText="1"/>
    </xf>
    <xf numFmtId="0" fontId="66" fillId="0" borderId="0" xfId="6" applyFont="1" applyAlignment="1">
      <alignment horizontal="left"/>
    </xf>
    <xf numFmtId="164" fontId="66" fillId="0" borderId="0" xfId="0" applyNumberFormat="1" applyFont="1" applyAlignment="1">
      <alignment horizontal="center" vertical="center"/>
    </xf>
    <xf numFmtId="0" fontId="57" fillId="8" borderId="4" xfId="0" applyFont="1" applyFill="1" applyBorder="1" applyAlignment="1">
      <alignment horizontal="left" vertical="top"/>
    </xf>
    <xf numFmtId="164" fontId="60" fillId="8" borderId="4" xfId="0" applyNumberFormat="1" applyFont="1" applyFill="1" applyBorder="1" applyAlignment="1">
      <alignment horizontal="center" vertical="top" shrinkToFit="1"/>
    </xf>
    <xf numFmtId="1" fontId="57" fillId="8" borderId="4" xfId="0" applyNumberFormat="1" applyFont="1" applyFill="1" applyBorder="1" applyAlignment="1">
      <alignment horizontal="center" vertical="top" shrinkToFit="1"/>
    </xf>
    <xf numFmtId="0" fontId="30" fillId="8" borderId="4" xfId="0" applyFont="1" applyFill="1" applyBorder="1" applyAlignment="1">
      <alignment horizontal="center" vertical="top"/>
    </xf>
    <xf numFmtId="0" fontId="59" fillId="8" borderId="4" xfId="0" applyFont="1" applyFill="1" applyBorder="1" applyAlignment="1">
      <alignment horizontal="center" vertical="top"/>
    </xf>
    <xf numFmtId="164" fontId="57" fillId="8" borderId="4" xfId="0" applyNumberFormat="1" applyFont="1" applyFill="1" applyBorder="1" applyAlignment="1">
      <alignment horizontal="center" vertical="top" shrinkToFit="1"/>
    </xf>
    <xf numFmtId="166" fontId="16" fillId="0" borderId="0" xfId="0" applyNumberFormat="1" applyFont="1" applyAlignment="1">
      <alignment horizontal="left"/>
    </xf>
    <xf numFmtId="166" fontId="16" fillId="0" borderId="0" xfId="0" applyNumberFormat="1" applyFont="1"/>
    <xf numFmtId="8" fontId="19" fillId="0" borderId="0" xfId="6" applyNumberFormat="1" applyFont="1" applyAlignment="1">
      <alignment horizontal="centerContinuous" wrapText="1"/>
    </xf>
    <xf numFmtId="166" fontId="26" fillId="0" borderId="0" xfId="0" applyNumberFormat="1" applyFont="1" applyAlignment="1">
      <alignment horizontal="right"/>
    </xf>
    <xf numFmtId="2" fontId="19" fillId="0" borderId="0" xfId="0" applyNumberFormat="1" applyFont="1"/>
    <xf numFmtId="0" fontId="26" fillId="0" borderId="0" xfId="0" applyFont="1" applyAlignment="1">
      <alignment horizontal="right"/>
    </xf>
    <xf numFmtId="0" fontId="5" fillId="0" borderId="0" xfId="6" applyFont="1"/>
    <xf numFmtId="0" fontId="26" fillId="0" borderId="0" xfId="6" applyFont="1" applyAlignment="1">
      <alignment horizontal="right"/>
    </xf>
    <xf numFmtId="164" fontId="17" fillId="2" borderId="3" xfId="0" applyNumberFormat="1" applyFont="1" applyFill="1" applyBorder="1" applyAlignment="1">
      <alignment horizontal="center" vertical="center"/>
    </xf>
    <xf numFmtId="9" fontId="20" fillId="0" borderId="0" xfId="5" applyFont="1"/>
    <xf numFmtId="45" fontId="5" fillId="0" borderId="0" xfId="0" applyNumberFormat="1" applyFont="1" applyAlignment="1">
      <alignment vertical="center"/>
    </xf>
    <xf numFmtId="0" fontId="5" fillId="0" borderId="7" xfId="6" applyFont="1" applyBorder="1" applyAlignment="1">
      <alignment horizontal="center"/>
    </xf>
    <xf numFmtId="0" fontId="5" fillId="0" borderId="0" xfId="6" applyFont="1" applyAlignment="1">
      <alignment horizontal="center"/>
    </xf>
    <xf numFmtId="49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horizontal="center" vertical="center"/>
    </xf>
    <xf numFmtId="0" fontId="5" fillId="0" borderId="0" xfId="6" applyFont="1" applyAlignment="1">
      <alignment horizontal="left" vertical="center"/>
    </xf>
    <xf numFmtId="0" fontId="5" fillId="2" borderId="0" xfId="6" applyFont="1" applyFill="1"/>
    <xf numFmtId="164" fontId="5" fillId="0" borderId="0" xfId="6" applyNumberFormat="1" applyFont="1"/>
    <xf numFmtId="0" fontId="5" fillId="0" borderId="0" xfId="6" applyFont="1" applyAlignment="1">
      <alignment wrapText="1"/>
    </xf>
    <xf numFmtId="0" fontId="5" fillId="2" borderId="0" xfId="6" applyFont="1" applyFill="1" applyAlignment="1">
      <alignment horizontal="center" vertical="center"/>
    </xf>
    <xf numFmtId="0" fontId="5" fillId="0" borderId="0" xfId="6" applyFont="1" applyAlignment="1">
      <alignment horizontal="center" vertical="center" wrapText="1"/>
    </xf>
    <xf numFmtId="0" fontId="5" fillId="0" borderId="0" xfId="6" applyFont="1" applyAlignment="1">
      <alignment horizontal="center" wrapText="1"/>
    </xf>
    <xf numFmtId="0" fontId="5" fillId="0" borderId="7" xfId="6" applyFont="1" applyBorder="1"/>
    <xf numFmtId="0" fontId="5" fillId="0" borderId="7" xfId="6" applyFont="1" applyBorder="1" applyAlignment="1">
      <alignment horizontal="center" vertical="center"/>
    </xf>
    <xf numFmtId="3" fontId="5" fillId="0" borderId="0" xfId="6" applyNumberFormat="1" applyFont="1"/>
    <xf numFmtId="164" fontId="5" fillId="0" borderId="0" xfId="6" applyNumberFormat="1" applyFont="1" applyAlignment="1">
      <alignment horizontal="center" vertical="center"/>
    </xf>
    <xf numFmtId="0" fontId="5" fillId="0" borderId="0" xfId="6" applyFont="1" applyAlignment="1">
      <alignment horizontal="centerContinuous" wrapText="1"/>
    </xf>
    <xf numFmtId="0" fontId="5" fillId="0" borderId="0" xfId="6" applyFont="1" applyAlignment="1">
      <alignment horizontal="centerContinuous"/>
    </xf>
    <xf numFmtId="0" fontId="5" fillId="0" borderId="0" xfId="6" applyFont="1" applyAlignment="1">
      <alignment horizontal="left"/>
    </xf>
    <xf numFmtId="0" fontId="5" fillId="0" borderId="6" xfId="6" applyFont="1" applyBorder="1" applyAlignment="1">
      <alignment horizontal="centerContinuous"/>
    </xf>
    <xf numFmtId="0" fontId="5" fillId="0" borderId="8" xfId="6" applyFont="1" applyBorder="1" applyAlignment="1">
      <alignment horizontal="centerContinuous"/>
    </xf>
    <xf numFmtId="4" fontId="14" fillId="10" borderId="0" xfId="0" applyNumberFormat="1" applyFont="1" applyFill="1" applyAlignment="1">
      <alignment horizontal="center" vertical="center"/>
    </xf>
    <xf numFmtId="0" fontId="23" fillId="0" borderId="8" xfId="6" applyFont="1" applyBorder="1" applyAlignment="1">
      <alignment horizontal="center" vertical="center" wrapText="1"/>
    </xf>
    <xf numFmtId="0" fontId="23" fillId="0" borderId="1" xfId="6" applyFont="1" applyBorder="1" applyAlignment="1">
      <alignment horizontal="center" vertical="center" wrapText="1"/>
    </xf>
    <xf numFmtId="0" fontId="4" fillId="0" borderId="0" xfId="6" applyFont="1"/>
    <xf numFmtId="0" fontId="4" fillId="2" borderId="0" xfId="6" applyFont="1" applyFill="1" applyAlignment="1">
      <alignment horizontal="center" vertical="center"/>
    </xf>
    <xf numFmtId="0" fontId="23" fillId="0" borderId="14" xfId="6" applyFont="1" applyBorder="1" applyAlignment="1">
      <alignment vertical="center"/>
    </xf>
    <xf numFmtId="0" fontId="23" fillId="0" borderId="1" xfId="6" applyFont="1" applyBorder="1" applyAlignment="1">
      <alignment vertical="center"/>
    </xf>
    <xf numFmtId="0" fontId="23" fillId="0" borderId="14" xfId="6" applyFont="1" applyBorder="1" applyAlignment="1">
      <alignment vertical="center" wrapText="1"/>
    </xf>
    <xf numFmtId="0" fontId="23" fillId="0" borderId="1" xfId="6" applyFont="1" applyBorder="1" applyAlignment="1">
      <alignment vertical="center" wrapText="1"/>
    </xf>
    <xf numFmtId="0" fontId="5" fillId="0" borderId="1" xfId="6" applyFont="1" applyBorder="1" applyAlignment="1">
      <alignment horizontal="center" vertical="center" wrapText="1"/>
    </xf>
    <xf numFmtId="0" fontId="69" fillId="0" borderId="0" xfId="10" applyFont="1" applyFill="1" applyBorder="1" applyAlignment="1">
      <alignment vertical="center"/>
    </xf>
    <xf numFmtId="0" fontId="4" fillId="0" borderId="0" xfId="6" applyFont="1" applyAlignment="1">
      <alignment horizontal="left" vertical="center" wrapText="1"/>
    </xf>
    <xf numFmtId="0" fontId="4" fillId="0" borderId="0" xfId="6" applyFont="1" applyAlignment="1">
      <alignment wrapText="1"/>
    </xf>
    <xf numFmtId="165" fontId="16" fillId="0" borderId="0" xfId="0" applyNumberFormat="1" applyFont="1" applyAlignment="1">
      <alignment horizontal="center"/>
    </xf>
    <xf numFmtId="0" fontId="14" fillId="10" borderId="0" xfId="0" applyFont="1" applyFill="1"/>
    <xf numFmtId="168" fontId="71" fillId="5" borderId="0" xfId="0" applyNumberFormat="1" applyFont="1" applyFill="1" applyAlignment="1">
      <alignment horizontal="center" wrapText="1"/>
    </xf>
    <xf numFmtId="168" fontId="71" fillId="5" borderId="0" xfId="0" applyNumberFormat="1" applyFont="1" applyFill="1" applyAlignment="1">
      <alignment horizontal="center" vertical="center" wrapText="1"/>
    </xf>
    <xf numFmtId="0" fontId="4" fillId="0" borderId="0" xfId="6" applyFont="1" applyAlignment="1">
      <alignment horizontal="left"/>
    </xf>
    <xf numFmtId="4" fontId="16" fillId="0" borderId="0" xfId="15" applyNumberFormat="1" applyFont="1" applyBorder="1" applyAlignment="1">
      <alignment horizontal="center"/>
    </xf>
    <xf numFmtId="0" fontId="15" fillId="0" borderId="43" xfId="2" applyFont="1" applyBorder="1" applyAlignment="1">
      <alignment horizontal="center" vertical="center"/>
    </xf>
    <xf numFmtId="0" fontId="15" fillId="0" borderId="44" xfId="2" applyFont="1" applyBorder="1" applyAlignment="1">
      <alignment horizontal="center" vertical="center"/>
    </xf>
    <xf numFmtId="0" fontId="15" fillId="0" borderId="45" xfId="2" applyFont="1" applyBorder="1" applyAlignment="1">
      <alignment horizontal="center" vertical="center"/>
    </xf>
    <xf numFmtId="0" fontId="15" fillId="0" borderId="15" xfId="2" applyFont="1" applyBorder="1" applyAlignment="1">
      <alignment horizontal="center" vertical="center"/>
    </xf>
    <xf numFmtId="4" fontId="16" fillId="0" borderId="12" xfId="15" applyNumberFormat="1" applyFont="1" applyBorder="1" applyAlignment="1">
      <alignment horizontal="center"/>
    </xf>
    <xf numFmtId="4" fontId="16" fillId="0" borderId="13" xfId="15" applyNumberFormat="1" applyFont="1" applyBorder="1" applyAlignment="1">
      <alignment horizontal="center"/>
    </xf>
    <xf numFmtId="4" fontId="16" fillId="0" borderId="15" xfId="15" applyNumberFormat="1" applyFont="1" applyBorder="1" applyAlignment="1">
      <alignment horizontal="center"/>
    </xf>
    <xf numFmtId="4" fontId="16" fillId="0" borderId="14" xfId="15" applyNumberFormat="1" applyFont="1" applyBorder="1" applyAlignment="1">
      <alignment horizontal="center"/>
    </xf>
    <xf numFmtId="4" fontId="16" fillId="0" borderId="1" xfId="15" applyNumberFormat="1" applyFont="1" applyBorder="1" applyAlignment="1">
      <alignment horizontal="center"/>
    </xf>
    <xf numFmtId="4" fontId="16" fillId="0" borderId="8" xfId="15" applyNumberFormat="1" applyFont="1" applyBorder="1" applyAlignment="1">
      <alignment horizontal="center"/>
    </xf>
    <xf numFmtId="0" fontId="14" fillId="0" borderId="0" xfId="2" applyBorder="1"/>
    <xf numFmtId="0" fontId="15" fillId="0" borderId="0" xfId="2" applyFont="1" applyBorder="1" applyAlignment="1">
      <alignment horizontal="center"/>
    </xf>
    <xf numFmtId="0" fontId="15" fillId="0" borderId="0" xfId="15" applyFont="1" applyBorder="1" applyAlignment="1">
      <alignment horizontal="center"/>
    </xf>
    <xf numFmtId="0" fontId="15" fillId="0" borderId="0" xfId="2" applyFont="1" applyBorder="1" applyAlignment="1">
      <alignment vertical="center"/>
    </xf>
    <xf numFmtId="0" fontId="15" fillId="0" borderId="0" xfId="15" applyFont="1" applyBorder="1" applyAlignment="1"/>
    <xf numFmtId="0" fontId="15" fillId="0" borderId="0" xfId="2" applyFont="1" applyBorder="1" applyAlignment="1">
      <alignment vertical="center" wrapText="1"/>
    </xf>
    <xf numFmtId="0" fontId="17" fillId="0" borderId="0" xfId="2" applyFont="1" applyBorder="1" applyAlignment="1">
      <alignment vertical="center" wrapText="1"/>
    </xf>
    <xf numFmtId="0" fontId="23" fillId="0" borderId="14" xfId="6" applyFont="1" applyBorder="1" applyAlignment="1">
      <alignment horizontal="center" vertical="center" wrapText="1"/>
    </xf>
    <xf numFmtId="0" fontId="23" fillId="0" borderId="8" xfId="6" applyFont="1" applyBorder="1" applyAlignment="1">
      <alignment horizontal="center" vertical="center" wrapText="1"/>
    </xf>
    <xf numFmtId="0" fontId="23" fillId="0" borderId="1" xfId="6" applyFont="1" applyBorder="1" applyAlignment="1">
      <alignment horizontal="center" vertical="center" wrapText="1"/>
    </xf>
    <xf numFmtId="0" fontId="3" fillId="0" borderId="0" xfId="6" applyFont="1" applyAlignment="1">
      <alignment wrapText="1"/>
    </xf>
    <xf numFmtId="3" fontId="24" fillId="0" borderId="3" xfId="6" applyNumberFormat="1" applyFont="1" applyBorder="1"/>
    <xf numFmtId="3" fontId="24" fillId="0" borderId="0" xfId="6" applyNumberFormat="1" applyFont="1" applyBorder="1"/>
    <xf numFmtId="3" fontId="24" fillId="0" borderId="7" xfId="6" applyNumberFormat="1" applyFont="1" applyBorder="1"/>
    <xf numFmtId="0" fontId="17" fillId="0" borderId="0" xfId="16" applyFont="1" applyBorder="1" applyAlignment="1">
      <alignment horizontal="center" wrapText="1"/>
    </xf>
    <xf numFmtId="3" fontId="24" fillId="0" borderId="0" xfId="6" applyNumberFormat="1" applyFont="1" applyAlignment="1">
      <alignment horizontal="center"/>
    </xf>
    <xf numFmtId="0" fontId="17" fillId="11" borderId="2" xfId="0" applyFont="1" applyFill="1" applyBorder="1"/>
    <xf numFmtId="0" fontId="17" fillId="11" borderId="11" xfId="0" applyFont="1" applyFill="1" applyBorder="1" applyAlignment="1">
      <alignment horizontal="center" wrapText="1"/>
    </xf>
    <xf numFmtId="0" fontId="15" fillId="11" borderId="14" xfId="0" applyFont="1" applyFill="1" applyBorder="1" applyAlignment="1">
      <alignment horizontal="center" vertical="center"/>
    </xf>
    <xf numFmtId="0" fontId="15" fillId="11" borderId="1" xfId="0" applyFont="1" applyFill="1" applyBorder="1" applyAlignment="1">
      <alignment horizontal="center" vertical="center"/>
    </xf>
    <xf numFmtId="43" fontId="16" fillId="11" borderId="2" xfId="14" quotePrefix="1" applyFont="1" applyFill="1" applyBorder="1" applyAlignment="1">
      <alignment horizontal="center" vertical="center"/>
    </xf>
    <xf numFmtId="164" fontId="0" fillId="11" borderId="12" xfId="0" applyNumberFormat="1" applyFill="1" applyBorder="1" applyAlignment="1">
      <alignment horizontal="center"/>
    </xf>
    <xf numFmtId="164" fontId="0" fillId="11" borderId="13" xfId="0" applyNumberFormat="1" applyFill="1" applyBorder="1" applyAlignment="1">
      <alignment horizontal="center"/>
    </xf>
    <xf numFmtId="164" fontId="0" fillId="11" borderId="2" xfId="0" applyNumberFormat="1" applyFill="1" applyBorder="1" applyAlignment="1">
      <alignment horizontal="center" vertical="center"/>
    </xf>
    <xf numFmtId="164" fontId="0" fillId="11" borderId="3" xfId="1" applyNumberFormat="1" applyFont="1" applyFill="1" applyBorder="1" applyAlignment="1">
      <alignment horizontal="center" vertical="center"/>
    </xf>
    <xf numFmtId="164" fontId="0" fillId="11" borderId="0" xfId="1" applyNumberFormat="1" applyFont="1" applyFill="1" applyBorder="1" applyAlignment="1">
      <alignment horizontal="center" vertical="center"/>
    </xf>
    <xf numFmtId="0" fontId="17" fillId="0" borderId="0" xfId="0" applyFont="1" applyFill="1"/>
    <xf numFmtId="0" fontId="17" fillId="0" borderId="1" xfId="0" applyFont="1" applyFill="1" applyBorder="1" applyAlignment="1">
      <alignment horizontal="center" wrapText="1"/>
    </xf>
    <xf numFmtId="171" fontId="16" fillId="0" borderId="0" xfId="14" quotePrefix="1" applyNumberFormat="1" applyFont="1" applyFill="1" applyAlignment="1">
      <alignment horizontal="center" vertical="center"/>
    </xf>
    <xf numFmtId="171" fontId="16" fillId="0" borderId="0" xfId="14" quotePrefix="1" applyNumberFormat="1" applyFont="1" applyFill="1" applyAlignment="1">
      <alignment vertical="center"/>
    </xf>
    <xf numFmtId="4" fontId="0" fillId="10" borderId="0" xfId="0" applyNumberFormat="1" applyFill="1"/>
    <xf numFmtId="0" fontId="19" fillId="0" borderId="0" xfId="6" applyFont="1" applyBorder="1" applyAlignment="1">
      <alignment horizontal="center" vertical="center"/>
    </xf>
    <xf numFmtId="0" fontId="5" fillId="0" borderId="0" xfId="6" applyFont="1" applyBorder="1" applyAlignment="1">
      <alignment horizontal="center" vertical="center"/>
    </xf>
    <xf numFmtId="44" fontId="24" fillId="0" borderId="3" xfId="1" applyFont="1" applyBorder="1" applyAlignment="1">
      <alignment horizontal="center" vertical="center"/>
    </xf>
    <xf numFmtId="44" fontId="5" fillId="0" borderId="7" xfId="1" applyFont="1" applyBorder="1" applyAlignment="1">
      <alignment horizontal="center"/>
    </xf>
    <xf numFmtId="164" fontId="16" fillId="0" borderId="0" xfId="0" applyNumberFormat="1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0" fontId="17" fillId="0" borderId="5" xfId="6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164" fontId="16" fillId="0" borderId="7" xfId="0" applyNumberFormat="1" applyFont="1" applyBorder="1" applyAlignment="1">
      <alignment horizontal="center"/>
    </xf>
    <xf numFmtId="164" fontId="17" fillId="2" borderId="7" xfId="6" applyNumberFormat="1" applyFont="1" applyFill="1" applyBorder="1" applyAlignment="1">
      <alignment horizontal="center"/>
    </xf>
    <xf numFmtId="0" fontId="16" fillId="0" borderId="0" xfId="0" applyFont="1" applyBorder="1"/>
    <xf numFmtId="164" fontId="54" fillId="0" borderId="0" xfId="0" applyNumberFormat="1" applyFont="1" applyBorder="1" applyAlignment="1">
      <alignment horizontal="centerContinuous"/>
    </xf>
    <xf numFmtId="0" fontId="54" fillId="0" borderId="0" xfId="0" applyFont="1" applyBorder="1" applyAlignment="1">
      <alignment horizontal="centerContinuous"/>
    </xf>
    <xf numFmtId="4" fontId="54" fillId="2" borderId="0" xfId="0" applyNumberFormat="1" applyFont="1" applyFill="1" applyBorder="1" applyAlignment="1">
      <alignment horizontal="centerContinuous"/>
    </xf>
    <xf numFmtId="0" fontId="54" fillId="2" borderId="0" xfId="0" applyFont="1" applyFill="1" applyBorder="1" applyAlignment="1">
      <alignment horizontal="centerContinuous"/>
    </xf>
    <xf numFmtId="0" fontId="16" fillId="0" borderId="46" xfId="0" applyFont="1" applyBorder="1"/>
    <xf numFmtId="0" fontId="53" fillId="0" borderId="31" xfId="0" applyFont="1" applyBorder="1" applyAlignment="1">
      <alignment horizontal="centerContinuous"/>
    </xf>
    <xf numFmtId="0" fontId="54" fillId="0" borderId="29" xfId="0" applyFont="1" applyBorder="1" applyAlignment="1">
      <alignment horizontal="centerContinuous"/>
    </xf>
    <xf numFmtId="0" fontId="53" fillId="0" borderId="29" xfId="0" applyFont="1" applyBorder="1" applyAlignment="1">
      <alignment horizontal="centerContinuous"/>
    </xf>
    <xf numFmtId="0" fontId="54" fillId="0" borderId="32" xfId="0" applyFont="1" applyBorder="1" applyAlignment="1">
      <alignment horizontal="centerContinuous"/>
    </xf>
    <xf numFmtId="0" fontId="54" fillId="0" borderId="47" xfId="0" applyFont="1" applyBorder="1"/>
    <xf numFmtId="0" fontId="54" fillId="0" borderId="36" xfId="0" applyFont="1" applyBorder="1" applyAlignment="1">
      <alignment horizontal="centerContinuous"/>
    </xf>
    <xf numFmtId="0" fontId="54" fillId="0" borderId="48" xfId="0" applyFont="1" applyBorder="1"/>
    <xf numFmtId="0" fontId="54" fillId="2" borderId="48" xfId="0" applyFont="1" applyFill="1" applyBorder="1"/>
    <xf numFmtId="0" fontId="54" fillId="2" borderId="36" xfId="0" applyFont="1" applyFill="1" applyBorder="1" applyAlignment="1">
      <alignment horizontal="centerContinuous"/>
    </xf>
    <xf numFmtId="0" fontId="54" fillId="0" borderId="49" xfId="0" applyFont="1" applyBorder="1"/>
    <xf numFmtId="164" fontId="54" fillId="0" borderId="50" xfId="0" applyNumberFormat="1" applyFont="1" applyBorder="1" applyAlignment="1">
      <alignment horizontal="centerContinuous"/>
    </xf>
    <xf numFmtId="0" fontId="54" fillId="0" borderId="50" xfId="0" applyFont="1" applyBorder="1" applyAlignment="1">
      <alignment horizontal="centerContinuous"/>
    </xf>
    <xf numFmtId="0" fontId="54" fillId="0" borderId="51" xfId="0" applyFont="1" applyBorder="1" applyAlignment="1">
      <alignment horizontal="centerContinuous"/>
    </xf>
    <xf numFmtId="0" fontId="17" fillId="2" borderId="0" xfId="6" applyFont="1" applyFill="1" applyBorder="1" applyAlignment="1">
      <alignment horizontal="center" vertical="center"/>
    </xf>
    <xf numFmtId="44" fontId="17" fillId="2" borderId="7" xfId="1" applyFont="1" applyFill="1" applyBorder="1" applyAlignment="1">
      <alignment horizontal="center" vertical="center"/>
    </xf>
    <xf numFmtId="44" fontId="17" fillId="2" borderId="3" xfId="1" applyFont="1" applyFill="1" applyBorder="1" applyAlignment="1">
      <alignment horizontal="center" vertical="center"/>
    </xf>
    <xf numFmtId="6" fontId="58" fillId="0" borderId="0" xfId="0" applyNumberFormat="1" applyFont="1" applyFill="1" applyAlignment="1">
      <alignment horizontal="center" vertical="center" wrapText="1"/>
    </xf>
    <xf numFmtId="0" fontId="57" fillId="0" borderId="0" xfId="0" applyFont="1" applyFill="1" applyAlignment="1">
      <alignment horizontal="center" vertical="center" wrapText="1"/>
    </xf>
    <xf numFmtId="0" fontId="76" fillId="0" borderId="0" xfId="10" applyFont="1" applyFill="1" applyBorder="1"/>
    <xf numFmtId="0" fontId="77" fillId="0" borderId="0" xfId="0" applyFont="1" applyAlignment="1">
      <alignment horizontal="left" vertical="center"/>
    </xf>
    <xf numFmtId="44" fontId="58" fillId="0" borderId="0" xfId="1" applyFont="1" applyFill="1" applyAlignment="1">
      <alignment horizontal="center"/>
    </xf>
    <xf numFmtId="171" fontId="58" fillId="0" borderId="0" xfId="12" applyNumberFormat="1" applyFont="1" applyFill="1" applyAlignment="1">
      <alignment horizontal="center"/>
    </xf>
    <xf numFmtId="0" fontId="78" fillId="0" borderId="0" xfId="0" applyFont="1" applyAlignment="1">
      <alignment wrapText="1"/>
    </xf>
    <xf numFmtId="0" fontId="1" fillId="0" borderId="0" xfId="6" applyFont="1" applyAlignment="1">
      <alignment wrapText="1"/>
    </xf>
    <xf numFmtId="0" fontId="1" fillId="0" borderId="0" xfId="6" applyFont="1" applyAlignment="1">
      <alignment horizontal="center" vertical="center"/>
    </xf>
    <xf numFmtId="172" fontId="16" fillId="0" borderId="0" xfId="0" applyNumberFormat="1" applyFont="1" applyAlignment="1">
      <alignment horizontal="center"/>
    </xf>
    <xf numFmtId="0" fontId="58" fillId="0" borderId="0" xfId="0" applyFont="1" applyFill="1" applyAlignment="1">
      <alignment horizontal="center"/>
    </xf>
    <xf numFmtId="0" fontId="30" fillId="0" borderId="0" xfId="0" applyFont="1" applyFill="1"/>
    <xf numFmtId="6" fontId="58" fillId="0" borderId="0" xfId="0" applyNumberFormat="1" applyFont="1" applyAlignment="1">
      <alignment horizontal="center" vertical="center" wrapText="1"/>
    </xf>
    <xf numFmtId="171" fontId="58" fillId="0" borderId="0" xfId="12" applyNumberFormat="1" applyFont="1" applyAlignment="1">
      <alignment horizontal="center" vertical="center" wrapText="1"/>
    </xf>
    <xf numFmtId="0" fontId="57" fillId="0" borderId="8" xfId="0" applyFont="1" applyBorder="1" applyAlignment="1">
      <alignment horizontal="centerContinuous" vertical="center"/>
    </xf>
    <xf numFmtId="164" fontId="66" fillId="0" borderId="7" xfId="0" applyNumberFormat="1" applyFont="1" applyBorder="1" applyAlignment="1">
      <alignment horizontal="center" vertical="center"/>
    </xf>
    <xf numFmtId="164" fontId="57" fillId="2" borderId="7" xfId="0" applyNumberFormat="1" applyFont="1" applyFill="1" applyBorder="1" applyAlignment="1">
      <alignment horizontal="center" vertical="center"/>
    </xf>
    <xf numFmtId="0" fontId="57" fillId="0" borderId="1" xfId="0" applyFont="1" applyFill="1" applyBorder="1" applyAlignment="1">
      <alignment horizontal="center" vertical="center" wrapText="1"/>
    </xf>
    <xf numFmtId="0" fontId="57" fillId="0" borderId="8" xfId="0" applyFont="1" applyFill="1" applyBorder="1" applyAlignment="1">
      <alignment horizontal="center" vertical="center" wrapText="1"/>
    </xf>
    <xf numFmtId="0" fontId="59" fillId="0" borderId="0" xfId="0" applyFont="1" applyFill="1" applyAlignment="1">
      <alignment horizontal="left" vertical="center"/>
    </xf>
    <xf numFmtId="0" fontId="58" fillId="0" borderId="0" xfId="0" applyFont="1" applyFill="1" applyAlignment="1">
      <alignment horizontal="center" vertical="center"/>
    </xf>
    <xf numFmtId="1" fontId="17" fillId="0" borderId="0" xfId="6" applyNumberFormat="1" applyFont="1" applyAlignment="1">
      <alignment horizontal="center" vertical="center" wrapText="1"/>
    </xf>
    <xf numFmtId="9" fontId="0" fillId="0" borderId="0" xfId="5" applyFont="1" applyAlignment="1">
      <alignment horizontal="center" vertical="center"/>
    </xf>
    <xf numFmtId="0" fontId="16" fillId="1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6" fillId="0" borderId="0" xfId="0" applyFont="1" applyFill="1"/>
    <xf numFmtId="169" fontId="58" fillId="0" borderId="0" xfId="1" applyNumberFormat="1" applyFont="1" applyFill="1" applyAlignment="1">
      <alignment horizontal="center"/>
    </xf>
    <xf numFmtId="44" fontId="58" fillId="0" borderId="0" xfId="1" applyFont="1" applyFill="1"/>
    <xf numFmtId="0" fontId="76" fillId="0" borderId="0" xfId="10" applyFont="1"/>
    <xf numFmtId="0" fontId="19" fillId="0" borderId="0" xfId="2" applyFont="1" applyFill="1" applyAlignment="1">
      <alignment vertical="center"/>
    </xf>
    <xf numFmtId="0" fontId="14" fillId="0" borderId="0" xfId="0" applyFont="1" applyFill="1"/>
    <xf numFmtId="0" fontId="17" fillId="0" borderId="10" xfId="0" applyFont="1" applyBorder="1" applyAlignment="1">
      <alignment horizontal="center" wrapText="1"/>
    </xf>
    <xf numFmtId="0" fontId="17" fillId="3" borderId="0" xfId="0" applyFont="1" applyFill="1" applyAlignment="1">
      <alignment horizontal="center"/>
    </xf>
    <xf numFmtId="0" fontId="16" fillId="10" borderId="0" xfId="0" applyFont="1" applyFill="1" applyAlignment="1">
      <alignment horizontal="center" vertical="center"/>
    </xf>
    <xf numFmtId="0" fontId="57" fillId="0" borderId="14" xfId="0" applyFont="1" applyBorder="1" applyAlignment="1">
      <alignment horizontal="center"/>
    </xf>
    <xf numFmtId="0" fontId="57" fillId="0" borderId="1" xfId="0" applyFont="1" applyBorder="1" applyAlignment="1">
      <alignment horizontal="center"/>
    </xf>
    <xf numFmtId="0" fontId="23" fillId="0" borderId="1" xfId="6" applyFont="1" applyBorder="1" applyAlignment="1">
      <alignment horizontal="center" wrapText="1"/>
    </xf>
    <xf numFmtId="0" fontId="23" fillId="0" borderId="8" xfId="6" applyFont="1" applyBorder="1" applyAlignment="1">
      <alignment horizontal="center" wrapText="1"/>
    </xf>
    <xf numFmtId="0" fontId="23" fillId="0" borderId="14" xfId="6" applyFont="1" applyBorder="1" applyAlignment="1">
      <alignment horizontal="center" wrapText="1"/>
    </xf>
    <xf numFmtId="0" fontId="23" fillId="0" borderId="14" xfId="6" applyFont="1" applyBorder="1" applyAlignment="1">
      <alignment horizontal="center"/>
    </xf>
    <xf numFmtId="0" fontId="23" fillId="0" borderId="1" xfId="6" applyFont="1" applyBorder="1" applyAlignment="1">
      <alignment horizontal="center"/>
    </xf>
    <xf numFmtId="0" fontId="23" fillId="0" borderId="8" xfId="6" applyFont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23" fillId="0" borderId="3" xfId="6" applyFont="1" applyBorder="1" applyAlignment="1">
      <alignment horizontal="center" vertical="center" wrapText="1"/>
    </xf>
    <xf numFmtId="0" fontId="23" fillId="0" borderId="7" xfId="6" applyFont="1" applyBorder="1" applyAlignment="1">
      <alignment horizontal="center" vertical="center" wrapText="1"/>
    </xf>
    <xf numFmtId="0" fontId="23" fillId="0" borderId="14" xfId="6" applyFont="1" applyBorder="1" applyAlignment="1">
      <alignment horizontal="center" vertical="center" wrapText="1"/>
    </xf>
    <xf numFmtId="0" fontId="23" fillId="0" borderId="8" xfId="6" applyFont="1" applyBorder="1" applyAlignment="1">
      <alignment horizontal="center" vertical="center" wrapText="1"/>
    </xf>
    <xf numFmtId="0" fontId="23" fillId="0" borderId="3" xfId="6" applyFont="1" applyBorder="1" applyAlignment="1">
      <alignment horizontal="center" vertical="center"/>
    </xf>
    <xf numFmtId="0" fontId="23" fillId="0" borderId="7" xfId="6" applyFont="1" applyBorder="1" applyAlignment="1">
      <alignment horizontal="center" vertical="center"/>
    </xf>
    <xf numFmtId="0" fontId="17" fillId="0" borderId="3" xfId="16" applyFont="1" applyBorder="1" applyAlignment="1">
      <alignment horizontal="center" wrapText="1"/>
    </xf>
    <xf numFmtId="0" fontId="17" fillId="0" borderId="7" xfId="16" applyFont="1" applyBorder="1" applyAlignment="1">
      <alignment horizontal="center" wrapText="1"/>
    </xf>
    <xf numFmtId="0" fontId="2" fillId="0" borderId="3" xfId="6" applyFont="1" applyBorder="1" applyAlignment="1">
      <alignment horizontal="center"/>
    </xf>
    <xf numFmtId="0" fontId="2" fillId="0" borderId="7" xfId="6" applyFont="1" applyBorder="1" applyAlignment="1">
      <alignment horizontal="center"/>
    </xf>
    <xf numFmtId="0" fontId="17" fillId="0" borderId="3" xfId="6" applyFont="1" applyBorder="1" applyAlignment="1">
      <alignment horizontal="center" vertical="center" wrapText="1"/>
    </xf>
    <xf numFmtId="0" fontId="17" fillId="0" borderId="0" xfId="6" applyFont="1" applyBorder="1" applyAlignment="1">
      <alignment horizontal="center" vertical="center" wrapText="1"/>
    </xf>
    <xf numFmtId="0" fontId="23" fillId="0" borderId="3" xfId="6" applyFont="1" applyBorder="1" applyAlignment="1">
      <alignment horizontal="center" wrapText="1"/>
    </xf>
    <xf numFmtId="0" fontId="23" fillId="0" borderId="7" xfId="6" applyFont="1" applyBorder="1" applyAlignment="1">
      <alignment horizontal="center" wrapText="1"/>
    </xf>
    <xf numFmtId="0" fontId="23" fillId="0" borderId="0" xfId="6" applyFont="1" applyAlignment="1">
      <alignment horizontal="center" wrapText="1"/>
    </xf>
    <xf numFmtId="0" fontId="15" fillId="0" borderId="3" xfId="2" applyFont="1" applyBorder="1" applyAlignment="1">
      <alignment horizontal="center" vertical="center"/>
    </xf>
    <xf numFmtId="0" fontId="15" fillId="0" borderId="36" xfId="2" applyFont="1" applyBorder="1" applyAlignment="1">
      <alignment horizontal="center" vertical="center"/>
    </xf>
    <xf numFmtId="0" fontId="15" fillId="0" borderId="28" xfId="15" applyFont="1" applyBorder="1" applyAlignment="1">
      <alignment horizontal="center"/>
    </xf>
    <xf numFmtId="0" fontId="15" fillId="0" borderId="29" xfId="15" applyFont="1" applyBorder="1" applyAlignment="1">
      <alignment horizontal="center"/>
    </xf>
    <xf numFmtId="0" fontId="15" fillId="0" borderId="28" xfId="2" applyFont="1" applyBorder="1" applyAlignment="1">
      <alignment horizontal="center"/>
    </xf>
    <xf numFmtId="0" fontId="15" fillId="0" borderId="29" xfId="2" applyFont="1" applyBorder="1" applyAlignment="1">
      <alignment horizontal="center"/>
    </xf>
    <xf numFmtId="0" fontId="15" fillId="0" borderId="32" xfId="2" applyFont="1" applyBorder="1" applyAlignment="1">
      <alignment horizontal="center"/>
    </xf>
    <xf numFmtId="0" fontId="17" fillId="0" borderId="3" xfId="2" applyFont="1" applyBorder="1" applyAlignment="1">
      <alignment horizontal="center" vertical="center" wrapText="1"/>
    </xf>
    <xf numFmtId="0" fontId="17" fillId="0" borderId="0" xfId="2" applyFont="1" applyAlignment="1">
      <alignment horizontal="center" vertical="center" wrapText="1"/>
    </xf>
    <xf numFmtId="0" fontId="17" fillId="0" borderId="7" xfId="2" applyFont="1" applyBorder="1" applyAlignment="1">
      <alignment horizontal="center" vertical="center" wrapText="1"/>
    </xf>
    <xf numFmtId="0" fontId="17" fillId="0" borderId="14" xfId="2" applyFont="1" applyBorder="1" applyAlignment="1">
      <alignment horizontal="center" vertical="center" wrapText="1"/>
    </xf>
    <xf numFmtId="0" fontId="17" fillId="0" borderId="1" xfId="2" applyFont="1" applyBorder="1" applyAlignment="1">
      <alignment horizontal="center" vertical="center" wrapText="1"/>
    </xf>
    <xf numFmtId="0" fontId="17" fillId="0" borderId="8" xfId="2" applyFont="1" applyBorder="1" applyAlignment="1">
      <alignment horizontal="center" vertical="center" wrapText="1"/>
    </xf>
    <xf numFmtId="0" fontId="15" fillId="0" borderId="35" xfId="2" applyFont="1" applyBorder="1" applyAlignment="1">
      <alignment horizontal="center" vertical="center" wrapText="1"/>
    </xf>
    <xf numFmtId="0" fontId="15" fillId="0" borderId="7" xfId="2" applyFont="1" applyBorder="1" applyAlignment="1">
      <alignment horizontal="center" vertical="center" wrapText="1"/>
    </xf>
    <xf numFmtId="0" fontId="15" fillId="0" borderId="33" xfId="2" applyFont="1" applyBorder="1" applyAlignment="1">
      <alignment horizontal="center" vertical="center" wrapText="1"/>
    </xf>
    <xf numFmtId="0" fontId="15" fillId="0" borderId="8" xfId="2" applyFont="1" applyBorder="1" applyAlignment="1">
      <alignment horizontal="center" vertical="center" wrapText="1"/>
    </xf>
    <xf numFmtId="0" fontId="15" fillId="0" borderId="34" xfId="15" applyFont="1" applyBorder="1" applyAlignment="1">
      <alignment horizontal="center"/>
    </xf>
    <xf numFmtId="0" fontId="15" fillId="0" borderId="4" xfId="15" applyFont="1" applyBorder="1" applyAlignment="1">
      <alignment horizontal="center"/>
    </xf>
    <xf numFmtId="0" fontId="15" fillId="0" borderId="6" xfId="15" applyFont="1" applyBorder="1" applyAlignment="1">
      <alignment horizontal="center"/>
    </xf>
    <xf numFmtId="0" fontId="15" fillId="0" borderId="3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11" borderId="3" xfId="0" applyFont="1" applyFill="1" applyBorder="1" applyAlignment="1">
      <alignment horizontal="center" wrapText="1"/>
    </xf>
    <xf numFmtId="0" fontId="15" fillId="11" borderId="0" xfId="0" applyFont="1" applyFill="1" applyAlignment="1">
      <alignment horizontal="center" wrapText="1"/>
    </xf>
    <xf numFmtId="0" fontId="15" fillId="11" borderId="2" xfId="0" applyFont="1" applyFill="1" applyBorder="1" applyAlignment="1">
      <alignment horizontal="center" vertical="center" wrapText="1"/>
    </xf>
    <xf numFmtId="0" fontId="15" fillId="11" borderId="11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6" fillId="0" borderId="0" xfId="2" applyFont="1" applyFill="1"/>
    <xf numFmtId="168" fontId="16" fillId="0" borderId="0" xfId="2" applyNumberFormat="1" applyFont="1" applyFill="1"/>
    <xf numFmtId="168" fontId="16" fillId="0" borderId="0" xfId="15" applyNumberFormat="1" applyFont="1" applyFill="1"/>
    <xf numFmtId="0" fontId="16" fillId="0" borderId="0" xfId="15" applyFont="1" applyFill="1"/>
    <xf numFmtId="164" fontId="16" fillId="0" borderId="0" xfId="2" applyNumberFormat="1" applyFont="1" applyFill="1"/>
    <xf numFmtId="0" fontId="17" fillId="0" borderId="0" xfId="2" applyFont="1" applyFill="1"/>
    <xf numFmtId="0" fontId="16" fillId="0" borderId="0" xfId="2" applyFont="1" applyFill="1" applyAlignment="1">
      <alignment horizontal="right"/>
    </xf>
    <xf numFmtId="0" fontId="16" fillId="0" borderId="0" xfId="2" applyFont="1" applyFill="1" applyAlignment="1">
      <alignment horizontal="center"/>
    </xf>
    <xf numFmtId="0" fontId="16" fillId="0" borderId="0" xfId="15" applyFont="1" applyFill="1" applyAlignment="1">
      <alignment horizontal="center"/>
    </xf>
    <xf numFmtId="0" fontId="14" fillId="0" borderId="0" xfId="2" applyFill="1"/>
    <xf numFmtId="0" fontId="14" fillId="0" borderId="0" xfId="2" applyFill="1" applyBorder="1"/>
    <xf numFmtId="0" fontId="15" fillId="0" borderId="0" xfId="2" applyFont="1" applyFill="1" applyBorder="1" applyAlignment="1">
      <alignment vertical="center"/>
    </xf>
    <xf numFmtId="0" fontId="15" fillId="0" borderId="0" xfId="15" applyFont="1" applyFill="1" applyBorder="1" applyAlignment="1">
      <alignment horizontal="center"/>
    </xf>
    <xf numFmtId="0" fontId="15" fillId="0" borderId="0" xfId="15" applyFont="1" applyFill="1" applyBorder="1" applyAlignment="1"/>
    <xf numFmtId="0" fontId="15" fillId="0" borderId="0" xfId="2" applyFont="1" applyFill="1" applyBorder="1" applyAlignment="1"/>
    <xf numFmtId="0" fontId="15" fillId="0" borderId="0" xfId="2" applyFont="1" applyFill="1" applyBorder="1" applyAlignment="1">
      <alignment vertical="center" wrapText="1"/>
    </xf>
    <xf numFmtId="0" fontId="17" fillId="0" borderId="0" xfId="2" applyFont="1" applyFill="1" applyBorder="1" applyAlignment="1">
      <alignment vertical="center" wrapText="1"/>
    </xf>
  </cellXfs>
  <cellStyles count="18">
    <cellStyle name="Comma" xfId="12" builtinId="3"/>
    <cellStyle name="Comma 2" xfId="14" xr:uid="{43E3E58D-2614-4DC6-B0B2-33F60750FD5D}"/>
    <cellStyle name="Currency" xfId="1" builtinId="4"/>
    <cellStyle name="Currency 2" xfId="9" xr:uid="{00000000-0005-0000-0000-000034000000}"/>
    <cellStyle name="Hyperlink" xfId="10" builtinId="8"/>
    <cellStyle name="Normal" xfId="0" builtinId="0"/>
    <cellStyle name="Normal 2" xfId="4" xr:uid="{00000000-0005-0000-0000-00002F000000}"/>
    <cellStyle name="Normal 2 3" xfId="15" xr:uid="{C21E779E-8D1A-44AB-91A8-A70BC7B08810}"/>
    <cellStyle name="Normal 3" xfId="2" xr:uid="{00000000-0005-0000-0000-00002F000000}"/>
    <cellStyle name="Normal 37" xfId="17" xr:uid="{B92E0953-9445-468A-B5F6-819C764D2149}"/>
    <cellStyle name="Normal 4" xfId="6" xr:uid="{55C00F0B-D5A6-4C3C-9D5D-3E18DF1AA274}"/>
    <cellStyle name="Normal 4 2" xfId="11" xr:uid="{7D537D59-2BF7-432C-89B0-21226E7F2A00}"/>
    <cellStyle name="Normal 4 2 2" xfId="13" xr:uid="{0BE1DE41-0262-4697-BCD3-FEC8124F7F85}"/>
    <cellStyle name="Normal 4 3" xfId="16" xr:uid="{5E8C9CF1-92B1-4419-A88B-CC68CCE23321}"/>
    <cellStyle name="Normal 5" xfId="8" xr:uid="{00000000-0005-0000-0000-000035000000}"/>
    <cellStyle name="Percent" xfId="5" builtinId="5"/>
    <cellStyle name="Percent 2" xfId="3" xr:uid="{00000000-0005-0000-0000-000031000000}"/>
    <cellStyle name="Percent 3" xfId="7" xr:uid="{C6482003-D0DC-465F-A793-786E3CD81057}"/>
  </cellStyles>
  <dxfs count="0"/>
  <tableStyles count="0" defaultTableStyle="TableStyleMedium2" defaultPivotStyle="PivotStyleLight16"/>
  <colors>
    <mruColors>
      <color rgb="FF0000FF"/>
      <color rgb="FF008000"/>
      <color rgb="FFDCE6F1"/>
      <color rgb="FFF2F2F2"/>
      <color rgb="FFFFFFCC"/>
      <color rgb="FFBD9AF0"/>
      <color rgb="FF34411B"/>
      <color rgb="FF3E4D1F"/>
      <color rgb="FF00A8A4"/>
      <color rgb="FFE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theme" Target="theme/theme1.xml"/><Relationship Id="rId29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sheetMetadata" Target="metadata.xml"/><Relationship Id="rId28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sharedStrings" Target="sharedStrings.xml"/><Relationship Id="rId27" Type="http://schemas.openxmlformats.org/officeDocument/2006/relationships/customXml" Target="../customXml/item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41650</xdr:colOff>
      <xdr:row>8</xdr:row>
      <xdr:rowOff>208243</xdr:rowOff>
    </xdr:from>
    <xdr:to>
      <xdr:col>8</xdr:col>
      <xdr:colOff>795617</xdr:colOff>
      <xdr:row>15</xdr:row>
      <xdr:rowOff>31713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A77BCB02-E5CA-4040-B4FD-8C067E3D5E55}"/>
            </a:ext>
          </a:extLst>
        </xdr:cNvPr>
        <xdr:cNvSpPr txBox="1"/>
      </xdr:nvSpPr>
      <xdr:spPr>
        <a:xfrm>
          <a:off x="11426826" y="1911537"/>
          <a:ext cx="1784909" cy="966470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/>
            <a:t>Legend</a:t>
          </a:r>
          <a:endParaRPr lang="en-US" sz="1100"/>
        </a:p>
        <a:p>
          <a:endParaRPr lang="en-US" sz="1100">
            <a:solidFill>
              <a:srgbClr val="0000FF"/>
            </a:solidFill>
          </a:endParaRPr>
        </a:p>
        <a:p>
          <a:r>
            <a:rPr lang="en-US" sz="1100">
              <a:solidFill>
                <a:srgbClr val="0000FF"/>
              </a:solidFill>
            </a:rPr>
            <a:t>Inputs</a:t>
          </a:r>
        </a:p>
        <a:p>
          <a:r>
            <a:rPr lang="en-US" sz="1100">
              <a:solidFill>
                <a:sysClr val="windowText" lastClr="000000"/>
              </a:solidFill>
            </a:rPr>
            <a:t>Calculated Cells</a:t>
          </a:r>
        </a:p>
        <a:p>
          <a:r>
            <a:rPr lang="en-US" sz="1100">
              <a:solidFill>
                <a:srgbClr val="00B050"/>
              </a:solidFill>
            </a:rPr>
            <a:t>References to Other</a:t>
          </a:r>
          <a:r>
            <a:rPr lang="en-US" sz="1100" baseline="0">
              <a:solidFill>
                <a:srgbClr val="00B050"/>
              </a:solidFill>
            </a:rPr>
            <a:t> Sheets</a:t>
          </a:r>
        </a:p>
        <a:p>
          <a:endParaRPr lang="en-US" sz="1400">
            <a:solidFill>
              <a:srgbClr val="00B05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</xdr:colOff>
      <xdr:row>12</xdr:row>
      <xdr:rowOff>41910</xdr:rowOff>
    </xdr:from>
    <xdr:to>
      <xdr:col>11</xdr:col>
      <xdr:colOff>136690</xdr:colOff>
      <xdr:row>18</xdr:row>
      <xdr:rowOff>89386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AC922771-C549-4D1E-AE89-FCC9D1DCC2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0225" y="2213610"/>
          <a:ext cx="3765715" cy="11904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imley-horn.com\AT_NVA2\RIC_TPTO\117472_VDOT_STARS_OnCall\005_I-95%20at%20Route%20123%20IAA%20Existing%20Conditions\3%20Project%20Data\3-09%20INFRA%20BCA\2021%20INFRA%20BCA_Route%20123%20at%20Route%201_v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.samba/Desktop/Nimmo%20VIIB%20BCA%2020210708_DS_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2021FDOTFederalGrants/Shared%20Documents/General/Grant%20Apps%202021/SMART%20St.%20Augustine/BCA/SMART%20St%20A%20_%20RAISE%202021%20BCA%20v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NVA_Transit/110293002_Benning_Streetcar/Production/2b_Traffic/RAISE%20Grant/Reference/BCA/go-by%20FDOT%20sprdhst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2021FDOTFederalGrants/Shared%20Documents/General/Grant%20Apps%202021/I-95%20INFRA/Data%20and%20Info/topsbc_std_ver4_2028Build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CVBRAISEGrants2022/Shared%20Documents/General/Nimmo%20Parkway%20Rural%20Connector/BCA/Nimmo%20VIIB%20BCA%2020210708_MKW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y.Wentzel/KH/NoVA%20Grants%20and%20Benefit%20Cost%20Analyses%20-%206th%20Street%20Bridge%20Raise%20Grant/References%20-%206th%20St/Otehr%20BCAs/InnerLoopNorth-Benefit-Cost%20Excel_DRAFT_v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BCA Summary"/>
      <sheetName val="Benefit Summary"/>
      <sheetName val="Cost Estimate"/>
      <sheetName val="Cost Estimate _ Detailed"/>
      <sheetName val="Life Spans"/>
      <sheetName val="Construction &amp; Residual"/>
      <sheetName val="Safety"/>
      <sheetName val="User &amp; Non-User"/>
      <sheetName val="Environmental"/>
    </sheetNames>
    <sheetDataSet>
      <sheetData sheetId="0">
        <row r="7">
          <cell r="C7">
            <v>2019</v>
          </cell>
        </row>
        <row r="8">
          <cell r="C8">
            <v>2021</v>
          </cell>
        </row>
        <row r="12">
          <cell r="C12">
            <v>27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XX - Vehcile Operating Costs"/>
      <sheetName val="F - Maintenance Costs"/>
      <sheetName val="G - Safety"/>
      <sheetName val="H - Travel Time"/>
      <sheetName val="Emission Rates"/>
      <sheetName val="I - Environmental NewXX"/>
      <sheetName val="I - Environmentalx New"/>
      <sheetName val="J - Economic Output"/>
      <sheetName val="K - Flood Resiliency"/>
      <sheetName val="K - Flood Resiliency (2)"/>
      <sheetName val="L - Loss of Service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F - Maintenance Costs"/>
      <sheetName val="G - Safety"/>
      <sheetName val="H - Travel Time"/>
      <sheetName val="I - Op Cost Savings"/>
      <sheetName val="J - Environmental"/>
      <sheetName val="Environmental"/>
    </sheetNames>
    <sheetDataSet>
      <sheetData sheetId="0" refreshError="1">
        <row r="6">
          <cell r="C6">
            <v>2019</v>
          </cell>
        </row>
        <row r="15">
          <cell r="C15">
            <v>0.03</v>
          </cell>
        </row>
        <row r="16">
          <cell r="C16">
            <v>7.0000000000000007E-2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F - Maintenance Costs"/>
      <sheetName val="G - Safety"/>
      <sheetName val="H - Travel Time"/>
      <sheetName val="I - Environmental"/>
      <sheetName val="I - Environmentalx"/>
      <sheetName val="J - Economic Out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structions"/>
      <sheetName val="Data Dictionary"/>
      <sheetName val="Admin"/>
      <sheetName val="links"/>
      <sheetName val="deployment support"/>
      <sheetName val="Link Characteristics"/>
      <sheetName val="OPENING SCREEN"/>
      <sheetName val="TOPS-BC INFO"/>
      <sheetName val="WHAT'S NEW"/>
      <sheetName val="LIST OF ALL WORKSHEETS"/>
      <sheetName val="GLOSSARY"/>
      <sheetName val="COST ESTIMATION"/>
      <sheetName val="Cost Default Matrix"/>
      <sheetName val="Costs Template"/>
      <sheetName val="En-Route Traveler Information"/>
      <sheetName val="ATIS-HAR"/>
      <sheetName val="Pre-Trip Traveler Information"/>
      <sheetName val="TSS - Preset Timing"/>
      <sheetName val="TSS-Traffic Actuated Timing"/>
      <sheetName val="TSS - Central Control"/>
      <sheetName val="TSS - Transit Signal Priority"/>
      <sheetName val="RM-Central Control"/>
      <sheetName val="RM-Actuated"/>
      <sheetName val="RM-Preset"/>
      <sheetName val="HERSLookupCategories"/>
      <sheetName val="HERS Cost Sheet"/>
      <sheetName val="FS- Truck Only"/>
      <sheetName val="FS- Compliance"/>
      <sheetName val="FS- Parking &amp; Reservation"/>
      <sheetName val="FS- Climbing Lanes"/>
      <sheetName val="FS- Off Hours"/>
      <sheetName val="Traffic Incident Management"/>
      <sheetName val="ATM- VSL"/>
      <sheetName val="ATM- PTSU"/>
      <sheetName val="ATDM-Speed"/>
      <sheetName val="Travel Demand Management"/>
      <sheetName val="ATDM-Shoulder"/>
      <sheetName val="HOT Lanes"/>
      <sheetName val="Road Weather Management"/>
      <sheetName val="Work Zone Management"/>
      <sheetName val="Shared Use Mobility"/>
      <sheetName val="COSTS SUMMARY"/>
      <sheetName val="BENEFIT ESTIMATE"/>
      <sheetName val="Parameters"/>
      <sheetName val="Strategy Default Impacts"/>
      <sheetName val="En - Route Traveler Information"/>
      <sheetName val="Ramp Metering"/>
      <sheetName val="RWM"/>
      <sheetName val="Benefit Template"/>
      <sheetName val="FS - Compliance"/>
      <sheetName val="Traffic Signal Control"/>
      <sheetName val="Traffic Incident Management "/>
      <sheetName val="Highway Advisory Radio"/>
      <sheetName val="Pre - Trip Traveler Information"/>
      <sheetName val="FS - Truck Only"/>
      <sheetName val="PCE Look Up"/>
      <sheetName val="FS - Parking &amp; Reservation"/>
      <sheetName val="FS - Climbing Lanes"/>
      <sheetName val="FS - Off Hours"/>
      <sheetName val="ATM - VSL"/>
      <sheetName val="ATM - PTSU"/>
      <sheetName val="HOT  Lanes"/>
      <sheetName val="Travel Demand Management "/>
      <sheetName val="Work Zone"/>
      <sheetName val="Speed"/>
      <sheetName val="Shared Use Mobility "/>
      <sheetName val="Summary of My Deployments"/>
      <sheetName val="Results 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C4">
            <v>1</v>
          </cell>
          <cell r="D4" t="str">
            <v>Rural Freeway</v>
          </cell>
          <cell r="E4">
            <v>2200</v>
          </cell>
          <cell r="F4">
            <v>70</v>
          </cell>
          <cell r="G4" t="str">
            <v>Freeways</v>
          </cell>
          <cell r="H4" t="str">
            <v>Freeways</v>
          </cell>
        </row>
        <row r="5">
          <cell r="C5">
            <v>2</v>
          </cell>
          <cell r="D5" t="str">
            <v>Urban Freeway</v>
          </cell>
          <cell r="E5">
            <v>2200</v>
          </cell>
          <cell r="F5">
            <v>55</v>
          </cell>
          <cell r="G5" t="str">
            <v>Freeways</v>
          </cell>
          <cell r="H5" t="str">
            <v>Freeways</v>
          </cell>
        </row>
        <row r="6">
          <cell r="C6">
            <v>3</v>
          </cell>
          <cell r="D6" t="str">
            <v>Principal Arterial</v>
          </cell>
          <cell r="E6">
            <v>1800</v>
          </cell>
          <cell r="F6">
            <v>45</v>
          </cell>
          <cell r="G6" t="str">
            <v>Arterials</v>
          </cell>
          <cell r="H6" t="str">
            <v>Arterials</v>
          </cell>
        </row>
        <row r="7">
          <cell r="C7">
            <v>4</v>
          </cell>
          <cell r="D7" t="str">
            <v>Ramp</v>
          </cell>
          <cell r="E7">
            <v>1600</v>
          </cell>
          <cell r="F7">
            <v>35</v>
          </cell>
          <cell r="G7" t="str">
            <v>Ramps</v>
          </cell>
          <cell r="H7" t="str">
            <v>Arterials</v>
          </cell>
        </row>
        <row r="10">
          <cell r="C10"/>
          <cell r="D10"/>
          <cell r="E10"/>
          <cell r="F10"/>
          <cell r="G10"/>
        </row>
        <row r="11">
          <cell r="C11"/>
          <cell r="D11"/>
          <cell r="E11"/>
          <cell r="F11"/>
          <cell r="G11"/>
        </row>
        <row r="12">
          <cell r="C12"/>
          <cell r="D12"/>
          <cell r="E12"/>
          <cell r="F12"/>
          <cell r="G12"/>
        </row>
        <row r="13">
          <cell r="C13"/>
          <cell r="D13"/>
          <cell r="E13"/>
          <cell r="F13"/>
          <cell r="G13"/>
        </row>
        <row r="14">
          <cell r="C14"/>
          <cell r="D14"/>
          <cell r="E14"/>
          <cell r="F14"/>
          <cell r="G14"/>
        </row>
        <row r="15">
          <cell r="C15"/>
          <cell r="D15"/>
          <cell r="E15"/>
          <cell r="F15"/>
          <cell r="G15"/>
        </row>
        <row r="16">
          <cell r="C16"/>
          <cell r="D16"/>
          <cell r="E16"/>
          <cell r="F16"/>
          <cell r="G16"/>
        </row>
        <row r="17">
          <cell r="C17"/>
          <cell r="D17"/>
          <cell r="E17"/>
          <cell r="F17"/>
          <cell r="G17"/>
        </row>
        <row r="18">
          <cell r="C18"/>
          <cell r="D18"/>
          <cell r="E18"/>
          <cell r="F18"/>
          <cell r="G18"/>
        </row>
        <row r="19">
          <cell r="C19"/>
          <cell r="D19"/>
          <cell r="E19"/>
          <cell r="F19"/>
          <cell r="G19"/>
        </row>
      </sheetData>
      <sheetData sheetId="7">
        <row r="24">
          <cell r="B24" t="str">
            <v>FHWA Tool for Operations Benefit/Cost (TOPS-BC):  Version 4.0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9">
          <cell r="AN9">
            <v>26.2</v>
          </cell>
        </row>
        <row r="10">
          <cell r="AN10">
            <v>18.8</v>
          </cell>
        </row>
        <row r="11">
          <cell r="W11">
            <v>30.8</v>
          </cell>
        </row>
        <row r="12">
          <cell r="W12">
            <v>16.5</v>
          </cell>
          <cell r="AP12">
            <v>1</v>
          </cell>
          <cell r="AQ12">
            <v>5.0000000745057997E-2</v>
          </cell>
          <cell r="AR12">
            <v>3.4378498270370897E-8</v>
          </cell>
          <cell r="AS12">
            <v>1.4375299839386399E-9</v>
          </cell>
          <cell r="AT12">
            <v>4.3918900634320999E-12</v>
          </cell>
        </row>
        <row r="13">
          <cell r="W13">
            <v>27.9</v>
          </cell>
          <cell r="AP13"/>
          <cell r="AQ13">
            <v>0.10000000149011599</v>
          </cell>
          <cell r="AR13">
            <v>5.2400400818442005E-7</v>
          </cell>
          <cell r="AS13">
            <v>4.6320998592364002E-8</v>
          </cell>
          <cell r="AT13">
            <v>5.8198701413658599E-10</v>
          </cell>
        </row>
        <row r="14">
          <cell r="AP14"/>
          <cell r="AQ14">
            <v>0.15000000596046401</v>
          </cell>
          <cell r="AR14">
            <v>2.57854003393731E-6</v>
          </cell>
          <cell r="AS14">
            <v>3.5318001323503199E-7</v>
          </cell>
          <cell r="AT14">
            <v>1.0147400253401799E-8</v>
          </cell>
        </row>
        <row r="15">
          <cell r="W15">
            <v>30.8</v>
          </cell>
          <cell r="AP15"/>
          <cell r="AQ15">
            <v>0.20000000298023199</v>
          </cell>
          <cell r="AR15">
            <v>7.9869796536513604E-6</v>
          </cell>
          <cell r="AS15">
            <v>1.4925800542187001E-6</v>
          </cell>
          <cell r="AT15">
            <v>7.7121399044699501E-8</v>
          </cell>
        </row>
        <row r="16">
          <cell r="W16">
            <v>16.5</v>
          </cell>
          <cell r="AP16"/>
          <cell r="AQ16">
            <v>0.25</v>
          </cell>
          <cell r="AR16">
            <v>1.9197299479856102E-5</v>
          </cell>
          <cell r="AS16">
            <v>4.5651800064660998E-6</v>
          </cell>
          <cell r="AT16">
            <v>3.7186899248808898E-7</v>
          </cell>
        </row>
        <row r="17">
          <cell r="W17">
            <v>27.9</v>
          </cell>
          <cell r="AP17"/>
          <cell r="AQ17">
            <v>0.30000001192092901</v>
          </cell>
          <cell r="AR17">
            <v>3.9302598452195498E-5</v>
          </cell>
          <cell r="AS17">
            <v>1.1380399882909799E-5</v>
          </cell>
          <cell r="AT17">
            <v>1.3446799584926301E-6</v>
          </cell>
        </row>
        <row r="18">
          <cell r="AP18"/>
          <cell r="AQ18">
            <v>0.34999999403953502</v>
          </cell>
          <cell r="AR18">
            <v>7.2031500167213299E-5</v>
          </cell>
          <cell r="AS18">
            <v>2.46353993134107E-5</v>
          </cell>
          <cell r="AT18">
            <v>3.9865099097369196E-6</v>
          </cell>
        </row>
        <row r="19">
          <cell r="AP19"/>
          <cell r="AQ19">
            <v>0.40000000596046398</v>
          </cell>
          <cell r="AR19">
            <v>1.21739998576231E-4</v>
          </cell>
          <cell r="AS19">
            <v>4.8094898374984E-5</v>
          </cell>
          <cell r="AT19">
            <v>1.02195999716059E-5</v>
          </cell>
        </row>
        <row r="20">
          <cell r="W20">
            <v>12071000</v>
          </cell>
          <cell r="AP20"/>
          <cell r="AQ20">
            <v>0.44999998807907099</v>
          </cell>
          <cell r="AR20">
            <v>1.9340700237080401E-4</v>
          </cell>
          <cell r="AS20">
            <v>8.6770902271382497E-5</v>
          </cell>
          <cell r="AT20">
            <v>2.34456001635408E-5</v>
          </cell>
        </row>
        <row r="21">
          <cell r="W21">
            <v>284100</v>
          </cell>
          <cell r="AP21"/>
          <cell r="AQ21">
            <v>0.5</v>
          </cell>
          <cell r="AR21">
            <v>2.9264501063153099E-4</v>
          </cell>
          <cell r="AS21">
            <v>1.4710400137119001E-4</v>
          </cell>
          <cell r="AT21">
            <v>4.9277801736025099E-5</v>
          </cell>
        </row>
        <row r="22">
          <cell r="P22">
            <v>8.6900000000000005E-2</v>
          </cell>
          <cell r="W22">
            <v>4500</v>
          </cell>
          <cell r="AP22"/>
          <cell r="AQ22">
            <v>0.55000001192092896</v>
          </cell>
          <cell r="AR22">
            <v>4.2577399290166801E-4</v>
          </cell>
          <cell r="AS22">
            <v>2.37155007198453E-4</v>
          </cell>
          <cell r="AT22">
            <v>9.6487303380854401E-5</v>
          </cell>
        </row>
        <row r="23">
          <cell r="P23">
            <v>0.2</v>
          </cell>
          <cell r="AP23"/>
          <cell r="AQ23">
            <v>0.60000002384185702</v>
          </cell>
          <cell r="AR23">
            <v>6.0015200870111498E-4</v>
          </cell>
          <cell r="AS23">
            <v>3.6684799124486701E-4</v>
          </cell>
          <cell r="AT23">
            <v>1.7818900232668901E-4</v>
          </cell>
        </row>
        <row r="24">
          <cell r="P24">
            <v>1.67</v>
          </cell>
          <cell r="AP24"/>
          <cell r="AQ24">
            <v>0.64999997615814198</v>
          </cell>
          <cell r="AR24">
            <v>8.2539697177708095E-4</v>
          </cell>
          <cell r="AS24">
            <v>5.4846797138452497E-4</v>
          </cell>
          <cell r="AT24">
            <v>3.1330098863690999E-4</v>
          </cell>
        </row>
        <row r="25">
          <cell r="W25">
            <v>2.82</v>
          </cell>
          <cell r="AP25"/>
          <cell r="AQ25">
            <v>0.69999998807907104</v>
          </cell>
          <cell r="AR25">
            <v>1.1174599640071301E-3</v>
          </cell>
          <cell r="AS25">
            <v>7.9827697481960004E-4</v>
          </cell>
          <cell r="AT25">
            <v>5.2834302186965899E-4</v>
          </cell>
        </row>
        <row r="26">
          <cell r="AP26"/>
          <cell r="AQ26">
            <v>0.75</v>
          </cell>
          <cell r="AR26">
            <v>1.5108600491657799E-3</v>
          </cell>
          <cell r="AS26">
            <v>1.1423700489103701E-3</v>
          </cell>
          <cell r="AT26">
            <v>8.5988797945901697E-4</v>
          </cell>
        </row>
        <row r="27">
          <cell r="AP27"/>
          <cell r="AQ27">
            <v>0.80000001192092896</v>
          </cell>
          <cell r="AR27">
            <v>2.0928799640387301E-3</v>
          </cell>
          <cell r="AS27">
            <v>1.6373799880966501E-3</v>
          </cell>
          <cell r="AT27">
            <v>1.35971000418067E-3</v>
          </cell>
        </row>
        <row r="28">
          <cell r="AP28"/>
          <cell r="AQ28">
            <v>0.85000002384185702</v>
          </cell>
          <cell r="AR28">
            <v>3.09209991246461E-3</v>
          </cell>
          <cell r="AS28">
            <v>2.4384700227528802E-3</v>
          </cell>
          <cell r="AT28">
            <v>2.11483007296919E-3</v>
          </cell>
        </row>
        <row r="29">
          <cell r="AP29"/>
          <cell r="AQ29">
            <v>0.89999997615814198</v>
          </cell>
          <cell r="AR29">
            <v>5.0949798896908699E-3</v>
          </cell>
          <cell r="AS29">
            <v>4.0077199228107903E-3</v>
          </cell>
          <cell r="AT29">
            <v>3.3482699654996399E-3</v>
          </cell>
        </row>
        <row r="30">
          <cell r="AP30"/>
          <cell r="AQ30">
            <v>0.94999998807907104</v>
          </cell>
          <cell r="AR30">
            <v>9.5471199601888605E-3</v>
          </cell>
          <cell r="AS30">
            <v>7.7119697816669898E-3</v>
          </cell>
          <cell r="AT30">
            <v>5.9221801348030498E-3</v>
          </cell>
        </row>
        <row r="31">
          <cell r="AP31"/>
          <cell r="AQ31">
            <v>1</v>
          </cell>
          <cell r="AR31">
            <v>1.9859999418258601E-2</v>
          </cell>
          <cell r="AS31">
            <v>1.7440000548958699E-2</v>
          </cell>
          <cell r="AT31">
            <v>1.36799998581409E-2</v>
          </cell>
        </row>
        <row r="32">
          <cell r="AP32">
            <v>2</v>
          </cell>
          <cell r="AQ32">
            <v>0.10000000149011599</v>
          </cell>
          <cell r="AR32">
            <v>3.5302299750128401E-8</v>
          </cell>
          <cell r="AS32">
            <v>1.49765000401203E-9</v>
          </cell>
          <cell r="AT32">
            <v>4.7395498983804303E-12</v>
          </cell>
        </row>
        <row r="33">
          <cell r="AP33"/>
          <cell r="AQ33">
            <v>0.20000000298023199</v>
          </cell>
          <cell r="AR33">
            <v>5.3808400934940405E-7</v>
          </cell>
          <cell r="AS33">
            <v>4.82582009908583E-8</v>
          </cell>
          <cell r="AT33">
            <v>6.2805699529988601E-10</v>
          </cell>
        </row>
        <row r="34">
          <cell r="AP34"/>
          <cell r="AQ34">
            <v>0.30000001192092901</v>
          </cell>
          <cell r="AR34">
            <v>2.6478201107238398E-6</v>
          </cell>
          <cell r="AS34">
            <v>3.6794901348002901E-7</v>
          </cell>
          <cell r="AT34">
            <v>1.09506999024233E-8</v>
          </cell>
        </row>
        <row r="35">
          <cell r="AP35"/>
          <cell r="AQ35">
            <v>0.40000000596046398</v>
          </cell>
          <cell r="AR35">
            <v>8.2015903899446096E-6</v>
          </cell>
          <cell r="AS35">
            <v>1.5550000398434301E-6</v>
          </cell>
          <cell r="AT35">
            <v>8.3226197489238905E-8</v>
          </cell>
        </row>
        <row r="36">
          <cell r="AP36"/>
          <cell r="AQ36">
            <v>0.5</v>
          </cell>
          <cell r="AR36">
            <v>1.9713099391083199E-5</v>
          </cell>
          <cell r="AS36">
            <v>4.7560902203258499E-6</v>
          </cell>
          <cell r="AT36">
            <v>4.0130601064447499E-7</v>
          </cell>
        </row>
        <row r="37">
          <cell r="AP37"/>
          <cell r="AQ37">
            <v>0.60000002384185702</v>
          </cell>
          <cell r="AR37">
            <v>4.0358700061915402E-5</v>
          </cell>
          <cell r="AS37">
            <v>1.18563002615701E-5</v>
          </cell>
          <cell r="AT37">
            <v>1.4511200561173601E-6</v>
          </cell>
        </row>
        <row r="38">
          <cell r="AP38"/>
          <cell r="AQ38">
            <v>0.69999998807907104</v>
          </cell>
          <cell r="AR38">
            <v>7.3966999480035102E-5</v>
          </cell>
          <cell r="AS38">
            <v>2.5665600333013501E-5</v>
          </cell>
          <cell r="AT38">
            <v>4.3020800148951804E-6</v>
          </cell>
        </row>
        <row r="39">
          <cell r="AP39"/>
          <cell r="AQ39">
            <v>0.80000001192092896</v>
          </cell>
          <cell r="AR39">
            <v>1.25011007185094E-4</v>
          </cell>
          <cell r="AS39">
            <v>5.0106198614230298E-5</v>
          </cell>
          <cell r="AT39">
            <v>1.10286000563064E-5</v>
          </cell>
        </row>
        <row r="40">
          <cell r="AP40"/>
          <cell r="AQ40">
            <v>0.89999997615814198</v>
          </cell>
          <cell r="AR40">
            <v>1.9860599422827301E-4</v>
          </cell>
          <cell r="AS40">
            <v>9.0399902546778294E-5</v>
          </cell>
          <cell r="AT40">
            <v>2.5301500500063398E-5</v>
          </cell>
        </row>
        <row r="41">
          <cell r="AP41"/>
          <cell r="AQ41">
            <v>1</v>
          </cell>
          <cell r="AR41">
            <v>3.0052699730731498E-4</v>
          </cell>
          <cell r="AS41">
            <v>1.53258006321266E-4</v>
          </cell>
          <cell r="AT41">
            <v>5.3178700909484103E-5</v>
          </cell>
        </row>
        <row r="42">
          <cell r="AP42"/>
          <cell r="AQ42">
            <v>1.1000000238418499</v>
          </cell>
          <cell r="AR42">
            <v>4.3732600170187598E-4</v>
          </cell>
          <cell r="AS42">
            <v>2.4708898854441897E-4</v>
          </cell>
          <cell r="AT42">
            <v>1.0412499977974199E-4</v>
          </cell>
        </row>
        <row r="43">
          <cell r="AP43"/>
          <cell r="AQ43">
            <v>1.20000004768371</v>
          </cell>
          <cell r="AR43">
            <v>6.16846024058759E-4</v>
          </cell>
          <cell r="AS43">
            <v>3.8229700294323201E-4</v>
          </cell>
          <cell r="AT43">
            <v>1.9229500321671299E-4</v>
          </cell>
        </row>
        <row r="44">
          <cell r="AP44"/>
          <cell r="AQ44">
            <v>1.29999995231628</v>
          </cell>
          <cell r="AR44">
            <v>8.5011200280860001E-4</v>
          </cell>
          <cell r="AS44">
            <v>5.7204801123589201E-4</v>
          </cell>
          <cell r="AT44">
            <v>3.3811401226557699E-4</v>
          </cell>
        </row>
        <row r="45">
          <cell r="AP45"/>
          <cell r="AQ45">
            <v>1.3999999761581401</v>
          </cell>
          <cell r="AR45">
            <v>1.1576199904084199E-3</v>
          </cell>
          <cell r="AS45">
            <v>8.3501602057367498E-4</v>
          </cell>
          <cell r="AT45">
            <v>5.7029601885005799E-4</v>
          </cell>
        </row>
        <row r="46">
          <cell r="AP46"/>
          <cell r="AQ46">
            <v>1.5</v>
          </cell>
          <cell r="AR46">
            <v>1.5882999869063501E-3</v>
          </cell>
          <cell r="AS46">
            <v>1.2057799613103199E-3</v>
          </cell>
          <cell r="AT46">
            <v>9.2915201094001499E-4</v>
          </cell>
        </row>
        <row r="47">
          <cell r="AP47"/>
          <cell r="AQ47">
            <v>1.6000000238418499</v>
          </cell>
          <cell r="AR47">
            <v>2.2722599096596202E-3</v>
          </cell>
          <cell r="AS47">
            <v>1.77176995202899E-3</v>
          </cell>
          <cell r="AT47">
            <v>1.4768800465389999E-3</v>
          </cell>
        </row>
        <row r="48">
          <cell r="AP48"/>
          <cell r="AQ48">
            <v>1.70000004768371</v>
          </cell>
          <cell r="AR48">
            <v>3.5578000824898399E-3</v>
          </cell>
          <cell r="AS48">
            <v>2.7951800730079399E-3</v>
          </cell>
          <cell r="AT48">
            <v>2.3492099717259398E-3</v>
          </cell>
        </row>
        <row r="49">
          <cell r="AP49"/>
          <cell r="AQ49">
            <v>1.79999995231628</v>
          </cell>
          <cell r="AR49">
            <v>6.3460902310907797E-3</v>
          </cell>
          <cell r="AS49">
            <v>5.0866100937127998E-3</v>
          </cell>
          <cell r="AT49">
            <v>4.0342002175748296E-3</v>
          </cell>
        </row>
        <row r="50">
          <cell r="AP50"/>
          <cell r="AQ50">
            <v>1.8999999761581401</v>
          </cell>
          <cell r="AR50">
            <v>1.2865999713539999E-2</v>
          </cell>
          <cell r="AS50">
            <v>1.10772997140884E-2</v>
          </cell>
          <cell r="AT50">
            <v>8.7860198691487295E-3</v>
          </cell>
        </row>
        <row r="51">
          <cell r="AP51"/>
          <cell r="AQ51">
            <v>2</v>
          </cell>
          <cell r="AR51">
            <v>1.9859999418258601E-2</v>
          </cell>
          <cell r="AS51">
            <v>1.7440000548958699E-2</v>
          </cell>
          <cell r="AT51">
            <v>1.36799998581409E-2</v>
          </cell>
        </row>
        <row r="52">
          <cell r="AP52">
            <v>3</v>
          </cell>
          <cell r="AQ52">
            <v>0.15000000596046401</v>
          </cell>
          <cell r="AR52">
            <v>3.7135500008389499E-8</v>
          </cell>
          <cell r="AS52">
            <v>1.61786994912205E-9</v>
          </cell>
          <cell r="AT52">
            <v>5.4500202094354101E-12</v>
          </cell>
        </row>
        <row r="53">
          <cell r="AP53"/>
          <cell r="AQ53">
            <v>0.30000001192092901</v>
          </cell>
          <cell r="AR53">
            <v>5.6602698350616202E-7</v>
          </cell>
          <cell r="AS53">
            <v>5.2131998273807701E-8</v>
          </cell>
          <cell r="AT53">
            <v>7.2220401881040103E-10</v>
          </cell>
        </row>
        <row r="54">
          <cell r="AP54"/>
          <cell r="AQ54">
            <v>0.44999998807907099</v>
          </cell>
          <cell r="AR54">
            <v>2.7853300252900201E-6</v>
          </cell>
          <cell r="AS54">
            <v>3.9748599078848201E-7</v>
          </cell>
          <cell r="AT54">
            <v>1.25922001714684E-8</v>
          </cell>
        </row>
        <row r="55">
          <cell r="AP55"/>
          <cell r="AQ55">
            <v>0.60000002384185702</v>
          </cell>
          <cell r="AR55">
            <v>8.6275103967636807E-6</v>
          </cell>
          <cell r="AS55">
            <v>1.6798300066511699E-6</v>
          </cell>
          <cell r="AT55">
            <v>9.5701999214270406E-8</v>
          </cell>
        </row>
        <row r="56">
          <cell r="AP56"/>
          <cell r="AQ56">
            <v>0.75</v>
          </cell>
          <cell r="AR56">
            <v>2.07367993425577E-5</v>
          </cell>
          <cell r="AS56">
            <v>5.1378801799728501E-6</v>
          </cell>
          <cell r="AT56">
            <v>4.6146300292093598E-7</v>
          </cell>
        </row>
        <row r="57">
          <cell r="AP57"/>
          <cell r="AQ57">
            <v>0.89999997615814198</v>
          </cell>
          <cell r="AR57">
            <v>4.24544996349141E-5</v>
          </cell>
          <cell r="AS57">
            <v>1.2808000064978799E-5</v>
          </cell>
          <cell r="AT57">
            <v>1.6686500430296201E-6</v>
          </cell>
        </row>
        <row r="58">
          <cell r="AP58"/>
          <cell r="AQ58">
            <v>1.04999995231628</v>
          </cell>
          <cell r="AR58">
            <v>7.7808203059248599E-5</v>
          </cell>
          <cell r="AS58">
            <v>2.7725900508812602E-5</v>
          </cell>
          <cell r="AT58">
            <v>4.9469699661131E-6</v>
          </cell>
        </row>
        <row r="59">
          <cell r="AP59"/>
          <cell r="AQ59">
            <v>1.20000004768371</v>
          </cell>
          <cell r="AR59">
            <v>1.3150399900041499E-4</v>
          </cell>
          <cell r="AS59">
            <v>5.4128398915054202E-5</v>
          </cell>
          <cell r="AT59">
            <v>1.26819004435674E-5</v>
          </cell>
        </row>
        <row r="60">
          <cell r="AP60"/>
          <cell r="AQ60">
            <v>1.3500000238418499</v>
          </cell>
          <cell r="AR60">
            <v>2.08926998311653E-4</v>
          </cell>
          <cell r="AS60">
            <v>9.7657102742232301E-5</v>
          </cell>
          <cell r="AT60">
            <v>2.90943007712485E-5</v>
          </cell>
        </row>
        <row r="61">
          <cell r="AP61"/>
          <cell r="AQ61">
            <v>1.5</v>
          </cell>
          <cell r="AR61">
            <v>3.1618401408195501E-4</v>
          </cell>
          <cell r="AS61">
            <v>1.6556600166950299E-4</v>
          </cell>
          <cell r="AT61">
            <v>6.1150298279244399E-5</v>
          </cell>
        </row>
        <row r="62">
          <cell r="AP62"/>
          <cell r="AQ62">
            <v>1.6499999761581401</v>
          </cell>
          <cell r="AR62">
            <v>4.6033700346015302E-4</v>
          </cell>
          <cell r="AS62">
            <v>2.6697100838646201E-4</v>
          </cell>
          <cell r="AT62">
            <v>1.19734002510085E-4</v>
          </cell>
        </row>
        <row r="63">
          <cell r="AP63"/>
          <cell r="AQ63">
            <v>1.79999995231628</v>
          </cell>
          <cell r="AR63">
            <v>6.5040698973461996E-4</v>
          </cell>
          <cell r="AS63">
            <v>4.1331499232910498E-4</v>
          </cell>
          <cell r="AT63">
            <v>2.2112499573267999E-4</v>
          </cell>
        </row>
        <row r="64">
          <cell r="AP64"/>
          <cell r="AQ64">
            <v>1.95000004768371</v>
          </cell>
          <cell r="AR64">
            <v>9.0108200674876495E-4</v>
          </cell>
          <cell r="AS64">
            <v>6.1993201961740797E-4</v>
          </cell>
          <cell r="AT64">
            <v>3.8885298999957702E-4</v>
          </cell>
        </row>
        <row r="65">
          <cell r="AP65"/>
          <cell r="AQ65">
            <v>2.0999999046325599</v>
          </cell>
          <cell r="AR65">
            <v>1.2450199574232099E-3</v>
          </cell>
          <cell r="AS65">
            <v>9.12301009520888E-4</v>
          </cell>
          <cell r="AT65">
            <v>6.5638602245598999E-4</v>
          </cell>
        </row>
        <row r="66">
          <cell r="AP66"/>
          <cell r="AQ66">
            <v>2.25</v>
          </cell>
          <cell r="AR66">
            <v>1.7698999727144801E-3</v>
          </cell>
          <cell r="AS66">
            <v>1.35033996775746E-3</v>
          </cell>
          <cell r="AT66">
            <v>1.0739599820226401E-3</v>
          </cell>
        </row>
        <row r="67">
          <cell r="AP67"/>
          <cell r="AQ67">
            <v>2.4000000953674299</v>
          </cell>
          <cell r="AR67">
            <v>2.7216400485485701E-3</v>
          </cell>
          <cell r="AS67">
            <v>2.1154501009732398E-3</v>
          </cell>
          <cell r="AT67">
            <v>1.74234004225581E-3</v>
          </cell>
        </row>
        <row r="68">
          <cell r="AP68"/>
          <cell r="AQ68">
            <v>2.5499999523162802</v>
          </cell>
          <cell r="AR68">
            <v>4.77219000458717E-3</v>
          </cell>
          <cell r="AS68">
            <v>3.7981700152158698E-3</v>
          </cell>
          <cell r="AT68">
            <v>3.0110799707472298E-3</v>
          </cell>
        </row>
        <row r="69">
          <cell r="AP69"/>
          <cell r="AQ69">
            <v>2.70000004768371</v>
          </cell>
          <cell r="AR69">
            <v>9.67399962246418E-3</v>
          </cell>
          <cell r="AS69">
            <v>8.2803200930356893E-3</v>
          </cell>
          <cell r="AT69">
            <v>6.5856399014592101E-3</v>
          </cell>
        </row>
        <row r="70">
          <cell r="AP70"/>
          <cell r="AQ70">
            <v>2.8499999046325599</v>
          </cell>
          <cell r="AR70">
            <v>1.48590002208948E-2</v>
          </cell>
          <cell r="AS70">
            <v>1.29658998921513E-2</v>
          </cell>
          <cell r="AT70">
            <v>1.02306995540857E-2</v>
          </cell>
        </row>
        <row r="71">
          <cell r="AP71"/>
          <cell r="AQ71">
            <v>3</v>
          </cell>
          <cell r="AR71">
            <v>1.9859999418258601E-2</v>
          </cell>
          <cell r="AS71">
            <v>1.7440000548958699E-2</v>
          </cell>
          <cell r="AT71">
            <v>1.36799998581409E-2</v>
          </cell>
        </row>
        <row r="72">
          <cell r="AP72">
            <v>4</v>
          </cell>
          <cell r="AQ72">
            <v>0.20000000298023199</v>
          </cell>
          <cell r="AR72">
            <v>4.2178299963779798E-8</v>
          </cell>
          <cell r="AS72">
            <v>1.9484500679567402E-9</v>
          </cell>
          <cell r="AT72">
            <v>7.4387102380612999E-12</v>
          </cell>
        </row>
        <row r="73">
          <cell r="AP73"/>
          <cell r="AQ73">
            <v>0.40000000596046398</v>
          </cell>
          <cell r="AR73">
            <v>6.4289099555025999E-7</v>
          </cell>
          <cell r="AS73">
            <v>6.2783897192275604E-8</v>
          </cell>
          <cell r="AT73">
            <v>9.8573305074012296E-10</v>
          </cell>
        </row>
        <row r="74">
          <cell r="AP74"/>
          <cell r="AQ74">
            <v>0.60000002384185702</v>
          </cell>
          <cell r="AR74">
            <v>3.1635599953006001E-6</v>
          </cell>
          <cell r="AS74">
            <v>4.7870298658381195E-7</v>
          </cell>
          <cell r="AT74">
            <v>1.7187099743409801E-8</v>
          </cell>
        </row>
        <row r="75">
          <cell r="AP75"/>
          <cell r="AQ75">
            <v>0.80000001192092896</v>
          </cell>
          <cell r="AR75">
            <v>9.7990696303895607E-6</v>
          </cell>
          <cell r="AS75">
            <v>2.02306000574026E-6</v>
          </cell>
          <cell r="AT75">
            <v>1.3062299331068E-7</v>
          </cell>
        </row>
        <row r="76">
          <cell r="AP76"/>
          <cell r="AQ76">
            <v>1</v>
          </cell>
          <cell r="AR76">
            <v>2.3552700440632101E-5</v>
          </cell>
          <cell r="AS76">
            <v>6.1876799009041801E-6</v>
          </cell>
          <cell r="AT76">
            <v>6.2984901205709299E-7</v>
          </cell>
        </row>
        <row r="77">
          <cell r="AP77"/>
          <cell r="AQ77">
            <v>1.20000004768371</v>
          </cell>
          <cell r="AR77">
            <v>4.8219601012533497E-5</v>
          </cell>
          <cell r="AS77">
            <v>1.5424999219248999E-5</v>
          </cell>
          <cell r="AT77">
            <v>2.27753002945974E-6</v>
          </cell>
        </row>
        <row r="78">
          <cell r="AP78"/>
          <cell r="AQ78">
            <v>1.3999999761581401</v>
          </cell>
          <cell r="AR78">
            <v>8.8374399638269097E-5</v>
          </cell>
          <cell r="AS78">
            <v>3.3390999305993298E-5</v>
          </cell>
          <cell r="AT78">
            <v>6.7521000346459897E-6</v>
          </cell>
        </row>
        <row r="79">
          <cell r="AP79"/>
          <cell r="AQ79">
            <v>1.6000000238418499</v>
          </cell>
          <cell r="AR79">
            <v>1.4936500519979699E-4</v>
          </cell>
          <cell r="AS79">
            <v>6.5188498410861899E-5</v>
          </cell>
          <cell r="AT79">
            <v>1.73093994817463E-5</v>
          </cell>
        </row>
        <row r="80">
          <cell r="AP80"/>
          <cell r="AQ80">
            <v>1.79999995231628</v>
          </cell>
          <cell r="AR80">
            <v>2.3732800036668699E-4</v>
          </cell>
          <cell r="AS80">
            <v>1.17613999464083E-4</v>
          </cell>
          <cell r="AT80">
            <v>3.9710699638817398E-5</v>
          </cell>
        </row>
        <row r="81">
          <cell r="AP81"/>
          <cell r="AQ81">
            <v>2</v>
          </cell>
          <cell r="AR81">
            <v>3.5933399340137801E-4</v>
          </cell>
          <cell r="AS81">
            <v>1.99425005121156E-4</v>
          </cell>
          <cell r="AT81">
            <v>8.3463899500202306E-5</v>
          </cell>
        </row>
        <row r="82">
          <cell r="AP82"/>
          <cell r="AQ82">
            <v>2.20000004768371</v>
          </cell>
          <cell r="AR82">
            <v>5.2412197692319697E-4</v>
          </cell>
          <cell r="AS82">
            <v>3.2176499371416802E-4</v>
          </cell>
          <cell r="AT82">
            <v>1.6342700109817001E-4</v>
          </cell>
        </row>
        <row r="83">
          <cell r="AP83"/>
          <cell r="AQ83">
            <v>2.4000000953674299</v>
          </cell>
          <cell r="AR83">
            <v>7.4521201895549796E-4</v>
          </cell>
          <cell r="AS83">
            <v>4.9947202205657905E-4</v>
          </cell>
          <cell r="AT83">
            <v>3.0185299692675401E-4</v>
          </cell>
        </row>
        <row r="84">
          <cell r="AP84"/>
          <cell r="AQ84">
            <v>2.5999999046325599</v>
          </cell>
          <cell r="AR84">
            <v>1.05240999255329E-3</v>
          </cell>
          <cell r="AS84">
            <v>7.5676699634641398E-4</v>
          </cell>
          <cell r="AT84">
            <v>5.3127302089705998E-4</v>
          </cell>
        </row>
        <row r="85">
          <cell r="AP85"/>
          <cell r="AQ85">
            <v>2.7999999523162802</v>
          </cell>
          <cell r="AR85">
            <v>1.5298799844458699E-3</v>
          </cell>
          <cell r="AS85">
            <v>1.15178001578897E-3</v>
          </cell>
          <cell r="AT85">
            <v>9.0162898413836902E-4</v>
          </cell>
        </row>
        <row r="86">
          <cell r="AP86"/>
          <cell r="AQ86">
            <v>3</v>
          </cell>
          <cell r="AR86">
            <v>2.4309901054948499E-3</v>
          </cell>
          <cell r="AS86">
            <v>1.8734500044956799E-3</v>
          </cell>
          <cell r="AT86">
            <v>1.5185499796643799E-3</v>
          </cell>
        </row>
        <row r="87">
          <cell r="AQ87">
            <v>3.20000004768371</v>
          </cell>
          <cell r="AR87">
            <v>4.4977799989282998E-3</v>
          </cell>
          <cell r="AS87">
            <v>3.5902499221265299E-3</v>
          </cell>
          <cell r="AT87">
            <v>2.7980499435216102E-3</v>
          </cell>
        </row>
        <row r="88">
          <cell r="AQ88">
            <v>3.4000000953674299</v>
          </cell>
          <cell r="AR88">
            <v>8.5121197625994596E-3</v>
          </cell>
          <cell r="AS88">
            <v>7.2244601324200604E-3</v>
          </cell>
          <cell r="AT88">
            <v>5.6865899823605997E-3</v>
          </cell>
        </row>
        <row r="89">
          <cell r="AQ89">
            <v>3.5999999046325599</v>
          </cell>
          <cell r="AR89">
            <v>1.2545799836516301E-2</v>
          </cell>
          <cell r="AS89">
            <v>1.0862999595701601E-2</v>
          </cell>
          <cell r="AT89">
            <v>8.5518900305032695E-3</v>
          </cell>
        </row>
        <row r="90">
          <cell r="AQ90">
            <v>3.7999999523162802</v>
          </cell>
          <cell r="AR90">
            <v>1.6119599342346101E-2</v>
          </cell>
          <cell r="AS90">
            <v>1.41131002455949E-2</v>
          </cell>
          <cell r="AT90">
            <v>1.10863000154495E-2</v>
          </cell>
        </row>
        <row r="91">
          <cell r="AQ91">
            <v>4</v>
          </cell>
          <cell r="AR91">
            <v>1.9859999418258601E-2</v>
          </cell>
          <cell r="AS91">
            <v>1.7440000548958699E-2</v>
          </cell>
          <cell r="AT91">
            <v>1.36799998581409E-2</v>
          </cell>
        </row>
      </sheetData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F - Maintenance Costs"/>
      <sheetName val="G - Safety"/>
      <sheetName val="H - Travel Time"/>
      <sheetName val="I - Vehicle Operating Costs"/>
      <sheetName val="J - Environmental"/>
      <sheetName val="L - Loss of Services"/>
      <sheetName val="K - Flood Resiliency"/>
      <sheetName val="M - Bicycle"/>
      <sheetName val="Economic Output"/>
      <sheetName val="Emission 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A - Project Matrix"/>
      <sheetName val="B -Detailed Annual Model"/>
      <sheetName val="E - General Inputs"/>
      <sheetName val="F - Project Costs"/>
      <sheetName val="G - Residual Value"/>
      <sheetName val="H - Maintenance &amp; SOGR"/>
      <sheetName val="I - Safety"/>
      <sheetName val="J - GHG"/>
      <sheetName val="H - Maintenance and Repair Cost"/>
      <sheetName val="I - Safety Assumptions"/>
      <sheetName val="J - Environmental"/>
      <sheetName val="K - Urban Tree Canopy"/>
      <sheetName val="L - Travel Time"/>
      <sheetName val="L- Delay"/>
      <sheetName val="M - Pedestrian &amp; Bicyle"/>
      <sheetName val="N - Open Space"/>
      <sheetName val=" O - Existing Property Value"/>
      <sheetName val="P - Noise Cost Savings"/>
      <sheetName val="Q - Operating Cost Savings"/>
      <sheetName val="R- Economic Out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ransportation.gov/sites/dot.gov/files/2022-03/Benefit%20Cost%20Analysis%20Guidance%202022%20%28Revised%29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mfclearinghouse.org/detail.cfm?facid=4870" TargetMode="External"/><Relationship Id="rId2" Type="http://schemas.openxmlformats.org/officeDocument/2006/relationships/hyperlink" Target="https://www.transportation.gov/sites/dot.gov/files/2022-03/Benefit%20Cost%20Analysis%20Guidance%202022%20%28Revised%29.pdf" TargetMode="External"/><Relationship Id="rId1" Type="http://schemas.openxmlformats.org/officeDocument/2006/relationships/hyperlink" Target="https://www.cmfclearinghouse.org/" TargetMode="External"/><Relationship Id="rId5" Type="http://schemas.openxmlformats.org/officeDocument/2006/relationships/printerSettings" Target="../printerSettings/printerSettings7.bin"/><Relationship Id="rId4" Type="http://schemas.openxmlformats.org/officeDocument/2006/relationships/hyperlink" Target="https://www.cmfclearinghouse.org/detail.cfm?facid=8474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loes.ca.gov/RecoverySite/Documents/Benefit%20Cost%20Sustainment.pdf" TargetMode="External"/><Relationship Id="rId3" Type="http://schemas.openxmlformats.org/officeDocument/2006/relationships/hyperlink" Target="https://www.census.gov/quickfacts/fact/table/jacksonvillecityflorida,US/PST045221" TargetMode="External"/><Relationship Id="rId7" Type="http://schemas.openxmlformats.org/officeDocument/2006/relationships/hyperlink" Target="https://www.caloes.ca.gov/RecoverySite/Documents/Benefit%20Cost%20Sustainment.pdf" TargetMode="External"/><Relationship Id="rId12" Type="http://schemas.openxmlformats.org/officeDocument/2006/relationships/printerSettings" Target="../printerSettings/printerSettings11.bin"/><Relationship Id="rId2" Type="http://schemas.openxmlformats.org/officeDocument/2006/relationships/hyperlink" Target="https://www.census.gov/quickfacts/fact/table/jacksonvillecityflorida,US/PST045221" TargetMode="External"/><Relationship Id="rId1" Type="http://schemas.openxmlformats.org/officeDocument/2006/relationships/hyperlink" Target="https://www.caloes.ca.gov/RecoverySite/Documents/Benefit%20Cost%20Sustainment.pdf" TargetMode="External"/><Relationship Id="rId6" Type="http://schemas.openxmlformats.org/officeDocument/2006/relationships/hyperlink" Target="https://www.caloes.ca.gov/RecoverySite/Documents/Benefit%20Cost%20Sustainment.pdf" TargetMode="External"/><Relationship Id="rId11" Type="http://schemas.openxmlformats.org/officeDocument/2006/relationships/hyperlink" Target="https://www.census.gov/quickfacts/fact/table/jacksonvillecityflorida,US/PST045221" TargetMode="External"/><Relationship Id="rId5" Type="http://schemas.openxmlformats.org/officeDocument/2006/relationships/hyperlink" Target="https://www.caloes.ca.gov/RecoverySite/Documents/Benefit%20Cost%20Sustainment.pdf" TargetMode="External"/><Relationship Id="rId10" Type="http://schemas.openxmlformats.org/officeDocument/2006/relationships/hyperlink" Target="https://www.census.gov/quickfacts/fact/table/jacksonvillecityflorida,US/PST045221" TargetMode="External"/><Relationship Id="rId4" Type="http://schemas.openxmlformats.org/officeDocument/2006/relationships/hyperlink" Target="https://www.caloes.ca.gov/RecoverySite/Documents/Benefit%20Cost%20Sustainment.pdf" TargetMode="External"/><Relationship Id="rId9" Type="http://schemas.openxmlformats.org/officeDocument/2006/relationships/hyperlink" Target="https://www.caloes.ca.gov/RecoverySite/Documents/Benefit%20Cost%20Sustainment.pdf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687DE-1C04-497C-8D0C-6B8CCAF80A1A}">
  <sheetPr codeName="Sheet1">
    <tabColor theme="6" tint="0.39997558519241921"/>
  </sheetPr>
  <dimension ref="A1:AN139"/>
  <sheetViews>
    <sheetView workbookViewId="0">
      <selection activeCell="G73" sqref="G73"/>
    </sheetView>
  </sheetViews>
  <sheetFormatPr defaultColWidth="8.7109375" defaultRowHeight="15" outlineLevelRow="1" x14ac:dyDescent="0.25"/>
  <cols>
    <col min="1" max="1" width="2.42578125" style="16" customWidth="1"/>
    <col min="2" max="2" width="64.85546875" style="10" customWidth="1"/>
    <col min="3" max="3" width="20.28515625" style="1" customWidth="1"/>
    <col min="4" max="4" width="33.28515625" style="1" customWidth="1"/>
    <col min="5" max="5" width="18.42578125" style="1" customWidth="1"/>
    <col min="6" max="12" width="15" style="1" customWidth="1"/>
    <col min="13" max="13" width="4.7109375" style="1" customWidth="1"/>
    <col min="14" max="14" width="31.85546875" customWidth="1"/>
    <col min="15" max="15" width="31.42578125" customWidth="1"/>
    <col min="16" max="17" width="24.85546875" customWidth="1"/>
    <col min="18" max="18" width="12.42578125" customWidth="1"/>
    <col min="19" max="19" width="13.28515625" customWidth="1"/>
    <col min="20" max="20" width="13.5703125" customWidth="1"/>
    <col min="21" max="22" width="13.42578125" customWidth="1"/>
    <col min="23" max="23" width="22.28515625" customWidth="1"/>
    <col min="24" max="24" width="10.5703125" customWidth="1"/>
    <col min="25" max="25" width="15" customWidth="1"/>
    <col min="26" max="26" width="21.7109375" customWidth="1"/>
    <col min="27" max="27" width="10.7109375" customWidth="1"/>
    <col min="28" max="28" width="11.7109375" customWidth="1"/>
    <col min="29" max="29" width="10.5703125" customWidth="1"/>
    <col min="30" max="30" width="10.7109375" customWidth="1"/>
    <col min="31" max="31" width="11.7109375" customWidth="1"/>
    <col min="32" max="32" width="8.7109375" customWidth="1"/>
    <col min="33" max="33" width="8.7109375" hidden="1" customWidth="1"/>
    <col min="34" max="34" width="13.5703125" hidden="1" customWidth="1"/>
    <col min="35" max="35" width="13.140625" hidden="1" customWidth="1"/>
    <col min="36" max="36" width="11.42578125" hidden="1" customWidth="1"/>
    <col min="37" max="37" width="0" hidden="1" customWidth="1"/>
    <col min="38" max="38" width="10.28515625" hidden="1" customWidth="1"/>
    <col min="39" max="40" width="11.42578125" hidden="1" customWidth="1"/>
    <col min="42" max="42" width="10" customWidth="1"/>
    <col min="43" max="43" width="10.5703125" customWidth="1"/>
  </cols>
  <sheetData>
    <row r="1" spans="1:13" x14ac:dyDescent="0.2">
      <c r="A1" s="124" t="s">
        <v>0</v>
      </c>
      <c r="B1" s="125"/>
      <c r="C1" s="126"/>
      <c r="D1" s="126"/>
      <c r="E1" s="126"/>
      <c r="F1" s="126"/>
      <c r="G1" s="126"/>
      <c r="H1" s="126"/>
      <c r="I1" s="126"/>
      <c r="J1" s="120"/>
      <c r="K1" s="120"/>
      <c r="L1" s="120"/>
      <c r="M1" s="120"/>
    </row>
    <row r="2" spans="1:13" ht="24.6" customHeight="1" x14ac:dyDescent="0.2">
      <c r="A2" s="122"/>
      <c r="B2" s="141" t="s">
        <v>1</v>
      </c>
      <c r="C2" s="142" t="s">
        <v>340</v>
      </c>
      <c r="D2" s="120"/>
      <c r="E2" s="120"/>
      <c r="F2" s="120"/>
      <c r="G2" s="120"/>
      <c r="H2" s="120"/>
      <c r="I2" s="120"/>
      <c r="J2" s="120"/>
      <c r="K2" s="120"/>
      <c r="L2" s="120"/>
      <c r="M2" s="120"/>
    </row>
    <row r="3" spans="1:13" ht="24.6" customHeight="1" x14ac:dyDescent="0.2">
      <c r="A3" s="122"/>
      <c r="B3" s="123" t="s">
        <v>2</v>
      </c>
      <c r="C3" s="120" t="s">
        <v>3</v>
      </c>
      <c r="D3" s="120"/>
      <c r="E3" s="120"/>
      <c r="F3" s="120"/>
      <c r="G3" s="120"/>
      <c r="H3" s="120"/>
      <c r="I3" s="120"/>
      <c r="J3" s="120"/>
      <c r="K3" s="120"/>
      <c r="L3" s="120"/>
      <c r="M3" s="120"/>
    </row>
    <row r="4" spans="1:13" x14ac:dyDescent="0.2">
      <c r="A4" s="122"/>
      <c r="B4" s="127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</row>
    <row r="5" spans="1:13" x14ac:dyDescent="0.2">
      <c r="A5" s="124" t="s">
        <v>4</v>
      </c>
      <c r="B5" s="125"/>
      <c r="C5" s="126"/>
      <c r="D5" s="129" t="s">
        <v>5</v>
      </c>
      <c r="E5" s="126"/>
      <c r="F5" s="126"/>
      <c r="G5" s="126"/>
      <c r="H5" s="126"/>
      <c r="I5" s="126"/>
      <c r="J5" s="120"/>
      <c r="K5" s="120"/>
      <c r="L5" s="120"/>
      <c r="M5" s="120"/>
    </row>
    <row r="6" spans="1:13" x14ac:dyDescent="0.2">
      <c r="A6" s="122"/>
      <c r="B6" s="123" t="s">
        <v>6</v>
      </c>
      <c r="C6" s="130">
        <v>2020</v>
      </c>
      <c r="D6" s="120" t="str">
        <f>C20</f>
        <v>USDOT Benefit-Cost Analysis Guidance for Discretionary Grant Programs 2022</v>
      </c>
      <c r="E6" s="120"/>
      <c r="F6" s="120"/>
      <c r="G6" s="120"/>
      <c r="H6" s="120"/>
      <c r="I6" s="120"/>
      <c r="J6" s="120"/>
      <c r="K6" s="120"/>
      <c r="L6" s="120"/>
      <c r="M6" s="120"/>
    </row>
    <row r="7" spans="1:13" x14ac:dyDescent="0.2">
      <c r="A7" s="122"/>
      <c r="B7" s="123" t="s">
        <v>7</v>
      </c>
      <c r="C7" s="130">
        <v>2022</v>
      </c>
      <c r="D7" s="120"/>
      <c r="E7" s="120"/>
      <c r="F7" s="120"/>
      <c r="G7" s="120"/>
      <c r="H7" s="120"/>
      <c r="I7" s="120"/>
      <c r="J7" s="120"/>
      <c r="K7" s="120"/>
      <c r="L7" s="120"/>
      <c r="M7" s="120"/>
    </row>
    <row r="8" spans="1:13" x14ac:dyDescent="0.2">
      <c r="A8" s="122"/>
      <c r="B8" s="123" t="s">
        <v>8</v>
      </c>
      <c r="C8" s="657">
        <v>2024</v>
      </c>
      <c r="D8" s="120"/>
      <c r="E8" s="120"/>
      <c r="F8" s="120"/>
      <c r="G8" s="120"/>
      <c r="H8" s="120"/>
      <c r="I8" s="120"/>
      <c r="J8" s="120"/>
      <c r="K8" s="120"/>
      <c r="L8" s="103"/>
      <c r="M8" s="93"/>
    </row>
    <row r="9" spans="1:13" ht="18.75" customHeight="1" x14ac:dyDescent="0.2">
      <c r="A9" s="122"/>
      <c r="B9" s="123" t="s">
        <v>9</v>
      </c>
      <c r="C9" s="130">
        <v>2</v>
      </c>
      <c r="D9" s="120"/>
      <c r="E9" s="120"/>
      <c r="F9" s="120"/>
      <c r="G9" s="120"/>
      <c r="H9" s="120"/>
      <c r="I9" s="120"/>
      <c r="J9" s="120"/>
      <c r="K9" s="318"/>
      <c r="L9" s="102"/>
      <c r="M9" s="515"/>
    </row>
    <row r="10" spans="1:13" ht="15" customHeight="1" x14ac:dyDescent="0.2">
      <c r="A10" s="122"/>
      <c r="B10" s="123" t="s">
        <v>10</v>
      </c>
      <c r="C10" s="131">
        <f>C8+C9</f>
        <v>2026</v>
      </c>
      <c r="D10" s="120"/>
      <c r="E10" s="120"/>
      <c r="F10" s="120"/>
      <c r="G10" s="120"/>
      <c r="H10" s="120"/>
      <c r="I10" s="120"/>
      <c r="J10" s="120"/>
      <c r="K10" s="120"/>
      <c r="L10" s="102"/>
      <c r="M10" s="120"/>
    </row>
    <row r="11" spans="1:13" x14ac:dyDescent="0.2">
      <c r="A11" s="122"/>
      <c r="B11" s="123" t="s">
        <v>11</v>
      </c>
      <c r="C11" s="130">
        <v>30</v>
      </c>
      <c r="D11" s="120" t="s">
        <v>12</v>
      </c>
      <c r="E11" s="318"/>
      <c r="F11" s="120"/>
      <c r="G11" s="120"/>
      <c r="H11" s="120"/>
      <c r="I11" s="120"/>
      <c r="J11" s="120"/>
      <c r="K11" s="120"/>
      <c r="L11" s="120"/>
      <c r="M11" s="120"/>
    </row>
    <row r="12" spans="1:13" x14ac:dyDescent="0.2">
      <c r="A12" s="122"/>
      <c r="B12" s="123" t="s">
        <v>13</v>
      </c>
      <c r="C12" s="130">
        <f>AnalysisPd-C9-(C8-ProjStartYr)</f>
        <v>26</v>
      </c>
      <c r="D12" s="120" t="str">
        <f>C20</f>
        <v>USDOT Benefit-Cost Analysis Guidance for Discretionary Grant Programs 2022</v>
      </c>
      <c r="E12" s="120"/>
      <c r="F12" s="120"/>
      <c r="G12" s="120"/>
      <c r="H12" s="120"/>
      <c r="I12" s="120"/>
      <c r="J12" s="120"/>
      <c r="K12" s="120"/>
      <c r="L12" s="120"/>
      <c r="M12" s="120"/>
    </row>
    <row r="13" spans="1:13" x14ac:dyDescent="0.2">
      <c r="A13" s="122"/>
      <c r="B13" s="127" t="s">
        <v>14</v>
      </c>
      <c r="C13" s="130">
        <v>365</v>
      </c>
      <c r="D13" s="120"/>
      <c r="E13" s="120"/>
      <c r="F13" s="120"/>
      <c r="G13" s="120"/>
      <c r="H13" s="120"/>
      <c r="I13" s="120"/>
      <c r="J13" s="120"/>
      <c r="K13" s="120"/>
      <c r="L13" s="120"/>
      <c r="M13" s="120"/>
    </row>
    <row r="14" spans="1:13" x14ac:dyDescent="0.2">
      <c r="A14" s="122"/>
      <c r="B14" s="127" t="s">
        <v>15</v>
      </c>
      <c r="C14" s="130">
        <v>261</v>
      </c>
      <c r="D14" s="120"/>
      <c r="E14" s="120"/>
      <c r="F14" s="120"/>
      <c r="G14" s="120"/>
      <c r="H14" s="120"/>
      <c r="I14" s="120"/>
      <c r="J14" s="120"/>
      <c r="K14" s="120"/>
      <c r="L14" s="120"/>
      <c r="M14" s="120"/>
    </row>
    <row r="15" spans="1:13" hidden="1" x14ac:dyDescent="0.2">
      <c r="A15" s="122"/>
      <c r="B15" s="127" t="s">
        <v>16</v>
      </c>
      <c r="C15" s="132">
        <v>0.03</v>
      </c>
      <c r="D15" s="120"/>
      <c r="E15" s="120"/>
      <c r="F15" s="120"/>
      <c r="G15" s="120"/>
      <c r="H15" s="120"/>
      <c r="I15" s="120"/>
      <c r="J15" s="120"/>
      <c r="K15" s="120"/>
      <c r="L15" s="120"/>
      <c r="M15" s="120"/>
    </row>
    <row r="16" spans="1:13" x14ac:dyDescent="0.2">
      <c r="A16" s="122"/>
      <c r="B16" s="127" t="s">
        <v>17</v>
      </c>
      <c r="C16" s="132">
        <v>7.0000000000000007E-2</v>
      </c>
      <c r="D16" s="120" t="str">
        <f>C20</f>
        <v>USDOT Benefit-Cost Analysis Guidance for Discretionary Grant Programs 2022</v>
      </c>
      <c r="E16" s="120"/>
      <c r="F16" s="120"/>
      <c r="G16" s="120"/>
      <c r="H16" s="120"/>
      <c r="I16" s="120"/>
      <c r="J16" s="120"/>
      <c r="K16" s="120"/>
      <c r="L16" s="120"/>
      <c r="M16" s="120"/>
    </row>
    <row r="17" spans="1:13" x14ac:dyDescent="0.2">
      <c r="A17" s="122"/>
      <c r="B17" s="127" t="s">
        <v>18</v>
      </c>
      <c r="C17" s="133">
        <v>0.03</v>
      </c>
      <c r="D17" s="120"/>
      <c r="E17" s="120"/>
      <c r="F17" s="120"/>
      <c r="G17" s="120"/>
      <c r="H17" s="120"/>
      <c r="I17" s="120"/>
      <c r="J17" s="120"/>
      <c r="K17" s="120"/>
      <c r="L17" s="120"/>
      <c r="M17" s="120"/>
    </row>
    <row r="18" spans="1:13" x14ac:dyDescent="0.2">
      <c r="A18" s="122"/>
      <c r="B18" s="127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</row>
    <row r="19" spans="1:13" x14ac:dyDescent="0.2">
      <c r="A19" s="134" t="s">
        <v>19</v>
      </c>
      <c r="B19" s="125"/>
      <c r="C19" s="126"/>
      <c r="D19" s="126"/>
      <c r="E19" s="126"/>
      <c r="F19" s="126"/>
      <c r="G19" s="126"/>
      <c r="H19" s="126"/>
      <c r="I19" s="126"/>
      <c r="J19" s="120"/>
      <c r="K19" s="120"/>
      <c r="L19" s="120"/>
      <c r="M19" s="120"/>
    </row>
    <row r="20" spans="1:13" x14ac:dyDescent="0.2">
      <c r="A20" s="122"/>
      <c r="B20" s="127" t="s">
        <v>20</v>
      </c>
      <c r="C20" s="356" t="s">
        <v>21</v>
      </c>
      <c r="D20" s="120"/>
      <c r="E20" s="120"/>
      <c r="F20" s="120"/>
      <c r="G20" s="120"/>
      <c r="H20" s="120"/>
      <c r="I20" s="120"/>
      <c r="J20" s="120"/>
      <c r="K20" s="120"/>
      <c r="L20" s="120"/>
      <c r="M20" s="120"/>
    </row>
    <row r="21" spans="1:13" x14ac:dyDescent="0.2">
      <c r="A21" s="122"/>
      <c r="B21" s="127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</row>
    <row r="22" spans="1:13" x14ac:dyDescent="0.25">
      <c r="A22" s="134" t="s">
        <v>22</v>
      </c>
      <c r="B22" s="125"/>
      <c r="C22" s="135"/>
      <c r="D22" s="126"/>
      <c r="E22" s="126"/>
      <c r="F22" s="126"/>
      <c r="G22" s="126"/>
      <c r="H22" s="126"/>
      <c r="I22" s="126"/>
      <c r="J22" s="120"/>
      <c r="K22" s="22"/>
      <c r="L22" s="22"/>
      <c r="M22" s="22"/>
    </row>
    <row r="23" spans="1:13" x14ac:dyDescent="0.25">
      <c r="A23" s="122"/>
      <c r="B23" s="136"/>
      <c r="C23" s="137" t="s">
        <v>23</v>
      </c>
      <c r="D23" s="138" t="s">
        <v>24</v>
      </c>
      <c r="E23" s="138" t="s">
        <v>5</v>
      </c>
      <c r="F23" s="138"/>
      <c r="G23" s="138"/>
      <c r="H23" s="138"/>
      <c r="I23" s="138"/>
      <c r="J23" s="138"/>
      <c r="K23" s="22"/>
      <c r="L23" s="317"/>
      <c r="M23" s="317"/>
    </row>
    <row r="24" spans="1:13" x14ac:dyDescent="0.25">
      <c r="A24" s="122"/>
      <c r="B24" s="127" t="s">
        <v>25</v>
      </c>
      <c r="C24" s="307">
        <v>17.8</v>
      </c>
      <c r="D24" s="120" t="s">
        <v>26</v>
      </c>
      <c r="E24" s="120" t="str">
        <f t="shared" ref="E24:E28" si="0">$C$20</f>
        <v>USDOT Benefit-Cost Analysis Guidance for Discretionary Grant Programs 2022</v>
      </c>
      <c r="F24" s="120"/>
      <c r="G24" s="120"/>
      <c r="H24" s="120"/>
      <c r="I24" s="120"/>
      <c r="J24" s="120"/>
      <c r="L24" s="284"/>
      <c r="M24" s="284"/>
    </row>
    <row r="25" spans="1:13" x14ac:dyDescent="0.25">
      <c r="A25" s="122"/>
      <c r="B25" s="139" t="s">
        <v>27</v>
      </c>
      <c r="C25" s="307">
        <v>32</v>
      </c>
      <c r="D25" s="120" t="s">
        <v>26</v>
      </c>
      <c r="E25" s="120" t="str">
        <f t="shared" si="0"/>
        <v>USDOT Benefit-Cost Analysis Guidance for Discretionary Grant Programs 2022</v>
      </c>
      <c r="F25" s="120"/>
      <c r="G25" s="120"/>
      <c r="H25" s="120"/>
      <c r="I25" s="120"/>
      <c r="J25" s="120"/>
      <c r="L25" s="284"/>
      <c r="M25" s="284"/>
    </row>
    <row r="26" spans="1:13" x14ac:dyDescent="0.25">
      <c r="A26" s="122"/>
      <c r="B26" s="127" t="s">
        <v>28</v>
      </c>
      <c r="C26" s="130">
        <v>1.67</v>
      </c>
      <c r="D26" s="128" t="s">
        <v>29</v>
      </c>
      <c r="E26" s="120" t="str">
        <f t="shared" si="0"/>
        <v>USDOT Benefit-Cost Analysis Guidance for Discretionary Grant Programs 2022</v>
      </c>
      <c r="F26" s="120"/>
      <c r="G26" s="120"/>
      <c r="H26" s="120"/>
      <c r="I26" s="120"/>
      <c r="J26" s="120"/>
      <c r="L26" s="284"/>
      <c r="M26" s="284"/>
    </row>
    <row r="27" spans="1:13" x14ac:dyDescent="0.25">
      <c r="A27" s="122"/>
      <c r="B27" s="127" t="s">
        <v>30</v>
      </c>
      <c r="C27" s="130">
        <v>1</v>
      </c>
      <c r="D27" s="128" t="s">
        <v>31</v>
      </c>
      <c r="E27" s="120" t="str">
        <f t="shared" si="0"/>
        <v>USDOT Benefit-Cost Analysis Guidance for Discretionary Grant Programs 2022</v>
      </c>
      <c r="F27" s="120"/>
      <c r="G27" s="120"/>
      <c r="H27" s="120"/>
      <c r="I27" s="120"/>
      <c r="J27" s="120"/>
      <c r="K27" s="511"/>
      <c r="L27" s="284"/>
      <c r="M27" s="284"/>
    </row>
    <row r="28" spans="1:13" x14ac:dyDescent="0.2">
      <c r="A28" s="122"/>
      <c r="B28" s="127" t="s">
        <v>32</v>
      </c>
      <c r="C28" s="308">
        <v>32.4</v>
      </c>
      <c r="D28" s="128" t="s">
        <v>33</v>
      </c>
      <c r="E28" s="120" t="str">
        <f t="shared" si="0"/>
        <v>USDOT Benefit-Cost Analysis Guidance for Discretionary Grant Programs 2022</v>
      </c>
      <c r="F28" s="120"/>
      <c r="G28" s="120"/>
      <c r="H28" s="120"/>
      <c r="I28" s="120"/>
      <c r="J28" s="120"/>
      <c r="K28" s="120"/>
      <c r="L28" s="120"/>
      <c r="M28" s="120"/>
    </row>
    <row r="29" spans="1:13" x14ac:dyDescent="0.2">
      <c r="A29" s="122"/>
      <c r="B29" s="127" t="s">
        <v>338</v>
      </c>
      <c r="C29" s="140">
        <v>0.02</v>
      </c>
      <c r="D29" s="128"/>
      <c r="E29" s="120"/>
      <c r="F29" s="120"/>
      <c r="G29" s="120"/>
      <c r="H29" s="120"/>
      <c r="I29" s="120"/>
      <c r="J29" s="120"/>
      <c r="K29" s="120"/>
      <c r="L29" s="120"/>
      <c r="M29" s="120"/>
    </row>
    <row r="30" spans="1:13" x14ac:dyDescent="0.25">
      <c r="B30" s="10" t="s">
        <v>34</v>
      </c>
      <c r="C30" s="509">
        <v>0.09</v>
      </c>
      <c r="D30" s="66"/>
      <c r="E30" s="66"/>
      <c r="F30" s="66"/>
      <c r="G30" s="66"/>
      <c r="H30" s="66"/>
      <c r="I30" s="66"/>
      <c r="J30" s="66"/>
      <c r="K30" s="66"/>
    </row>
    <row r="31" spans="1:13" x14ac:dyDescent="0.25">
      <c r="C31" s="111"/>
      <c r="D31" s="66"/>
      <c r="E31" s="66"/>
      <c r="F31" s="66"/>
      <c r="G31" s="66"/>
      <c r="H31" s="66"/>
      <c r="I31" s="66"/>
    </row>
    <row r="32" spans="1:13" x14ac:dyDescent="0.25">
      <c r="A32" s="117" t="s">
        <v>273</v>
      </c>
      <c r="B32" s="118"/>
      <c r="C32" s="118"/>
      <c r="D32" s="118"/>
      <c r="E32" s="660" t="s">
        <v>264</v>
      </c>
      <c r="F32" s="660"/>
      <c r="G32" s="660"/>
      <c r="H32" s="660"/>
      <c r="I32" s="660"/>
      <c r="J32" s="660"/>
      <c r="K32" s="660"/>
      <c r="L32" s="660"/>
      <c r="M32" s="11"/>
    </row>
    <row r="33" spans="1:13" ht="14.45" customHeight="1" x14ac:dyDescent="0.25">
      <c r="A33" s="101"/>
      <c r="B33" s="101"/>
      <c r="C33" s="101"/>
      <c r="D33" s="101"/>
      <c r="E33" s="659" t="s">
        <v>262</v>
      </c>
      <c r="F33" s="659"/>
      <c r="G33" s="659"/>
      <c r="H33" s="659"/>
      <c r="I33" s="659"/>
      <c r="J33" s="659"/>
      <c r="K33" s="659"/>
      <c r="L33" s="659"/>
      <c r="M33" s="6"/>
    </row>
    <row r="34" spans="1:13" x14ac:dyDescent="0.25">
      <c r="B34" s="45" t="s">
        <v>36</v>
      </c>
      <c r="C34" s="45" t="s">
        <v>37</v>
      </c>
      <c r="D34" s="45" t="s">
        <v>38</v>
      </c>
      <c r="E34" s="45" t="s">
        <v>269</v>
      </c>
      <c r="F34" s="45" t="s">
        <v>270</v>
      </c>
      <c r="G34" s="45" t="s">
        <v>267</v>
      </c>
      <c r="H34" s="45" t="s">
        <v>268</v>
      </c>
      <c r="I34" s="45"/>
      <c r="J34" s="45"/>
      <c r="K34" s="45"/>
      <c r="L34" s="45"/>
      <c r="M34" s="115"/>
    </row>
    <row r="35" spans="1:13" x14ac:dyDescent="0.25">
      <c r="B35" s="334">
        <v>2021</v>
      </c>
      <c r="C35" s="59">
        <v>0</v>
      </c>
      <c r="D35" s="59">
        <v>0</v>
      </c>
      <c r="E35" s="335">
        <f>((16+6+124+53)+(12+9+1)+(57+241+15+0)+(34+49+0)+(1+88+8)+(0+85+11)+(72+32+3))*$C$14</f>
        <v>239337</v>
      </c>
      <c r="F35" s="335">
        <f>E35</f>
        <v>239337</v>
      </c>
      <c r="G35" s="335">
        <f>((29+5+242+46)+(18+8+8)+(41+121+27+1)+(104+104+0)+(2+217+26)+(2+103+18)+(79+37+2))*$C$14</f>
        <v>323640</v>
      </c>
      <c r="H35" s="335">
        <f>G35</f>
        <v>323640</v>
      </c>
      <c r="I35" s="96"/>
      <c r="J35" s="96"/>
      <c r="K35" s="96"/>
      <c r="L35" s="96"/>
      <c r="M35" s="334"/>
    </row>
    <row r="36" spans="1:13" x14ac:dyDescent="0.25">
      <c r="B36" s="99">
        <f t="shared" ref="B36:B66" si="1">B35+1</f>
        <v>2022</v>
      </c>
      <c r="C36" s="21">
        <f t="shared" ref="C36:C58" si="2">_xlfn.IFS(B36&lt;ProjStartYr,0,B36=ProjStartYr,1,B36&gt;ProjStartYr,C35+1)</f>
        <v>1</v>
      </c>
      <c r="D36" s="21">
        <f t="shared" ref="D36:D63" si="3">_xlfn.IFS(B36&lt;BenefitStart,0,B36=BenefitStart,1,B36&gt;BenefitStart,D35+1)</f>
        <v>0</v>
      </c>
      <c r="E36" s="96">
        <f>E$35+(E$59-E$35)/($B$59-$B$35)*($B36-$B$35)</f>
        <v>240533.25</v>
      </c>
      <c r="F36" s="96">
        <f t="shared" ref="E36:H58" si="4">F$35+(F$59-F$35)/($B$59-$B$35)*($B36-$B$35)</f>
        <v>240533.25</v>
      </c>
      <c r="G36" s="96">
        <f t="shared" si="4"/>
        <v>325227.75</v>
      </c>
      <c r="H36" s="96">
        <f t="shared" si="4"/>
        <v>325227.75</v>
      </c>
      <c r="I36" s="96"/>
      <c r="J36" s="96"/>
      <c r="K36" s="96"/>
      <c r="L36" s="96"/>
      <c r="M36" s="96"/>
    </row>
    <row r="37" spans="1:13" x14ac:dyDescent="0.25">
      <c r="B37" s="99">
        <f t="shared" si="1"/>
        <v>2023</v>
      </c>
      <c r="C37" s="21">
        <f t="shared" si="2"/>
        <v>2</v>
      </c>
      <c r="D37" s="21">
        <f t="shared" si="3"/>
        <v>0</v>
      </c>
      <c r="E37" s="96">
        <f t="shared" si="4"/>
        <v>241729.5</v>
      </c>
      <c r="F37" s="96">
        <f t="shared" si="4"/>
        <v>241729.5</v>
      </c>
      <c r="G37" s="96">
        <f t="shared" si="4"/>
        <v>326815.5</v>
      </c>
      <c r="H37" s="96">
        <f t="shared" si="4"/>
        <v>326815.5</v>
      </c>
      <c r="I37" s="96"/>
      <c r="J37" s="96"/>
      <c r="K37" s="96"/>
      <c r="L37" s="96"/>
      <c r="M37" s="96"/>
    </row>
    <row r="38" spans="1:13" x14ac:dyDescent="0.25">
      <c r="B38" s="99">
        <f t="shared" si="1"/>
        <v>2024</v>
      </c>
      <c r="C38" s="21">
        <f t="shared" si="2"/>
        <v>3</v>
      </c>
      <c r="D38" s="21">
        <f t="shared" si="3"/>
        <v>0</v>
      </c>
      <c r="E38" s="96">
        <f t="shared" si="4"/>
        <v>242925.75</v>
      </c>
      <c r="F38" s="96">
        <f t="shared" si="4"/>
        <v>242925.75</v>
      </c>
      <c r="G38" s="96">
        <f t="shared" si="4"/>
        <v>328403.25</v>
      </c>
      <c r="H38" s="96">
        <f t="shared" si="4"/>
        <v>328403.25</v>
      </c>
      <c r="I38" s="96"/>
      <c r="J38" s="96"/>
      <c r="K38" s="96"/>
      <c r="L38" s="96"/>
      <c r="M38" s="96"/>
    </row>
    <row r="39" spans="1:13" x14ac:dyDescent="0.25">
      <c r="B39" s="99">
        <f t="shared" si="1"/>
        <v>2025</v>
      </c>
      <c r="C39" s="21">
        <f t="shared" si="2"/>
        <v>4</v>
      </c>
      <c r="D39" s="21">
        <f t="shared" si="3"/>
        <v>0</v>
      </c>
      <c r="E39" s="96">
        <f t="shared" si="4"/>
        <v>244122</v>
      </c>
      <c r="F39" s="96">
        <f t="shared" si="4"/>
        <v>244122</v>
      </c>
      <c r="G39" s="96">
        <f t="shared" si="4"/>
        <v>329991</v>
      </c>
      <c r="H39" s="96">
        <f t="shared" si="4"/>
        <v>329991</v>
      </c>
      <c r="I39" s="96"/>
      <c r="J39" s="96"/>
      <c r="K39" s="96"/>
      <c r="L39" s="96"/>
      <c r="M39" s="96"/>
    </row>
    <row r="40" spans="1:13" x14ac:dyDescent="0.25">
      <c r="B40" s="99">
        <f t="shared" si="1"/>
        <v>2026</v>
      </c>
      <c r="C40" s="21">
        <f t="shared" si="2"/>
        <v>5</v>
      </c>
      <c r="D40" s="21">
        <f t="shared" si="3"/>
        <v>1</v>
      </c>
      <c r="E40" s="96">
        <f t="shared" si="4"/>
        <v>245318.25</v>
      </c>
      <c r="F40" s="96">
        <f t="shared" si="4"/>
        <v>245318.25</v>
      </c>
      <c r="G40" s="96">
        <f t="shared" si="4"/>
        <v>331578.75</v>
      </c>
      <c r="H40" s="96">
        <f t="shared" si="4"/>
        <v>331578.75</v>
      </c>
      <c r="I40" s="96"/>
      <c r="J40" s="96"/>
      <c r="K40" s="96"/>
      <c r="L40" s="96"/>
      <c r="M40" s="96"/>
    </row>
    <row r="41" spans="1:13" x14ac:dyDescent="0.25">
      <c r="B41" s="99">
        <f t="shared" si="1"/>
        <v>2027</v>
      </c>
      <c r="C41" s="21">
        <f t="shared" si="2"/>
        <v>6</v>
      </c>
      <c r="D41" s="21">
        <f t="shared" si="3"/>
        <v>2</v>
      </c>
      <c r="E41" s="96">
        <f t="shared" si="4"/>
        <v>246514.5</v>
      </c>
      <c r="F41" s="96">
        <f t="shared" si="4"/>
        <v>246514.5</v>
      </c>
      <c r="G41" s="96">
        <f t="shared" si="4"/>
        <v>333166.5</v>
      </c>
      <c r="H41" s="96">
        <f t="shared" si="4"/>
        <v>333166.5</v>
      </c>
      <c r="I41" s="96"/>
      <c r="J41" s="96"/>
      <c r="K41" s="96"/>
      <c r="L41" s="96"/>
      <c r="M41" s="96"/>
    </row>
    <row r="42" spans="1:13" x14ac:dyDescent="0.25">
      <c r="B42" s="99">
        <f t="shared" si="1"/>
        <v>2028</v>
      </c>
      <c r="C42" s="21">
        <f t="shared" si="2"/>
        <v>7</v>
      </c>
      <c r="D42" s="21">
        <f t="shared" si="3"/>
        <v>3</v>
      </c>
      <c r="E42" s="96">
        <f t="shared" si="4"/>
        <v>247710.75</v>
      </c>
      <c r="F42" s="96">
        <f t="shared" si="4"/>
        <v>247710.75</v>
      </c>
      <c r="G42" s="96">
        <f t="shared" si="4"/>
        <v>334754.25</v>
      </c>
      <c r="H42" s="96">
        <f t="shared" si="4"/>
        <v>334754.25</v>
      </c>
      <c r="I42" s="96"/>
      <c r="J42" s="96"/>
      <c r="K42" s="96"/>
      <c r="L42" s="96"/>
      <c r="M42" s="96"/>
    </row>
    <row r="43" spans="1:13" x14ac:dyDescent="0.25">
      <c r="B43" s="99">
        <f t="shared" si="1"/>
        <v>2029</v>
      </c>
      <c r="C43" s="21">
        <f t="shared" si="2"/>
        <v>8</v>
      </c>
      <c r="D43" s="21">
        <f t="shared" si="3"/>
        <v>4</v>
      </c>
      <c r="E43" s="96">
        <f t="shared" si="4"/>
        <v>248907</v>
      </c>
      <c r="F43" s="96">
        <f t="shared" si="4"/>
        <v>248907</v>
      </c>
      <c r="G43" s="96">
        <f t="shared" si="4"/>
        <v>336342</v>
      </c>
      <c r="H43" s="96">
        <f t="shared" si="4"/>
        <v>336342</v>
      </c>
      <c r="I43" s="96"/>
      <c r="J43" s="96"/>
      <c r="K43" s="96"/>
      <c r="L43" s="96"/>
      <c r="M43" s="96"/>
    </row>
    <row r="44" spans="1:13" x14ac:dyDescent="0.25">
      <c r="B44" s="99">
        <f t="shared" si="1"/>
        <v>2030</v>
      </c>
      <c r="C44" s="21">
        <f t="shared" si="2"/>
        <v>9</v>
      </c>
      <c r="D44" s="21">
        <f t="shared" si="3"/>
        <v>5</v>
      </c>
      <c r="E44" s="96">
        <f t="shared" si="4"/>
        <v>250103.25</v>
      </c>
      <c r="F44" s="96">
        <f t="shared" si="4"/>
        <v>250103.25</v>
      </c>
      <c r="G44" s="96">
        <f t="shared" si="4"/>
        <v>337929.75</v>
      </c>
      <c r="H44" s="96">
        <f t="shared" si="4"/>
        <v>337929.75</v>
      </c>
      <c r="I44" s="96"/>
      <c r="J44" s="96"/>
      <c r="K44" s="96"/>
      <c r="L44" s="96"/>
      <c r="M44" s="96"/>
    </row>
    <row r="45" spans="1:13" x14ac:dyDescent="0.25">
      <c r="B45" s="99">
        <f t="shared" si="1"/>
        <v>2031</v>
      </c>
      <c r="C45" s="21">
        <f t="shared" si="2"/>
        <v>10</v>
      </c>
      <c r="D45" s="21">
        <f t="shared" si="3"/>
        <v>6</v>
      </c>
      <c r="E45" s="96">
        <f t="shared" si="4"/>
        <v>251299.5</v>
      </c>
      <c r="F45" s="96">
        <f t="shared" si="4"/>
        <v>251299.5</v>
      </c>
      <c r="G45" s="96">
        <f t="shared" si="4"/>
        <v>339517.5</v>
      </c>
      <c r="H45" s="96">
        <f t="shared" si="4"/>
        <v>339517.5</v>
      </c>
      <c r="I45" s="96"/>
      <c r="J45" s="96"/>
      <c r="K45" s="96"/>
      <c r="L45" s="96"/>
      <c r="M45" s="96"/>
    </row>
    <row r="46" spans="1:13" x14ac:dyDescent="0.25">
      <c r="B46" s="99">
        <f t="shared" si="1"/>
        <v>2032</v>
      </c>
      <c r="C46" s="21">
        <f t="shared" si="2"/>
        <v>11</v>
      </c>
      <c r="D46" s="21">
        <f t="shared" si="3"/>
        <v>7</v>
      </c>
      <c r="E46" s="96">
        <f t="shared" si="4"/>
        <v>252495.75</v>
      </c>
      <c r="F46" s="96">
        <f t="shared" si="4"/>
        <v>252495.75</v>
      </c>
      <c r="G46" s="96">
        <f t="shared" si="4"/>
        <v>341105.25</v>
      </c>
      <c r="H46" s="96">
        <f t="shared" si="4"/>
        <v>341105.25</v>
      </c>
      <c r="I46" s="96"/>
      <c r="J46" s="96"/>
      <c r="K46" s="96"/>
      <c r="L46" s="96"/>
      <c r="M46" s="96"/>
    </row>
    <row r="47" spans="1:13" x14ac:dyDescent="0.25">
      <c r="B47" s="99">
        <f t="shared" si="1"/>
        <v>2033</v>
      </c>
      <c r="C47" s="21">
        <f t="shared" si="2"/>
        <v>12</v>
      </c>
      <c r="D47" s="21">
        <f t="shared" si="3"/>
        <v>8</v>
      </c>
      <c r="E47" s="96">
        <f t="shared" si="4"/>
        <v>253692</v>
      </c>
      <c r="F47" s="96">
        <f t="shared" si="4"/>
        <v>253692</v>
      </c>
      <c r="G47" s="96">
        <f t="shared" si="4"/>
        <v>342693</v>
      </c>
      <c r="H47" s="96">
        <f t="shared" si="4"/>
        <v>342693</v>
      </c>
      <c r="I47" s="96"/>
      <c r="J47" s="96"/>
      <c r="K47" s="96"/>
      <c r="L47" s="96"/>
      <c r="M47" s="96"/>
    </row>
    <row r="48" spans="1:13" x14ac:dyDescent="0.25">
      <c r="B48" s="99">
        <f t="shared" si="1"/>
        <v>2034</v>
      </c>
      <c r="C48" s="21">
        <f t="shared" si="2"/>
        <v>13</v>
      </c>
      <c r="D48" s="21">
        <f t="shared" si="3"/>
        <v>9</v>
      </c>
      <c r="E48" s="96">
        <f t="shared" si="4"/>
        <v>254888.25</v>
      </c>
      <c r="F48" s="96">
        <f t="shared" si="4"/>
        <v>254888.25</v>
      </c>
      <c r="G48" s="96">
        <f t="shared" si="4"/>
        <v>344280.75</v>
      </c>
      <c r="H48" s="96">
        <f t="shared" si="4"/>
        <v>344280.75</v>
      </c>
      <c r="I48" s="96"/>
      <c r="J48" s="96"/>
      <c r="K48" s="96"/>
      <c r="L48" s="96"/>
      <c r="M48" s="96"/>
    </row>
    <row r="49" spans="2:13" x14ac:dyDescent="0.25">
      <c r="B49" s="99">
        <f t="shared" si="1"/>
        <v>2035</v>
      </c>
      <c r="C49" s="21">
        <f t="shared" si="2"/>
        <v>14</v>
      </c>
      <c r="D49" s="21">
        <f t="shared" si="3"/>
        <v>10</v>
      </c>
      <c r="E49" s="96">
        <f t="shared" si="4"/>
        <v>256084.5</v>
      </c>
      <c r="F49" s="96">
        <f t="shared" si="4"/>
        <v>256084.5</v>
      </c>
      <c r="G49" s="96">
        <f t="shared" si="4"/>
        <v>345868.5</v>
      </c>
      <c r="H49" s="96">
        <f t="shared" si="4"/>
        <v>345868.5</v>
      </c>
      <c r="I49" s="96"/>
      <c r="J49" s="96"/>
      <c r="K49" s="96"/>
      <c r="L49" s="96"/>
      <c r="M49" s="96"/>
    </row>
    <row r="50" spans="2:13" x14ac:dyDescent="0.25">
      <c r="B50" s="99">
        <f t="shared" si="1"/>
        <v>2036</v>
      </c>
      <c r="C50" s="21">
        <f t="shared" si="2"/>
        <v>15</v>
      </c>
      <c r="D50" s="21">
        <f t="shared" si="3"/>
        <v>11</v>
      </c>
      <c r="E50" s="96">
        <f t="shared" si="4"/>
        <v>257280.75</v>
      </c>
      <c r="F50" s="96">
        <f t="shared" si="4"/>
        <v>257280.75</v>
      </c>
      <c r="G50" s="96">
        <f t="shared" si="4"/>
        <v>347456.25</v>
      </c>
      <c r="H50" s="96">
        <f t="shared" si="4"/>
        <v>347456.25</v>
      </c>
      <c r="I50" s="96"/>
      <c r="J50" s="96"/>
      <c r="K50" s="96"/>
      <c r="L50" s="96"/>
      <c r="M50" s="96"/>
    </row>
    <row r="51" spans="2:13" x14ac:dyDescent="0.25">
      <c r="B51" s="99">
        <f t="shared" si="1"/>
        <v>2037</v>
      </c>
      <c r="C51" s="21">
        <f t="shared" si="2"/>
        <v>16</v>
      </c>
      <c r="D51" s="21">
        <f t="shared" si="3"/>
        <v>12</v>
      </c>
      <c r="E51" s="96">
        <f t="shared" si="4"/>
        <v>258477</v>
      </c>
      <c r="F51" s="96">
        <f t="shared" si="4"/>
        <v>258477</v>
      </c>
      <c r="G51" s="96">
        <f t="shared" si="4"/>
        <v>349044</v>
      </c>
      <c r="H51" s="96">
        <f t="shared" si="4"/>
        <v>349044</v>
      </c>
      <c r="I51" s="96"/>
      <c r="J51" s="96"/>
      <c r="K51" s="96"/>
      <c r="L51" s="96"/>
      <c r="M51" s="96"/>
    </row>
    <row r="52" spans="2:13" x14ac:dyDescent="0.25">
      <c r="B52" s="99">
        <f t="shared" si="1"/>
        <v>2038</v>
      </c>
      <c r="C52" s="21">
        <f t="shared" si="2"/>
        <v>17</v>
      </c>
      <c r="D52" s="21">
        <f t="shared" si="3"/>
        <v>13</v>
      </c>
      <c r="E52" s="96">
        <f t="shared" si="4"/>
        <v>259673.25</v>
      </c>
      <c r="F52" s="96">
        <f t="shared" si="4"/>
        <v>259673.25</v>
      </c>
      <c r="G52" s="96">
        <f t="shared" si="4"/>
        <v>350631.75</v>
      </c>
      <c r="H52" s="96">
        <f t="shared" si="4"/>
        <v>350631.75</v>
      </c>
      <c r="I52" s="96"/>
      <c r="J52" s="96"/>
      <c r="K52" s="96"/>
      <c r="L52" s="96"/>
      <c r="M52" s="96"/>
    </row>
    <row r="53" spans="2:13" x14ac:dyDescent="0.25">
      <c r="B53" s="99">
        <f t="shared" si="1"/>
        <v>2039</v>
      </c>
      <c r="C53" s="21">
        <f t="shared" si="2"/>
        <v>18</v>
      </c>
      <c r="D53" s="21">
        <f t="shared" si="3"/>
        <v>14</v>
      </c>
      <c r="E53" s="96">
        <f t="shared" si="4"/>
        <v>260869.5</v>
      </c>
      <c r="F53" s="96">
        <f t="shared" si="4"/>
        <v>260869.5</v>
      </c>
      <c r="G53" s="96">
        <f t="shared" si="4"/>
        <v>352219.5</v>
      </c>
      <c r="H53" s="96">
        <f t="shared" si="4"/>
        <v>352219.5</v>
      </c>
      <c r="I53" s="96"/>
      <c r="J53" s="96"/>
      <c r="K53" s="96"/>
      <c r="L53" s="96"/>
      <c r="M53" s="96"/>
    </row>
    <row r="54" spans="2:13" x14ac:dyDescent="0.25">
      <c r="B54" s="99">
        <f t="shared" si="1"/>
        <v>2040</v>
      </c>
      <c r="C54" s="21">
        <f t="shared" si="2"/>
        <v>19</v>
      </c>
      <c r="D54" s="21">
        <f t="shared" si="3"/>
        <v>15</v>
      </c>
      <c r="E54" s="96">
        <f t="shared" si="4"/>
        <v>262065.75</v>
      </c>
      <c r="F54" s="96">
        <f t="shared" si="4"/>
        <v>262065.75</v>
      </c>
      <c r="G54" s="96">
        <f t="shared" si="4"/>
        <v>353807.25</v>
      </c>
      <c r="H54" s="96">
        <f t="shared" si="4"/>
        <v>353807.25</v>
      </c>
      <c r="I54" s="96"/>
      <c r="J54" s="96"/>
      <c r="K54" s="96"/>
      <c r="L54" s="96"/>
      <c r="M54" s="96"/>
    </row>
    <row r="55" spans="2:13" x14ac:dyDescent="0.25">
      <c r="B55" s="65">
        <f t="shared" si="1"/>
        <v>2041</v>
      </c>
      <c r="C55" s="21">
        <f t="shared" si="2"/>
        <v>20</v>
      </c>
      <c r="D55" s="21">
        <f t="shared" si="3"/>
        <v>16</v>
      </c>
      <c r="E55" s="96">
        <f t="shared" si="4"/>
        <v>263262</v>
      </c>
      <c r="F55" s="96">
        <f t="shared" si="4"/>
        <v>263262</v>
      </c>
      <c r="G55" s="96">
        <f t="shared" si="4"/>
        <v>355395</v>
      </c>
      <c r="H55" s="96">
        <f t="shared" si="4"/>
        <v>355395</v>
      </c>
      <c r="I55" s="96"/>
      <c r="J55" s="96"/>
      <c r="K55" s="96"/>
      <c r="L55" s="96"/>
      <c r="M55" s="96"/>
    </row>
    <row r="56" spans="2:13" x14ac:dyDescent="0.25">
      <c r="B56" s="99">
        <f t="shared" si="1"/>
        <v>2042</v>
      </c>
      <c r="C56" s="21">
        <f t="shared" si="2"/>
        <v>21</v>
      </c>
      <c r="D56" s="21">
        <f t="shared" si="3"/>
        <v>17</v>
      </c>
      <c r="E56" s="96">
        <f t="shared" si="4"/>
        <v>264458.25</v>
      </c>
      <c r="F56" s="96">
        <f t="shared" si="4"/>
        <v>264458.25</v>
      </c>
      <c r="G56" s="96">
        <f t="shared" si="4"/>
        <v>356982.75</v>
      </c>
      <c r="H56" s="96">
        <f t="shared" si="4"/>
        <v>356982.75</v>
      </c>
      <c r="I56" s="96"/>
      <c r="J56" s="96"/>
      <c r="K56" s="96"/>
      <c r="L56" s="96"/>
      <c r="M56" s="96"/>
    </row>
    <row r="57" spans="2:13" x14ac:dyDescent="0.25">
      <c r="B57" s="99">
        <f t="shared" si="1"/>
        <v>2043</v>
      </c>
      <c r="C57" s="21">
        <f t="shared" si="2"/>
        <v>22</v>
      </c>
      <c r="D57" s="21">
        <f t="shared" si="3"/>
        <v>18</v>
      </c>
      <c r="E57" s="96">
        <f t="shared" si="4"/>
        <v>265654.5</v>
      </c>
      <c r="F57" s="96">
        <f t="shared" si="4"/>
        <v>265654.5</v>
      </c>
      <c r="G57" s="96">
        <f t="shared" si="4"/>
        <v>358570.5</v>
      </c>
      <c r="H57" s="96">
        <f t="shared" si="4"/>
        <v>358570.5</v>
      </c>
      <c r="I57" s="96"/>
      <c r="J57" s="96"/>
      <c r="K57" s="96"/>
      <c r="L57" s="96"/>
      <c r="M57" s="96"/>
    </row>
    <row r="58" spans="2:13" x14ac:dyDescent="0.25">
      <c r="B58" s="99">
        <f t="shared" si="1"/>
        <v>2044</v>
      </c>
      <c r="C58" s="21">
        <f t="shared" si="2"/>
        <v>23</v>
      </c>
      <c r="D58" s="21">
        <f t="shared" si="3"/>
        <v>19</v>
      </c>
      <c r="E58" s="96">
        <f t="shared" si="4"/>
        <v>266850.75</v>
      </c>
      <c r="F58" s="96">
        <f t="shared" si="4"/>
        <v>266850.75</v>
      </c>
      <c r="G58" s="96">
        <f t="shared" si="4"/>
        <v>360158.25</v>
      </c>
      <c r="H58" s="96">
        <f t="shared" si="4"/>
        <v>360158.25</v>
      </c>
      <c r="I58" s="96"/>
      <c r="J58" s="96"/>
      <c r="K58" s="96"/>
      <c r="L58" s="96"/>
      <c r="M58" s="96"/>
    </row>
    <row r="59" spans="2:13" x14ac:dyDescent="0.25">
      <c r="B59" s="99">
        <f t="shared" si="1"/>
        <v>2045</v>
      </c>
      <c r="C59" s="21">
        <f t="shared" ref="C59:C63" si="5">_xlfn.IFS(B59&lt;ProjStartYr,0,B59=ProjStartYr,1,B59&gt;ProjStartYr,C58+1)</f>
        <v>24</v>
      </c>
      <c r="D59" s="21">
        <f t="shared" si="3"/>
        <v>20</v>
      </c>
      <c r="E59" s="336">
        <f>((18+7+139+59)+(13+10+1)+(64+270+17+0)+(38+55+0)+(1+99+9)+(0+95+12)+(81+36+3))*$C$14</f>
        <v>268047</v>
      </c>
      <c r="F59" s="336">
        <f>E59</f>
        <v>268047</v>
      </c>
      <c r="G59" s="336">
        <f>((32+6+271+52)+(20+9+9)+(46+136+30+1)+(116+116+0)+(2+243+29)+(2+115+20)+(88+41+2))*$C$14</f>
        <v>361746</v>
      </c>
      <c r="H59" s="336">
        <f>G59</f>
        <v>361746</v>
      </c>
      <c r="I59" s="96"/>
      <c r="J59" s="96"/>
      <c r="K59" s="96"/>
      <c r="L59" s="96"/>
      <c r="M59" s="119"/>
    </row>
    <row r="60" spans="2:13" x14ac:dyDescent="0.25">
      <c r="B60" s="99">
        <f t="shared" si="1"/>
        <v>2046</v>
      </c>
      <c r="C60" s="21">
        <f t="shared" si="5"/>
        <v>25</v>
      </c>
      <c r="D60" s="21">
        <f t="shared" si="3"/>
        <v>21</v>
      </c>
      <c r="E60" s="96">
        <f t="shared" ref="E60:H66" si="6">E$59+((E$59-E$58)*($B60-$B$59))</f>
        <v>269243.25</v>
      </c>
      <c r="F60" s="96">
        <f t="shared" si="6"/>
        <v>269243.25</v>
      </c>
      <c r="G60" s="96">
        <f t="shared" si="6"/>
        <v>363333.75</v>
      </c>
      <c r="H60" s="96">
        <f t="shared" si="6"/>
        <v>363333.75</v>
      </c>
      <c r="I60" s="96"/>
      <c r="J60" s="96"/>
      <c r="K60" s="96"/>
      <c r="L60" s="96"/>
      <c r="M60" s="96"/>
    </row>
    <row r="61" spans="2:13" x14ac:dyDescent="0.25">
      <c r="B61" s="99">
        <f t="shared" si="1"/>
        <v>2047</v>
      </c>
      <c r="C61" s="21">
        <f t="shared" si="5"/>
        <v>26</v>
      </c>
      <c r="D61" s="21">
        <f t="shared" si="3"/>
        <v>22</v>
      </c>
      <c r="E61" s="96">
        <f t="shared" si="6"/>
        <v>270439.5</v>
      </c>
      <c r="F61" s="96">
        <f t="shared" si="6"/>
        <v>270439.5</v>
      </c>
      <c r="G61" s="96">
        <f t="shared" si="6"/>
        <v>364921.5</v>
      </c>
      <c r="H61" s="96">
        <f t="shared" si="6"/>
        <v>364921.5</v>
      </c>
      <c r="I61" s="96"/>
      <c r="J61" s="96"/>
      <c r="K61" s="96"/>
      <c r="L61" s="96"/>
      <c r="M61" s="96"/>
    </row>
    <row r="62" spans="2:13" x14ac:dyDescent="0.25">
      <c r="B62" s="99">
        <f t="shared" si="1"/>
        <v>2048</v>
      </c>
      <c r="C62" s="21">
        <f t="shared" si="5"/>
        <v>27</v>
      </c>
      <c r="D62" s="21">
        <f t="shared" si="3"/>
        <v>23</v>
      </c>
      <c r="E62" s="96">
        <f t="shared" si="6"/>
        <v>271635.75</v>
      </c>
      <c r="F62" s="96">
        <f t="shared" si="6"/>
        <v>271635.75</v>
      </c>
      <c r="G62" s="96">
        <f t="shared" si="6"/>
        <v>366509.25</v>
      </c>
      <c r="H62" s="96">
        <f t="shared" si="6"/>
        <v>366509.25</v>
      </c>
      <c r="I62" s="96"/>
      <c r="J62" s="96"/>
      <c r="K62" s="96"/>
      <c r="L62" s="96"/>
      <c r="M62" s="96"/>
    </row>
    <row r="63" spans="2:13" x14ac:dyDescent="0.25">
      <c r="B63" s="99">
        <f t="shared" si="1"/>
        <v>2049</v>
      </c>
      <c r="C63" s="21">
        <f t="shared" si="5"/>
        <v>28</v>
      </c>
      <c r="D63" s="21">
        <f t="shared" si="3"/>
        <v>24</v>
      </c>
      <c r="E63" s="96">
        <f t="shared" si="6"/>
        <v>272832</v>
      </c>
      <c r="F63" s="96">
        <f t="shared" si="6"/>
        <v>272832</v>
      </c>
      <c r="G63" s="96">
        <f t="shared" si="6"/>
        <v>368097</v>
      </c>
      <c r="H63" s="96">
        <f t="shared" si="6"/>
        <v>368097</v>
      </c>
      <c r="I63" s="96"/>
      <c r="J63" s="96"/>
      <c r="K63" s="96"/>
      <c r="L63" s="96"/>
      <c r="M63" s="96"/>
    </row>
    <row r="64" spans="2:13" x14ac:dyDescent="0.25">
      <c r="B64" s="99">
        <f t="shared" si="1"/>
        <v>2050</v>
      </c>
      <c r="C64" s="21">
        <f t="shared" ref="C64:C66" si="7">_xlfn.IFS(B64&lt;ProjStartYr,0,B64=ProjStartYr,1,B64&gt;ProjStartYr,C63+1)</f>
        <v>29</v>
      </c>
      <c r="D64" s="21">
        <f t="shared" ref="D64:D66" si="8">_xlfn.IFS(B64&lt;BenefitStart,0,B64=BenefitStart,1,B64&gt;BenefitStart,D63+1)</f>
        <v>25</v>
      </c>
      <c r="E64" s="96">
        <f t="shared" si="6"/>
        <v>274028.25</v>
      </c>
      <c r="F64" s="96">
        <f t="shared" si="6"/>
        <v>274028.25</v>
      </c>
      <c r="G64" s="96">
        <f t="shared" si="6"/>
        <v>369684.75</v>
      </c>
      <c r="H64" s="96">
        <f t="shared" si="6"/>
        <v>369684.75</v>
      </c>
      <c r="I64" s="96"/>
      <c r="J64" s="96"/>
      <c r="K64" s="96"/>
      <c r="L64" s="96"/>
      <c r="M64" s="96"/>
    </row>
    <row r="65" spans="1:13" x14ac:dyDescent="0.25">
      <c r="B65" s="99">
        <f t="shared" si="1"/>
        <v>2051</v>
      </c>
      <c r="C65" s="21">
        <f t="shared" si="7"/>
        <v>30</v>
      </c>
      <c r="D65" s="21">
        <f t="shared" si="8"/>
        <v>26</v>
      </c>
      <c r="E65" s="96">
        <f t="shared" si="6"/>
        <v>275224.5</v>
      </c>
      <c r="F65" s="96">
        <f t="shared" si="6"/>
        <v>275224.5</v>
      </c>
      <c r="G65" s="96">
        <f t="shared" si="6"/>
        <v>371272.5</v>
      </c>
      <c r="H65" s="96">
        <f t="shared" si="6"/>
        <v>371272.5</v>
      </c>
      <c r="I65" s="96"/>
      <c r="J65" s="96"/>
      <c r="K65" s="96"/>
      <c r="L65" s="96"/>
      <c r="M65" s="96"/>
    </row>
    <row r="66" spans="1:13" x14ac:dyDescent="0.25">
      <c r="B66" s="99">
        <f t="shared" si="1"/>
        <v>2052</v>
      </c>
      <c r="C66" s="21">
        <f t="shared" si="7"/>
        <v>31</v>
      </c>
      <c r="D66" s="21">
        <f t="shared" si="8"/>
        <v>27</v>
      </c>
      <c r="E66" s="96">
        <f t="shared" si="6"/>
        <v>276420.75</v>
      </c>
      <c r="F66" s="96">
        <f t="shared" si="6"/>
        <v>276420.75</v>
      </c>
      <c r="G66" s="96">
        <f t="shared" si="6"/>
        <v>372860.25</v>
      </c>
      <c r="H66" s="96">
        <f t="shared" si="6"/>
        <v>372860.25</v>
      </c>
      <c r="I66" s="96"/>
      <c r="J66" s="96"/>
      <c r="K66" s="96"/>
      <c r="L66" s="96"/>
      <c r="M66" s="96"/>
    </row>
    <row r="67" spans="1:13" x14ac:dyDescent="0.25">
      <c r="A67" s="101"/>
      <c r="B67" s="101"/>
      <c r="C67" s="101"/>
      <c r="D67" s="59"/>
      <c r="E67" s="101"/>
      <c r="F67" s="101"/>
      <c r="G67" s="101"/>
      <c r="H67" s="101"/>
      <c r="I67" s="101"/>
      <c r="J67" s="101"/>
      <c r="K67" s="101"/>
      <c r="L67" s="67"/>
    </row>
    <row r="68" spans="1:13" outlineLevel="1" x14ac:dyDescent="0.25">
      <c r="A68" s="117" t="s">
        <v>272</v>
      </c>
      <c r="B68" s="118"/>
      <c r="C68" s="118"/>
      <c r="D68" s="118"/>
      <c r="E68" s="660" t="s">
        <v>271</v>
      </c>
      <c r="F68" s="660"/>
      <c r="G68" s="660"/>
      <c r="H68" s="660"/>
      <c r="I68" s="660"/>
      <c r="J68" s="660"/>
      <c r="K68" s="660"/>
      <c r="L68" s="660"/>
      <c r="M68" s="11"/>
    </row>
    <row r="69" spans="1:13" ht="28.5" customHeight="1" outlineLevel="1" x14ac:dyDescent="0.25">
      <c r="A69" s="101"/>
      <c r="B69" s="101"/>
      <c r="C69" s="101"/>
      <c r="D69" s="101"/>
      <c r="E69" s="659" t="s">
        <v>262</v>
      </c>
      <c r="F69" s="659"/>
      <c r="G69" s="659"/>
      <c r="H69" s="659"/>
      <c r="I69" s="659"/>
      <c r="J69" s="659"/>
      <c r="K69" s="659"/>
      <c r="L69" s="659"/>
      <c r="M69" s="6"/>
    </row>
    <row r="70" spans="1:13" outlineLevel="1" x14ac:dyDescent="0.25">
      <c r="B70" s="45" t="s">
        <v>36</v>
      </c>
      <c r="C70" s="45" t="s">
        <v>37</v>
      </c>
      <c r="D70" s="45" t="s">
        <v>38</v>
      </c>
      <c r="E70" s="45" t="s">
        <v>269</v>
      </c>
      <c r="F70" s="45" t="s">
        <v>270</v>
      </c>
      <c r="G70" s="45" t="s">
        <v>267</v>
      </c>
      <c r="H70" s="45" t="s">
        <v>268</v>
      </c>
      <c r="I70" s="45"/>
      <c r="J70" s="45"/>
      <c r="K70" s="45"/>
      <c r="L70" s="45"/>
      <c r="M70" s="115"/>
    </row>
    <row r="71" spans="1:13" outlineLevel="1" x14ac:dyDescent="0.25">
      <c r="B71" s="334">
        <v>2021</v>
      </c>
      <c r="C71" s="59">
        <v>0</v>
      </c>
      <c r="D71" s="59">
        <v>0</v>
      </c>
      <c r="E71" s="551">
        <v>183.2</v>
      </c>
      <c r="F71" s="551">
        <v>22.2</v>
      </c>
      <c r="G71" s="551">
        <v>116.5</v>
      </c>
      <c r="H71" s="551">
        <v>30.4</v>
      </c>
      <c r="I71" s="335"/>
      <c r="J71" s="335"/>
      <c r="K71" s="95"/>
      <c r="L71" s="95"/>
      <c r="M71" s="334"/>
    </row>
    <row r="72" spans="1:13" outlineLevel="1" x14ac:dyDescent="0.25">
      <c r="B72" s="99">
        <f t="shared" ref="B72:B102" si="9">B71+1</f>
        <v>2022</v>
      </c>
      <c r="C72" s="21">
        <f t="shared" ref="C72:C102" si="10">_xlfn.IFS(B72&lt;ProjStartYr,0,B72=ProjStartYr,1,B72&gt;ProjStartYr,C71+1)</f>
        <v>1</v>
      </c>
      <c r="D72" s="21">
        <f t="shared" ref="D72:D102" si="11">_xlfn.IFS(B72&lt;BenefitStart,0,B72=BenefitStart,1,B72&gt;BenefitStart,D71+1)</f>
        <v>0</v>
      </c>
      <c r="E72" s="96">
        <f>E$71+(E$95-E$71)/($B$95-$B$71)*($B72-$B$71)</f>
        <v>184.47083333333333</v>
      </c>
      <c r="F72" s="96">
        <f t="shared" ref="F72" si="12">F$71+(F$95-F$71)/($B$95-$B$71)*($B72-$B$71)</f>
        <v>22.595833333333331</v>
      </c>
      <c r="G72" s="96">
        <f>G$71+(G$95-G$71)/($B$95-$B$71)*($B72-$B$71)</f>
        <v>118.05</v>
      </c>
      <c r="H72" s="96">
        <f>H$71+(H$95-H$71)/($B$95-$B$71)*($B72-$B$71)</f>
        <v>31.758333333333333</v>
      </c>
      <c r="I72" s="96"/>
      <c r="J72" s="96"/>
      <c r="K72" s="96"/>
      <c r="L72" s="96"/>
      <c r="M72" s="96"/>
    </row>
    <row r="73" spans="1:13" outlineLevel="1" x14ac:dyDescent="0.25">
      <c r="B73" s="99">
        <f t="shared" si="9"/>
        <v>2023</v>
      </c>
      <c r="C73" s="21">
        <f t="shared" si="10"/>
        <v>2</v>
      </c>
      <c r="D73" s="21">
        <f t="shared" si="11"/>
        <v>0</v>
      </c>
      <c r="E73" s="96">
        <f>E$71+(E$95-E$71)/($B$95-$B$71)*($B73-$B$71)</f>
        <v>185.74166666666665</v>
      </c>
      <c r="F73" s="96">
        <f t="shared" ref="E73:H94" si="13">F$71+(F$95-F$71)/($B$95-$B$71)*($B73-$B$71)</f>
        <v>22.991666666666667</v>
      </c>
      <c r="G73" s="96">
        <f>G$71+(G$95-G$71)/($B$95-$B$71)*($B73-$B$71)</f>
        <v>119.6</v>
      </c>
      <c r="H73" s="96">
        <f t="shared" si="13"/>
        <v>33.116666666666667</v>
      </c>
      <c r="I73" s="96"/>
      <c r="J73" s="96"/>
      <c r="K73" s="96"/>
      <c r="L73" s="96"/>
      <c r="M73" s="96"/>
    </row>
    <row r="74" spans="1:13" outlineLevel="1" x14ac:dyDescent="0.25">
      <c r="B74" s="99">
        <f t="shared" si="9"/>
        <v>2024</v>
      </c>
      <c r="C74" s="21">
        <f t="shared" si="10"/>
        <v>3</v>
      </c>
      <c r="D74" s="21">
        <f t="shared" si="11"/>
        <v>0</v>
      </c>
      <c r="E74" s="96">
        <f t="shared" si="13"/>
        <v>187.01249999999999</v>
      </c>
      <c r="F74" s="96">
        <f t="shared" si="13"/>
        <v>23.387499999999999</v>
      </c>
      <c r="G74" s="96">
        <f>G$71+(G$95-G$71)/($B$95-$B$71)*($B74-$B$71)</f>
        <v>121.15</v>
      </c>
      <c r="H74" s="96">
        <f t="shared" si="13"/>
        <v>34.475000000000001</v>
      </c>
      <c r="I74" s="96"/>
      <c r="J74" s="96"/>
      <c r="K74" s="96"/>
      <c r="L74" s="96"/>
      <c r="M74" s="96"/>
    </row>
    <row r="75" spans="1:13" outlineLevel="1" x14ac:dyDescent="0.25">
      <c r="B75" s="99">
        <f t="shared" si="9"/>
        <v>2025</v>
      </c>
      <c r="C75" s="21">
        <f t="shared" si="10"/>
        <v>4</v>
      </c>
      <c r="D75" s="21">
        <f t="shared" si="11"/>
        <v>0</v>
      </c>
      <c r="E75" s="96">
        <f t="shared" si="13"/>
        <v>188.28333333333333</v>
      </c>
      <c r="F75" s="96">
        <f>F$71+(F$95-F$71)/($B$95-$B$71)*($B75-$B$71)</f>
        <v>23.783333333333331</v>
      </c>
      <c r="G75" s="96">
        <f>G$71+(G$95-G$71)/($B$95-$B$71)*($B75-$B$71)</f>
        <v>122.7</v>
      </c>
      <c r="H75" s="96">
        <f>H$71+(H$95-H$71)/($B$95-$B$71)*($B75-$B$71)</f>
        <v>35.833333333333329</v>
      </c>
      <c r="I75" s="96"/>
      <c r="J75" s="96"/>
      <c r="K75" s="96"/>
      <c r="L75" s="96"/>
      <c r="M75" s="96"/>
    </row>
    <row r="76" spans="1:13" outlineLevel="1" x14ac:dyDescent="0.25">
      <c r="B76" s="99">
        <f t="shared" si="9"/>
        <v>2026</v>
      </c>
      <c r="C76" s="21">
        <f t="shared" si="10"/>
        <v>5</v>
      </c>
      <c r="D76" s="21">
        <f t="shared" si="11"/>
        <v>1</v>
      </c>
      <c r="E76" s="96">
        <f t="shared" si="13"/>
        <v>189.55416666666665</v>
      </c>
      <c r="F76" s="96">
        <f t="shared" si="13"/>
        <v>24.179166666666667</v>
      </c>
      <c r="G76" s="96">
        <f>G$71+(G$95-G$71)/($B$95-$B$71)*($B76-$B$71)</f>
        <v>124.25</v>
      </c>
      <c r="H76" s="96">
        <f t="shared" si="13"/>
        <v>37.191666666666663</v>
      </c>
      <c r="I76" s="96"/>
      <c r="J76" s="96"/>
      <c r="K76" s="96"/>
      <c r="L76" s="96"/>
      <c r="M76" s="96"/>
    </row>
    <row r="77" spans="1:13" outlineLevel="1" x14ac:dyDescent="0.25">
      <c r="B77" s="99">
        <f t="shared" si="9"/>
        <v>2027</v>
      </c>
      <c r="C77" s="21">
        <f t="shared" si="10"/>
        <v>6</v>
      </c>
      <c r="D77" s="21">
        <f t="shared" si="11"/>
        <v>2</v>
      </c>
      <c r="E77" s="96">
        <f t="shared" si="13"/>
        <v>190.82499999999999</v>
      </c>
      <c r="F77" s="96">
        <f t="shared" si="13"/>
        <v>24.574999999999999</v>
      </c>
      <c r="G77" s="96">
        <f>G$71+(G$95-G$71)/($B$95-$B$71)*($B77-$B$71)</f>
        <v>125.8</v>
      </c>
      <c r="H77" s="96">
        <f t="shared" si="13"/>
        <v>38.549999999999997</v>
      </c>
      <c r="I77" s="96"/>
      <c r="J77" s="96"/>
      <c r="K77" s="96"/>
      <c r="L77" s="96"/>
      <c r="M77" s="96"/>
    </row>
    <row r="78" spans="1:13" outlineLevel="1" x14ac:dyDescent="0.25">
      <c r="B78" s="99">
        <f t="shared" si="9"/>
        <v>2028</v>
      </c>
      <c r="C78" s="21">
        <f t="shared" si="10"/>
        <v>7</v>
      </c>
      <c r="D78" s="21">
        <f t="shared" si="11"/>
        <v>3</v>
      </c>
      <c r="E78" s="96">
        <f t="shared" si="13"/>
        <v>192.09583333333333</v>
      </c>
      <c r="F78" s="96">
        <f t="shared" si="13"/>
        <v>24.970833333333331</v>
      </c>
      <c r="G78" s="96">
        <f t="shared" si="13"/>
        <v>127.35</v>
      </c>
      <c r="H78" s="96">
        <f t="shared" si="13"/>
        <v>39.908333333333331</v>
      </c>
      <c r="I78" s="96"/>
      <c r="J78" s="96"/>
      <c r="K78" s="96"/>
      <c r="L78" s="96"/>
      <c r="M78" s="96"/>
    </row>
    <row r="79" spans="1:13" outlineLevel="1" x14ac:dyDescent="0.25">
      <c r="B79" s="99">
        <f t="shared" si="9"/>
        <v>2029</v>
      </c>
      <c r="C79" s="21">
        <f t="shared" si="10"/>
        <v>8</v>
      </c>
      <c r="D79" s="21">
        <f t="shared" si="11"/>
        <v>4</v>
      </c>
      <c r="E79" s="96">
        <f t="shared" si="13"/>
        <v>193.36666666666665</v>
      </c>
      <c r="F79" s="96">
        <f t="shared" si="13"/>
        <v>25.366666666666667</v>
      </c>
      <c r="G79" s="96">
        <f t="shared" si="13"/>
        <v>128.9</v>
      </c>
      <c r="H79" s="96">
        <f t="shared" si="13"/>
        <v>41.266666666666666</v>
      </c>
      <c r="I79" s="96"/>
      <c r="J79" s="96"/>
      <c r="K79" s="96"/>
      <c r="L79" s="96"/>
      <c r="M79" s="96"/>
    </row>
    <row r="80" spans="1:13" outlineLevel="1" x14ac:dyDescent="0.25">
      <c r="B80" s="99">
        <f t="shared" si="9"/>
        <v>2030</v>
      </c>
      <c r="C80" s="21">
        <f t="shared" si="10"/>
        <v>9</v>
      </c>
      <c r="D80" s="21">
        <f t="shared" si="11"/>
        <v>5</v>
      </c>
      <c r="E80" s="96">
        <f t="shared" si="13"/>
        <v>194.63749999999999</v>
      </c>
      <c r="F80" s="96">
        <f t="shared" si="13"/>
        <v>25.762499999999999</v>
      </c>
      <c r="G80" s="96">
        <f t="shared" si="13"/>
        <v>130.44999999999999</v>
      </c>
      <c r="H80" s="96">
        <f t="shared" si="13"/>
        <v>42.625</v>
      </c>
      <c r="I80" s="96"/>
      <c r="J80" s="96"/>
      <c r="K80" s="96"/>
      <c r="L80" s="96"/>
      <c r="M80" s="96"/>
    </row>
    <row r="81" spans="2:13" outlineLevel="1" x14ac:dyDescent="0.25">
      <c r="B81" s="99">
        <f t="shared" si="9"/>
        <v>2031</v>
      </c>
      <c r="C81" s="21">
        <f t="shared" si="10"/>
        <v>10</v>
      </c>
      <c r="D81" s="21">
        <f t="shared" si="11"/>
        <v>6</v>
      </c>
      <c r="E81" s="96">
        <f t="shared" si="13"/>
        <v>195.90833333333333</v>
      </c>
      <c r="F81" s="96">
        <f t="shared" si="13"/>
        <v>26.158333333333331</v>
      </c>
      <c r="G81" s="96">
        <f t="shared" si="13"/>
        <v>132</v>
      </c>
      <c r="H81" s="96">
        <f t="shared" si="13"/>
        <v>43.983333333333334</v>
      </c>
      <c r="I81" s="96"/>
      <c r="J81" s="96"/>
      <c r="K81" s="96"/>
      <c r="L81" s="96"/>
      <c r="M81" s="96"/>
    </row>
    <row r="82" spans="2:13" outlineLevel="1" x14ac:dyDescent="0.25">
      <c r="B82" s="99">
        <f t="shared" si="9"/>
        <v>2032</v>
      </c>
      <c r="C82" s="21">
        <f t="shared" si="10"/>
        <v>11</v>
      </c>
      <c r="D82" s="21">
        <f t="shared" si="11"/>
        <v>7</v>
      </c>
      <c r="E82" s="96">
        <f t="shared" si="13"/>
        <v>197.17916666666665</v>
      </c>
      <c r="F82" s="96">
        <f t="shared" si="13"/>
        <v>26.554166666666667</v>
      </c>
      <c r="G82" s="96">
        <f t="shared" si="13"/>
        <v>133.55000000000001</v>
      </c>
      <c r="H82" s="96">
        <f t="shared" si="13"/>
        <v>45.341666666666669</v>
      </c>
      <c r="I82" s="96"/>
      <c r="J82" s="96"/>
      <c r="K82" s="96"/>
      <c r="L82" s="96"/>
      <c r="M82" s="96"/>
    </row>
    <row r="83" spans="2:13" outlineLevel="1" x14ac:dyDescent="0.25">
      <c r="B83" s="99">
        <f t="shared" si="9"/>
        <v>2033</v>
      </c>
      <c r="C83" s="21">
        <f t="shared" si="10"/>
        <v>12</v>
      </c>
      <c r="D83" s="21">
        <f t="shared" si="11"/>
        <v>8</v>
      </c>
      <c r="E83" s="96">
        <f t="shared" si="13"/>
        <v>198.45</v>
      </c>
      <c r="F83" s="96">
        <f t="shared" si="13"/>
        <v>26.95</v>
      </c>
      <c r="G83" s="96">
        <f t="shared" si="13"/>
        <v>135.1</v>
      </c>
      <c r="H83" s="96">
        <f t="shared" si="13"/>
        <v>46.7</v>
      </c>
      <c r="I83" s="96"/>
      <c r="J83" s="96"/>
      <c r="K83" s="96"/>
      <c r="L83" s="96"/>
      <c r="M83" s="96"/>
    </row>
    <row r="84" spans="2:13" outlineLevel="1" x14ac:dyDescent="0.25">
      <c r="B84" s="99">
        <f t="shared" si="9"/>
        <v>2034</v>
      </c>
      <c r="C84" s="21">
        <f t="shared" si="10"/>
        <v>13</v>
      </c>
      <c r="D84" s="21">
        <f t="shared" si="11"/>
        <v>9</v>
      </c>
      <c r="E84" s="96">
        <f t="shared" si="13"/>
        <v>199.72083333333333</v>
      </c>
      <c r="F84" s="96">
        <f t="shared" si="13"/>
        <v>27.345833333333331</v>
      </c>
      <c r="G84" s="96">
        <f t="shared" si="13"/>
        <v>136.65</v>
      </c>
      <c r="H84" s="96">
        <f t="shared" si="13"/>
        <v>48.058333333333337</v>
      </c>
      <c r="I84" s="96"/>
      <c r="J84" s="96"/>
      <c r="K84" s="96"/>
      <c r="L84" s="96"/>
      <c r="M84" s="96"/>
    </row>
    <row r="85" spans="2:13" outlineLevel="1" x14ac:dyDescent="0.25">
      <c r="B85" s="99">
        <f t="shared" si="9"/>
        <v>2035</v>
      </c>
      <c r="C85" s="21">
        <f t="shared" si="10"/>
        <v>14</v>
      </c>
      <c r="D85" s="21">
        <f t="shared" si="11"/>
        <v>10</v>
      </c>
      <c r="E85" s="96">
        <f t="shared" si="13"/>
        <v>200.99166666666665</v>
      </c>
      <c r="F85" s="96">
        <f t="shared" si="13"/>
        <v>27.741666666666667</v>
      </c>
      <c r="G85" s="96">
        <f t="shared" si="13"/>
        <v>138.19999999999999</v>
      </c>
      <c r="H85" s="96">
        <f t="shared" si="13"/>
        <v>49.416666666666664</v>
      </c>
      <c r="I85" s="96"/>
      <c r="J85" s="96"/>
      <c r="K85" s="96"/>
      <c r="L85" s="96"/>
      <c r="M85" s="96"/>
    </row>
    <row r="86" spans="2:13" outlineLevel="1" x14ac:dyDescent="0.25">
      <c r="B86" s="99">
        <f t="shared" si="9"/>
        <v>2036</v>
      </c>
      <c r="C86" s="21">
        <f t="shared" si="10"/>
        <v>15</v>
      </c>
      <c r="D86" s="21">
        <f t="shared" si="11"/>
        <v>11</v>
      </c>
      <c r="E86" s="96">
        <f t="shared" si="13"/>
        <v>202.26249999999999</v>
      </c>
      <c r="F86" s="96">
        <f t="shared" si="13"/>
        <v>28.137499999999999</v>
      </c>
      <c r="G86" s="96">
        <f t="shared" si="13"/>
        <v>139.75</v>
      </c>
      <c r="H86" s="96">
        <f t="shared" si="13"/>
        <v>50.774999999999999</v>
      </c>
      <c r="I86" s="96"/>
      <c r="J86" s="96"/>
      <c r="K86" s="96"/>
      <c r="L86" s="96"/>
      <c r="M86" s="96"/>
    </row>
    <row r="87" spans="2:13" outlineLevel="1" x14ac:dyDescent="0.25">
      <c r="B87" s="99">
        <f t="shared" si="9"/>
        <v>2037</v>
      </c>
      <c r="C87" s="21">
        <f t="shared" si="10"/>
        <v>16</v>
      </c>
      <c r="D87" s="21">
        <f t="shared" si="11"/>
        <v>12</v>
      </c>
      <c r="E87" s="96">
        <f t="shared" si="13"/>
        <v>203.53333333333333</v>
      </c>
      <c r="F87" s="96">
        <f t="shared" si="13"/>
        <v>28.533333333333331</v>
      </c>
      <c r="G87" s="96">
        <f t="shared" si="13"/>
        <v>141.29999999999998</v>
      </c>
      <c r="H87" s="96">
        <f t="shared" si="13"/>
        <v>52.133333333333333</v>
      </c>
      <c r="I87" s="96"/>
      <c r="J87" s="96"/>
      <c r="K87" s="96"/>
      <c r="L87" s="96"/>
      <c r="M87" s="96"/>
    </row>
    <row r="88" spans="2:13" outlineLevel="1" x14ac:dyDescent="0.25">
      <c r="B88" s="99">
        <f t="shared" si="9"/>
        <v>2038</v>
      </c>
      <c r="C88" s="21">
        <f t="shared" si="10"/>
        <v>17</v>
      </c>
      <c r="D88" s="21">
        <f t="shared" si="11"/>
        <v>13</v>
      </c>
      <c r="E88" s="96">
        <f t="shared" si="13"/>
        <v>204.80416666666665</v>
      </c>
      <c r="F88" s="96">
        <f t="shared" si="13"/>
        <v>28.929166666666667</v>
      </c>
      <c r="G88" s="96">
        <f t="shared" si="13"/>
        <v>142.85</v>
      </c>
      <c r="H88" s="96">
        <f t="shared" si="13"/>
        <v>53.491666666666667</v>
      </c>
      <c r="I88" s="96"/>
      <c r="J88" s="96"/>
      <c r="K88" s="96"/>
      <c r="L88" s="96"/>
      <c r="M88" s="96"/>
    </row>
    <row r="89" spans="2:13" outlineLevel="1" x14ac:dyDescent="0.25">
      <c r="B89" s="99">
        <f t="shared" si="9"/>
        <v>2039</v>
      </c>
      <c r="C89" s="21">
        <f t="shared" si="10"/>
        <v>18</v>
      </c>
      <c r="D89" s="21">
        <f t="shared" si="11"/>
        <v>14</v>
      </c>
      <c r="E89" s="96">
        <f t="shared" si="13"/>
        <v>206.07499999999999</v>
      </c>
      <c r="F89" s="96">
        <f t="shared" si="13"/>
        <v>29.324999999999999</v>
      </c>
      <c r="G89" s="96">
        <f t="shared" si="13"/>
        <v>144.39999999999998</v>
      </c>
      <c r="H89" s="96">
        <f t="shared" si="13"/>
        <v>54.85</v>
      </c>
      <c r="I89" s="96"/>
      <c r="J89" s="96"/>
      <c r="K89" s="96"/>
      <c r="L89" s="96"/>
      <c r="M89" s="96"/>
    </row>
    <row r="90" spans="2:13" outlineLevel="1" x14ac:dyDescent="0.25">
      <c r="B90" s="99">
        <f t="shared" si="9"/>
        <v>2040</v>
      </c>
      <c r="C90" s="21">
        <f t="shared" si="10"/>
        <v>19</v>
      </c>
      <c r="D90" s="21">
        <f t="shared" si="11"/>
        <v>15</v>
      </c>
      <c r="E90" s="96">
        <f t="shared" si="13"/>
        <v>207.34583333333333</v>
      </c>
      <c r="F90" s="96">
        <f t="shared" si="13"/>
        <v>29.720833333333331</v>
      </c>
      <c r="G90" s="96">
        <f t="shared" si="13"/>
        <v>145.94999999999999</v>
      </c>
      <c r="H90" s="96">
        <f t="shared" si="13"/>
        <v>56.208333333333329</v>
      </c>
      <c r="I90" s="96"/>
      <c r="J90" s="96"/>
      <c r="K90" s="96"/>
      <c r="L90" s="96"/>
      <c r="M90" s="96"/>
    </row>
    <row r="91" spans="2:13" outlineLevel="1" x14ac:dyDescent="0.25">
      <c r="B91" s="65">
        <f t="shared" si="9"/>
        <v>2041</v>
      </c>
      <c r="C91" s="21">
        <f t="shared" si="10"/>
        <v>20</v>
      </c>
      <c r="D91" s="21">
        <f t="shared" si="11"/>
        <v>16</v>
      </c>
      <c r="E91" s="96">
        <f t="shared" si="13"/>
        <v>208.61666666666665</v>
      </c>
      <c r="F91" s="96">
        <f t="shared" si="13"/>
        <v>30.116666666666667</v>
      </c>
      <c r="G91" s="96">
        <f t="shared" si="13"/>
        <v>147.5</v>
      </c>
      <c r="H91" s="96">
        <f t="shared" si="13"/>
        <v>57.566666666666663</v>
      </c>
      <c r="I91" s="96"/>
      <c r="J91" s="96"/>
      <c r="K91" s="96"/>
      <c r="L91" s="96"/>
      <c r="M91" s="96"/>
    </row>
    <row r="92" spans="2:13" outlineLevel="1" x14ac:dyDescent="0.25">
      <c r="B92" s="99">
        <f t="shared" si="9"/>
        <v>2042</v>
      </c>
      <c r="C92" s="21">
        <f t="shared" si="10"/>
        <v>21</v>
      </c>
      <c r="D92" s="21">
        <f t="shared" si="11"/>
        <v>17</v>
      </c>
      <c r="E92" s="96">
        <f t="shared" si="13"/>
        <v>209.88749999999999</v>
      </c>
      <c r="F92" s="96">
        <f t="shared" si="13"/>
        <v>30.512499999999999</v>
      </c>
      <c r="G92" s="96">
        <f t="shared" si="13"/>
        <v>149.04999999999998</v>
      </c>
      <c r="H92" s="96">
        <f t="shared" si="13"/>
        <v>58.924999999999997</v>
      </c>
      <c r="I92" s="96"/>
      <c r="J92" s="96"/>
      <c r="K92" s="96"/>
      <c r="L92" s="96"/>
      <c r="M92" s="96"/>
    </row>
    <row r="93" spans="2:13" outlineLevel="1" x14ac:dyDescent="0.25">
      <c r="B93" s="99">
        <f t="shared" si="9"/>
        <v>2043</v>
      </c>
      <c r="C93" s="21">
        <f t="shared" si="10"/>
        <v>22</v>
      </c>
      <c r="D93" s="21">
        <f t="shared" si="11"/>
        <v>18</v>
      </c>
      <c r="E93" s="96">
        <f t="shared" si="13"/>
        <v>211.15833333333333</v>
      </c>
      <c r="F93" s="96">
        <f t="shared" si="13"/>
        <v>30.908333333333331</v>
      </c>
      <c r="G93" s="96">
        <f t="shared" si="13"/>
        <v>150.6</v>
      </c>
      <c r="H93" s="96">
        <f t="shared" si="13"/>
        <v>60.283333333333331</v>
      </c>
      <c r="I93" s="96"/>
      <c r="J93" s="96"/>
      <c r="K93" s="96"/>
      <c r="L93" s="96"/>
      <c r="M93" s="96"/>
    </row>
    <row r="94" spans="2:13" outlineLevel="1" x14ac:dyDescent="0.25">
      <c r="B94" s="99">
        <f t="shared" si="9"/>
        <v>2044</v>
      </c>
      <c r="C94" s="21">
        <f t="shared" si="10"/>
        <v>23</v>
      </c>
      <c r="D94" s="21">
        <f t="shared" si="11"/>
        <v>19</v>
      </c>
      <c r="E94" s="96">
        <f t="shared" si="13"/>
        <v>212.42916666666665</v>
      </c>
      <c r="F94" s="96">
        <f t="shared" si="13"/>
        <v>31.304166666666667</v>
      </c>
      <c r="G94" s="96">
        <f t="shared" si="13"/>
        <v>152.14999999999998</v>
      </c>
      <c r="H94" s="96">
        <f t="shared" si="13"/>
        <v>61.641666666666666</v>
      </c>
      <c r="I94" s="96"/>
      <c r="J94" s="96"/>
      <c r="K94" s="96"/>
      <c r="L94" s="96"/>
      <c r="M94" s="96"/>
    </row>
    <row r="95" spans="2:13" outlineLevel="1" x14ac:dyDescent="0.25">
      <c r="B95" s="99">
        <f t="shared" si="9"/>
        <v>2045</v>
      </c>
      <c r="C95" s="21">
        <f t="shared" si="10"/>
        <v>24</v>
      </c>
      <c r="D95" s="21">
        <f t="shared" si="11"/>
        <v>20</v>
      </c>
      <c r="E95" s="552">
        <v>213.7</v>
      </c>
      <c r="F95" s="552">
        <v>31.7</v>
      </c>
      <c r="G95" s="552">
        <v>153.69999999999999</v>
      </c>
      <c r="H95" s="552">
        <v>63</v>
      </c>
      <c r="I95" s="336"/>
      <c r="J95" s="336"/>
      <c r="K95" s="95"/>
      <c r="L95" s="95"/>
      <c r="M95" s="119"/>
    </row>
    <row r="96" spans="2:13" outlineLevel="1" x14ac:dyDescent="0.25">
      <c r="B96" s="99">
        <f t="shared" si="9"/>
        <v>2046</v>
      </c>
      <c r="C96" s="21">
        <f t="shared" si="10"/>
        <v>25</v>
      </c>
      <c r="D96" s="21">
        <f t="shared" si="11"/>
        <v>21</v>
      </c>
      <c r="E96" s="96">
        <f>E$95+((E$95-E$94)*($B96-$B$95))</f>
        <v>214.97083333333333</v>
      </c>
      <c r="F96" s="96">
        <f t="shared" ref="F96" si="14">F$95+((F$95-F$94)*($B96-$B$95))</f>
        <v>32.095833333333331</v>
      </c>
      <c r="G96" s="96">
        <f>G$95+((G$95-G$94)*($B96-$B$95))</f>
        <v>155.25</v>
      </c>
      <c r="H96" s="96">
        <f>H$95+((H$95-H$94)*($B96-$B$95))</f>
        <v>64.358333333333334</v>
      </c>
      <c r="I96" s="96"/>
      <c r="J96" s="96"/>
      <c r="K96" s="96"/>
      <c r="L96" s="96"/>
      <c r="M96" s="96"/>
    </row>
    <row r="97" spans="1:13" outlineLevel="1" x14ac:dyDescent="0.25">
      <c r="B97" s="99">
        <f t="shared" si="9"/>
        <v>2047</v>
      </c>
      <c r="C97" s="21">
        <f t="shared" si="10"/>
        <v>26</v>
      </c>
      <c r="D97" s="21">
        <f t="shared" si="11"/>
        <v>22</v>
      </c>
      <c r="E97" s="96">
        <f t="shared" ref="E97:H102" si="15">E$95+((E$95-E$94)*($B97-$B$95))</f>
        <v>216.24166666666667</v>
      </c>
      <c r="F97" s="96">
        <f t="shared" si="15"/>
        <v>32.49166666666666</v>
      </c>
      <c r="G97" s="96">
        <f>G$95+((G$95-G$94)*($B97-$B$95))</f>
        <v>156.80000000000001</v>
      </c>
      <c r="H97" s="96">
        <f>H$95+((H$95-H$94)*($B97-$B$95))</f>
        <v>65.716666666666669</v>
      </c>
      <c r="I97" s="96"/>
      <c r="J97" s="96"/>
      <c r="K97" s="96"/>
      <c r="L97" s="96"/>
      <c r="M97" s="96"/>
    </row>
    <row r="98" spans="1:13" outlineLevel="1" x14ac:dyDescent="0.25">
      <c r="B98" s="99">
        <f t="shared" si="9"/>
        <v>2048</v>
      </c>
      <c r="C98" s="21">
        <f t="shared" si="10"/>
        <v>27</v>
      </c>
      <c r="D98" s="21">
        <f t="shared" si="11"/>
        <v>23</v>
      </c>
      <c r="E98" s="96">
        <f t="shared" si="15"/>
        <v>217.51250000000002</v>
      </c>
      <c r="F98" s="96">
        <f t="shared" si="15"/>
        <v>32.887499999999996</v>
      </c>
      <c r="G98" s="96">
        <f>G$95+((G$95-G$94)*($B98-$B$95))</f>
        <v>158.35000000000002</v>
      </c>
      <c r="H98" s="96">
        <f t="shared" si="15"/>
        <v>67.075000000000003</v>
      </c>
      <c r="I98" s="96"/>
      <c r="J98" s="96"/>
      <c r="K98" s="96"/>
      <c r="L98" s="96"/>
      <c r="M98" s="96"/>
    </row>
    <row r="99" spans="1:13" outlineLevel="1" x14ac:dyDescent="0.25">
      <c r="B99" s="99">
        <f t="shared" si="9"/>
        <v>2049</v>
      </c>
      <c r="C99" s="21">
        <f t="shared" si="10"/>
        <v>28</v>
      </c>
      <c r="D99" s="21">
        <f t="shared" si="11"/>
        <v>24</v>
      </c>
      <c r="E99" s="96">
        <f t="shared" si="15"/>
        <v>218.78333333333336</v>
      </c>
      <c r="F99" s="96">
        <f t="shared" si="15"/>
        <v>33.283333333333331</v>
      </c>
      <c r="G99" s="96">
        <f>G$95+((G$95-G$94)*($B99-$B$95))</f>
        <v>159.90000000000003</v>
      </c>
      <c r="H99" s="96">
        <f>H$95+((H$95-H$94)*($B99-$B$95))</f>
        <v>68.433333333333337</v>
      </c>
      <c r="I99" s="96"/>
      <c r="J99" s="96"/>
      <c r="K99" s="96"/>
      <c r="L99" s="96"/>
      <c r="M99" s="96"/>
    </row>
    <row r="100" spans="1:13" outlineLevel="1" x14ac:dyDescent="0.25">
      <c r="B100" s="99">
        <f t="shared" si="9"/>
        <v>2050</v>
      </c>
      <c r="C100" s="21">
        <f t="shared" si="10"/>
        <v>29</v>
      </c>
      <c r="D100" s="21">
        <f t="shared" si="11"/>
        <v>25</v>
      </c>
      <c r="E100" s="96">
        <f t="shared" si="15"/>
        <v>220.0541666666667</v>
      </c>
      <c r="F100" s="96">
        <f t="shared" si="15"/>
        <v>33.67916666666666</v>
      </c>
      <c r="G100" s="96">
        <f>G$95+((G$95-G$94)*($B100-$B$95))</f>
        <v>161.45000000000005</v>
      </c>
      <c r="H100" s="96">
        <f>H$95+((H$95-H$94)*($B100-$B$95))</f>
        <v>69.791666666666671</v>
      </c>
      <c r="I100" s="96"/>
      <c r="J100" s="96"/>
      <c r="K100" s="96"/>
      <c r="L100" s="96"/>
      <c r="M100" s="96"/>
    </row>
    <row r="101" spans="1:13" outlineLevel="1" x14ac:dyDescent="0.25">
      <c r="B101" s="99">
        <f t="shared" si="9"/>
        <v>2051</v>
      </c>
      <c r="C101" s="21">
        <f t="shared" si="10"/>
        <v>30</v>
      </c>
      <c r="D101" s="21">
        <f t="shared" si="11"/>
        <v>26</v>
      </c>
      <c r="E101" s="96">
        <f t="shared" si="15"/>
        <v>221.32500000000005</v>
      </c>
      <c r="F101" s="96">
        <f t="shared" si="15"/>
        <v>34.074999999999989</v>
      </c>
      <c r="G101" s="96">
        <f>G$95+((G$95-G$94)*($B101-$B$95))</f>
        <v>163.00000000000006</v>
      </c>
      <c r="H101" s="96">
        <f>H$95+((H$95-H$94)*($B101-$B$95))</f>
        <v>71.150000000000006</v>
      </c>
      <c r="I101" s="96"/>
      <c r="J101" s="96"/>
      <c r="K101" s="96"/>
      <c r="L101" s="96"/>
      <c r="M101" s="96"/>
    </row>
    <row r="102" spans="1:13" outlineLevel="1" x14ac:dyDescent="0.25">
      <c r="B102" s="99">
        <f t="shared" si="9"/>
        <v>2052</v>
      </c>
      <c r="C102" s="21">
        <f t="shared" si="10"/>
        <v>31</v>
      </c>
      <c r="D102" s="21">
        <f t="shared" si="11"/>
        <v>27</v>
      </c>
      <c r="E102" s="96">
        <f t="shared" si="15"/>
        <v>222.59583333333339</v>
      </c>
      <c r="F102" s="96">
        <f t="shared" si="15"/>
        <v>34.470833333333324</v>
      </c>
      <c r="G102" s="96">
        <f>G$95+((G$95-G$94)*($B102-$B$95))</f>
        <v>164.55000000000007</v>
      </c>
      <c r="H102" s="96">
        <f>H$95+((H$95-H$94)*($B102-$B$95))</f>
        <v>72.50833333333334</v>
      </c>
      <c r="I102" s="96"/>
      <c r="J102" s="96"/>
      <c r="K102" s="96"/>
      <c r="L102" s="96"/>
      <c r="M102" s="96"/>
    </row>
    <row r="104" spans="1:13" x14ac:dyDescent="0.25">
      <c r="A104" s="117" t="s">
        <v>41</v>
      </c>
      <c r="B104" s="118"/>
      <c r="C104" s="118"/>
      <c r="D104" s="118"/>
      <c r="E104" s="660" t="s">
        <v>265</v>
      </c>
      <c r="F104" s="660"/>
      <c r="G104" s="660"/>
      <c r="H104" s="660"/>
      <c r="I104" s="660"/>
      <c r="J104" s="660"/>
      <c r="K104" s="660"/>
      <c r="L104" s="660"/>
      <c r="M104" s="11"/>
    </row>
    <row r="105" spans="1:13" x14ac:dyDescent="0.25">
      <c r="A105" s="101"/>
      <c r="B105" s="101"/>
      <c r="C105" s="101"/>
      <c r="D105" s="101"/>
      <c r="E105" s="659" t="s">
        <v>262</v>
      </c>
      <c r="F105" s="659"/>
      <c r="G105" s="659"/>
      <c r="H105" s="659"/>
      <c r="I105" s="659"/>
      <c r="J105" s="659"/>
      <c r="K105" s="659"/>
      <c r="L105" s="659"/>
      <c r="M105" s="6"/>
    </row>
    <row r="106" spans="1:13" x14ac:dyDescent="0.25">
      <c r="B106" s="45" t="s">
        <v>36</v>
      </c>
      <c r="C106" s="45" t="s">
        <v>37</v>
      </c>
      <c r="D106" s="45" t="s">
        <v>38</v>
      </c>
      <c r="E106" s="45" t="s">
        <v>39</v>
      </c>
      <c r="F106" s="45" t="s">
        <v>40</v>
      </c>
      <c r="G106" s="45"/>
      <c r="H106" s="45"/>
      <c r="I106" s="45"/>
      <c r="J106" s="45"/>
      <c r="K106" s="45"/>
      <c r="L106" s="45"/>
      <c r="M106" s="115"/>
    </row>
    <row r="107" spans="1:13" ht="19.149999999999999" customHeight="1" x14ac:dyDescent="0.25">
      <c r="B107" s="334">
        <v>2021</v>
      </c>
      <c r="C107" s="59">
        <v>0</v>
      </c>
      <c r="D107" s="59">
        <v>0</v>
      </c>
      <c r="E107" s="335">
        <f>G35/$C$30</f>
        <v>3596000</v>
      </c>
      <c r="F107" s="335">
        <f t="shared" ref="F107:F138" si="16">H35/$C$30</f>
        <v>3596000</v>
      </c>
      <c r="G107" s="335"/>
      <c r="H107" s="335"/>
      <c r="I107" s="335"/>
      <c r="J107" s="335"/>
      <c r="K107" s="95"/>
      <c r="L107" s="95"/>
      <c r="M107" s="334"/>
    </row>
    <row r="108" spans="1:13" x14ac:dyDescent="0.25">
      <c r="B108" s="99">
        <f t="shared" ref="B108:B138" si="17">B107+1</f>
        <v>2022</v>
      </c>
      <c r="C108" s="21">
        <f t="shared" ref="C108:C138" si="18">_xlfn.IFS(B108&lt;ProjStartYr,0,B108=ProjStartYr,1,B108&gt;ProjStartYr,C107+1)</f>
        <v>1</v>
      </c>
      <c r="D108" s="21">
        <f t="shared" ref="D108:D138" si="19">_xlfn.IFS(B108&lt;BenefitStart,0,B108=BenefitStart,1,B108&gt;BenefitStart,D107+1)</f>
        <v>0</v>
      </c>
      <c r="E108" s="96">
        <f>G36/$C$30</f>
        <v>3613641.666666667</v>
      </c>
      <c r="F108" s="96">
        <f t="shared" si="16"/>
        <v>3613641.666666667</v>
      </c>
      <c r="G108" s="96"/>
      <c r="H108" s="96"/>
      <c r="I108" s="96"/>
      <c r="J108" s="96"/>
      <c r="K108" s="96"/>
      <c r="L108" s="96"/>
      <c r="M108" s="96"/>
    </row>
    <row r="109" spans="1:13" x14ac:dyDescent="0.25">
      <c r="B109" s="99">
        <f t="shared" si="17"/>
        <v>2023</v>
      </c>
      <c r="C109" s="21">
        <f t="shared" si="18"/>
        <v>2</v>
      </c>
      <c r="D109" s="21">
        <f t="shared" si="19"/>
        <v>0</v>
      </c>
      <c r="E109" s="96">
        <f>G37/$C$30</f>
        <v>3631283.3333333335</v>
      </c>
      <c r="F109" s="96">
        <f t="shared" si="16"/>
        <v>3631283.3333333335</v>
      </c>
      <c r="G109" s="96"/>
      <c r="H109" s="96"/>
      <c r="I109" s="96"/>
      <c r="J109" s="96"/>
      <c r="K109" s="96"/>
      <c r="L109" s="96"/>
      <c r="M109" s="96"/>
    </row>
    <row r="110" spans="1:13" x14ac:dyDescent="0.25">
      <c r="B110" s="99">
        <f t="shared" si="17"/>
        <v>2024</v>
      </c>
      <c r="C110" s="21">
        <f t="shared" si="18"/>
        <v>3</v>
      </c>
      <c r="D110" s="21">
        <f t="shared" si="19"/>
        <v>0</v>
      </c>
      <c r="E110" s="96">
        <f>G38/$C$30</f>
        <v>3648925</v>
      </c>
      <c r="F110" s="96">
        <f t="shared" si="16"/>
        <v>3648925</v>
      </c>
      <c r="G110" s="96"/>
      <c r="H110" s="96"/>
      <c r="I110" s="96"/>
      <c r="J110" s="96"/>
      <c r="K110" s="96"/>
      <c r="L110" s="96"/>
      <c r="M110" s="96"/>
    </row>
    <row r="111" spans="1:13" x14ac:dyDescent="0.25">
      <c r="B111" s="99">
        <f t="shared" si="17"/>
        <v>2025</v>
      </c>
      <c r="C111" s="21">
        <f t="shared" si="18"/>
        <v>4</v>
      </c>
      <c r="D111" s="21">
        <f t="shared" si="19"/>
        <v>0</v>
      </c>
      <c r="E111" s="96">
        <f>G39/$C$30</f>
        <v>3666566.666666667</v>
      </c>
      <c r="F111" s="96">
        <f t="shared" si="16"/>
        <v>3666566.666666667</v>
      </c>
      <c r="G111" s="96"/>
      <c r="H111" s="96"/>
      <c r="I111" s="96"/>
      <c r="J111" s="96"/>
      <c r="K111" s="96"/>
      <c r="L111" s="96"/>
      <c r="M111" s="96"/>
    </row>
    <row r="112" spans="1:13" x14ac:dyDescent="0.25">
      <c r="B112" s="99">
        <f t="shared" si="17"/>
        <v>2026</v>
      </c>
      <c r="C112" s="21">
        <f t="shared" si="18"/>
        <v>5</v>
      </c>
      <c r="D112" s="21">
        <f t="shared" si="19"/>
        <v>1</v>
      </c>
      <c r="E112" s="96">
        <f t="shared" ref="E112:E138" si="20">G40/$C$30</f>
        <v>3684208.3333333335</v>
      </c>
      <c r="F112" s="96">
        <f t="shared" si="16"/>
        <v>3684208.3333333335</v>
      </c>
      <c r="G112" s="96"/>
      <c r="H112" s="96"/>
      <c r="I112" s="96"/>
      <c r="J112" s="96"/>
      <c r="K112" s="96"/>
      <c r="L112" s="96"/>
      <c r="M112" s="96"/>
    </row>
    <row r="113" spans="2:13" x14ac:dyDescent="0.25">
      <c r="B113" s="99">
        <f t="shared" si="17"/>
        <v>2027</v>
      </c>
      <c r="C113" s="21">
        <f t="shared" si="18"/>
        <v>6</v>
      </c>
      <c r="D113" s="21">
        <f t="shared" si="19"/>
        <v>2</v>
      </c>
      <c r="E113" s="96">
        <f t="shared" si="20"/>
        <v>3701850</v>
      </c>
      <c r="F113" s="96">
        <f t="shared" si="16"/>
        <v>3701850</v>
      </c>
      <c r="G113" s="96"/>
      <c r="H113" s="96"/>
      <c r="I113" s="96"/>
      <c r="J113" s="96"/>
      <c r="K113" s="96"/>
      <c r="L113" s="96"/>
      <c r="M113" s="96"/>
    </row>
    <row r="114" spans="2:13" x14ac:dyDescent="0.25">
      <c r="B114" s="99">
        <f t="shared" si="17"/>
        <v>2028</v>
      </c>
      <c r="C114" s="21">
        <f t="shared" si="18"/>
        <v>7</v>
      </c>
      <c r="D114" s="21">
        <f t="shared" si="19"/>
        <v>3</v>
      </c>
      <c r="E114" s="96">
        <f t="shared" si="20"/>
        <v>3719491.666666667</v>
      </c>
      <c r="F114" s="96">
        <f t="shared" si="16"/>
        <v>3719491.666666667</v>
      </c>
      <c r="G114" s="96"/>
      <c r="H114" s="96"/>
      <c r="I114" s="96"/>
      <c r="J114" s="96"/>
      <c r="K114" s="96"/>
      <c r="L114" s="96"/>
      <c r="M114" s="96"/>
    </row>
    <row r="115" spans="2:13" x14ac:dyDescent="0.25">
      <c r="B115" s="99">
        <f t="shared" si="17"/>
        <v>2029</v>
      </c>
      <c r="C115" s="21">
        <f t="shared" si="18"/>
        <v>8</v>
      </c>
      <c r="D115" s="21">
        <f t="shared" si="19"/>
        <v>4</v>
      </c>
      <c r="E115" s="96">
        <f t="shared" si="20"/>
        <v>3737133.3333333335</v>
      </c>
      <c r="F115" s="96">
        <f t="shared" si="16"/>
        <v>3737133.3333333335</v>
      </c>
      <c r="G115" s="96"/>
      <c r="H115" s="96"/>
      <c r="I115" s="96"/>
      <c r="J115" s="96"/>
      <c r="K115" s="96"/>
      <c r="L115" s="96"/>
      <c r="M115" s="96"/>
    </row>
    <row r="116" spans="2:13" x14ac:dyDescent="0.25">
      <c r="B116" s="99">
        <f t="shared" si="17"/>
        <v>2030</v>
      </c>
      <c r="C116" s="21">
        <f t="shared" si="18"/>
        <v>9</v>
      </c>
      <c r="D116" s="21">
        <f t="shared" si="19"/>
        <v>5</v>
      </c>
      <c r="E116" s="96">
        <f t="shared" si="20"/>
        <v>3754775</v>
      </c>
      <c r="F116" s="96">
        <f t="shared" si="16"/>
        <v>3754775</v>
      </c>
      <c r="G116" s="96"/>
      <c r="H116" s="96"/>
      <c r="I116" s="96"/>
      <c r="J116" s="96"/>
      <c r="K116" s="96"/>
      <c r="L116" s="96"/>
      <c r="M116" s="96"/>
    </row>
    <row r="117" spans="2:13" x14ac:dyDescent="0.25">
      <c r="B117" s="99">
        <f t="shared" si="17"/>
        <v>2031</v>
      </c>
      <c r="C117" s="21">
        <f t="shared" si="18"/>
        <v>10</v>
      </c>
      <c r="D117" s="21">
        <f t="shared" si="19"/>
        <v>6</v>
      </c>
      <c r="E117" s="96">
        <f t="shared" si="20"/>
        <v>3772416.666666667</v>
      </c>
      <c r="F117" s="96">
        <f t="shared" si="16"/>
        <v>3772416.666666667</v>
      </c>
      <c r="G117" s="96"/>
      <c r="H117" s="96"/>
      <c r="I117" s="96"/>
      <c r="J117" s="96"/>
      <c r="K117" s="96"/>
      <c r="L117" s="96"/>
      <c r="M117" s="96"/>
    </row>
    <row r="118" spans="2:13" x14ac:dyDescent="0.25">
      <c r="B118" s="99">
        <f t="shared" si="17"/>
        <v>2032</v>
      </c>
      <c r="C118" s="21">
        <f t="shared" si="18"/>
        <v>11</v>
      </c>
      <c r="D118" s="21">
        <f t="shared" si="19"/>
        <v>7</v>
      </c>
      <c r="E118" s="96">
        <f t="shared" si="20"/>
        <v>3790058.3333333335</v>
      </c>
      <c r="F118" s="96">
        <f t="shared" si="16"/>
        <v>3790058.3333333335</v>
      </c>
      <c r="G118" s="96"/>
      <c r="H118" s="96"/>
      <c r="I118" s="96"/>
      <c r="J118" s="96"/>
      <c r="K118" s="96"/>
      <c r="L118" s="96"/>
      <c r="M118" s="96"/>
    </row>
    <row r="119" spans="2:13" x14ac:dyDescent="0.25">
      <c r="B119" s="99">
        <f t="shared" si="17"/>
        <v>2033</v>
      </c>
      <c r="C119" s="21">
        <f t="shared" si="18"/>
        <v>12</v>
      </c>
      <c r="D119" s="21">
        <f t="shared" si="19"/>
        <v>8</v>
      </c>
      <c r="E119" s="96">
        <f t="shared" si="20"/>
        <v>3807700</v>
      </c>
      <c r="F119" s="96">
        <f t="shared" si="16"/>
        <v>3807700</v>
      </c>
      <c r="G119" s="96"/>
      <c r="H119" s="96"/>
      <c r="I119" s="96"/>
      <c r="J119" s="96"/>
      <c r="K119" s="96"/>
      <c r="L119" s="96"/>
      <c r="M119" s="96"/>
    </row>
    <row r="120" spans="2:13" x14ac:dyDescent="0.25">
      <c r="B120" s="99">
        <f t="shared" si="17"/>
        <v>2034</v>
      </c>
      <c r="C120" s="21">
        <f t="shared" si="18"/>
        <v>13</v>
      </c>
      <c r="D120" s="21">
        <f t="shared" si="19"/>
        <v>9</v>
      </c>
      <c r="E120" s="96">
        <f t="shared" si="20"/>
        <v>3825341.666666667</v>
      </c>
      <c r="F120" s="96">
        <f t="shared" si="16"/>
        <v>3825341.666666667</v>
      </c>
      <c r="G120" s="96"/>
      <c r="H120" s="96"/>
      <c r="I120" s="96"/>
      <c r="J120" s="96"/>
      <c r="K120" s="96"/>
      <c r="L120" s="96"/>
      <c r="M120" s="96"/>
    </row>
    <row r="121" spans="2:13" x14ac:dyDescent="0.25">
      <c r="B121" s="99">
        <f t="shared" si="17"/>
        <v>2035</v>
      </c>
      <c r="C121" s="21">
        <f t="shared" si="18"/>
        <v>14</v>
      </c>
      <c r="D121" s="21">
        <f t="shared" si="19"/>
        <v>10</v>
      </c>
      <c r="E121" s="96">
        <f t="shared" si="20"/>
        <v>3842983.3333333335</v>
      </c>
      <c r="F121" s="96">
        <f t="shared" si="16"/>
        <v>3842983.3333333335</v>
      </c>
      <c r="G121" s="96"/>
      <c r="H121" s="96"/>
      <c r="I121" s="96"/>
      <c r="J121" s="96"/>
      <c r="K121" s="96"/>
      <c r="L121" s="96"/>
      <c r="M121" s="96"/>
    </row>
    <row r="122" spans="2:13" x14ac:dyDescent="0.25">
      <c r="B122" s="99">
        <f t="shared" si="17"/>
        <v>2036</v>
      </c>
      <c r="C122" s="21">
        <f t="shared" si="18"/>
        <v>15</v>
      </c>
      <c r="D122" s="21">
        <f t="shared" si="19"/>
        <v>11</v>
      </c>
      <c r="E122" s="96">
        <f t="shared" si="20"/>
        <v>3860625</v>
      </c>
      <c r="F122" s="96">
        <f t="shared" si="16"/>
        <v>3860625</v>
      </c>
      <c r="G122" s="96"/>
      <c r="H122" s="96"/>
      <c r="I122" s="96"/>
      <c r="J122" s="96"/>
      <c r="K122" s="96"/>
      <c r="L122" s="96"/>
      <c r="M122" s="96"/>
    </row>
    <row r="123" spans="2:13" x14ac:dyDescent="0.25">
      <c r="B123" s="99">
        <f t="shared" si="17"/>
        <v>2037</v>
      </c>
      <c r="C123" s="21">
        <f t="shared" si="18"/>
        <v>16</v>
      </c>
      <c r="D123" s="21">
        <f t="shared" si="19"/>
        <v>12</v>
      </c>
      <c r="E123" s="96">
        <f t="shared" si="20"/>
        <v>3878266.666666667</v>
      </c>
      <c r="F123" s="96">
        <f t="shared" si="16"/>
        <v>3878266.666666667</v>
      </c>
      <c r="G123" s="96"/>
      <c r="H123" s="96"/>
      <c r="I123" s="96"/>
      <c r="J123" s="96"/>
      <c r="K123" s="96"/>
      <c r="L123" s="96"/>
      <c r="M123" s="96"/>
    </row>
    <row r="124" spans="2:13" x14ac:dyDescent="0.25">
      <c r="B124" s="99">
        <f t="shared" si="17"/>
        <v>2038</v>
      </c>
      <c r="C124" s="21">
        <f t="shared" si="18"/>
        <v>17</v>
      </c>
      <c r="D124" s="21">
        <f t="shared" si="19"/>
        <v>13</v>
      </c>
      <c r="E124" s="96">
        <f t="shared" si="20"/>
        <v>3895908.3333333335</v>
      </c>
      <c r="F124" s="96">
        <f t="shared" si="16"/>
        <v>3895908.3333333335</v>
      </c>
      <c r="G124" s="96"/>
      <c r="H124" s="96"/>
      <c r="I124" s="96"/>
      <c r="J124" s="96"/>
      <c r="K124" s="96"/>
      <c r="L124" s="96"/>
      <c r="M124" s="96"/>
    </row>
    <row r="125" spans="2:13" x14ac:dyDescent="0.25">
      <c r="B125" s="99">
        <f t="shared" si="17"/>
        <v>2039</v>
      </c>
      <c r="C125" s="21">
        <f t="shared" si="18"/>
        <v>18</v>
      </c>
      <c r="D125" s="21">
        <f t="shared" si="19"/>
        <v>14</v>
      </c>
      <c r="E125" s="96">
        <f t="shared" si="20"/>
        <v>3913550</v>
      </c>
      <c r="F125" s="96">
        <f t="shared" si="16"/>
        <v>3913550</v>
      </c>
      <c r="G125" s="96"/>
      <c r="H125" s="96"/>
      <c r="I125" s="96"/>
      <c r="J125" s="96"/>
      <c r="K125" s="96"/>
      <c r="L125" s="96"/>
      <c r="M125" s="96"/>
    </row>
    <row r="126" spans="2:13" x14ac:dyDescent="0.25">
      <c r="B126" s="99">
        <f t="shared" si="17"/>
        <v>2040</v>
      </c>
      <c r="C126" s="21">
        <f t="shared" si="18"/>
        <v>19</v>
      </c>
      <c r="D126" s="21">
        <f t="shared" si="19"/>
        <v>15</v>
      </c>
      <c r="E126" s="96">
        <f t="shared" si="20"/>
        <v>3931191.666666667</v>
      </c>
      <c r="F126" s="96">
        <f t="shared" si="16"/>
        <v>3931191.666666667</v>
      </c>
      <c r="G126" s="96"/>
      <c r="H126" s="96"/>
      <c r="I126" s="96"/>
      <c r="J126" s="96"/>
      <c r="K126" s="96"/>
      <c r="L126" s="96"/>
      <c r="M126" s="96"/>
    </row>
    <row r="127" spans="2:13" x14ac:dyDescent="0.25">
      <c r="B127" s="65">
        <f t="shared" si="17"/>
        <v>2041</v>
      </c>
      <c r="C127" s="21">
        <f t="shared" si="18"/>
        <v>20</v>
      </c>
      <c r="D127" s="21">
        <f t="shared" si="19"/>
        <v>16</v>
      </c>
      <c r="E127" s="96">
        <f t="shared" si="20"/>
        <v>3948833.3333333335</v>
      </c>
      <c r="F127" s="96">
        <f t="shared" si="16"/>
        <v>3948833.3333333335</v>
      </c>
      <c r="G127" s="96"/>
      <c r="H127" s="96"/>
      <c r="I127" s="96"/>
      <c r="J127" s="96"/>
      <c r="K127" s="96"/>
      <c r="L127" s="96"/>
      <c r="M127" s="96"/>
    </row>
    <row r="128" spans="2:13" x14ac:dyDescent="0.25">
      <c r="B128" s="99">
        <f t="shared" si="17"/>
        <v>2042</v>
      </c>
      <c r="C128" s="21">
        <f t="shared" si="18"/>
        <v>21</v>
      </c>
      <c r="D128" s="21">
        <f t="shared" si="19"/>
        <v>17</v>
      </c>
      <c r="E128" s="96">
        <f t="shared" si="20"/>
        <v>3966475</v>
      </c>
      <c r="F128" s="96">
        <f t="shared" si="16"/>
        <v>3966475</v>
      </c>
      <c r="G128" s="96"/>
      <c r="H128" s="96"/>
      <c r="I128" s="96"/>
      <c r="J128" s="96"/>
      <c r="K128" s="96"/>
      <c r="L128" s="96"/>
      <c r="M128" s="96"/>
    </row>
    <row r="129" spans="2:13" x14ac:dyDescent="0.25">
      <c r="B129" s="99">
        <f t="shared" si="17"/>
        <v>2043</v>
      </c>
      <c r="C129" s="21">
        <f t="shared" si="18"/>
        <v>22</v>
      </c>
      <c r="D129" s="21">
        <f t="shared" si="19"/>
        <v>18</v>
      </c>
      <c r="E129" s="96">
        <f t="shared" si="20"/>
        <v>3984116.666666667</v>
      </c>
      <c r="F129" s="96">
        <f t="shared" si="16"/>
        <v>3984116.666666667</v>
      </c>
      <c r="G129" s="96"/>
      <c r="H129" s="96"/>
      <c r="I129" s="96"/>
      <c r="J129" s="96"/>
      <c r="K129" s="96"/>
      <c r="L129" s="96"/>
      <c r="M129" s="96"/>
    </row>
    <row r="130" spans="2:13" x14ac:dyDescent="0.25">
      <c r="B130" s="99">
        <f t="shared" si="17"/>
        <v>2044</v>
      </c>
      <c r="C130" s="21">
        <f t="shared" si="18"/>
        <v>23</v>
      </c>
      <c r="D130" s="21">
        <f t="shared" si="19"/>
        <v>19</v>
      </c>
      <c r="E130" s="96">
        <f t="shared" si="20"/>
        <v>4001758.3333333335</v>
      </c>
      <c r="F130" s="96">
        <f t="shared" si="16"/>
        <v>4001758.3333333335</v>
      </c>
      <c r="G130" s="96"/>
      <c r="H130" s="96"/>
      <c r="I130" s="96"/>
      <c r="J130" s="96"/>
      <c r="K130" s="96"/>
      <c r="L130" s="96"/>
      <c r="M130" s="96"/>
    </row>
    <row r="131" spans="2:13" x14ac:dyDescent="0.25">
      <c r="B131" s="99">
        <f t="shared" si="17"/>
        <v>2045</v>
      </c>
      <c r="C131" s="21">
        <f t="shared" si="18"/>
        <v>24</v>
      </c>
      <c r="D131" s="21">
        <f t="shared" si="19"/>
        <v>20</v>
      </c>
      <c r="E131" s="336">
        <f t="shared" si="20"/>
        <v>4019400</v>
      </c>
      <c r="F131" s="336">
        <f t="shared" si="16"/>
        <v>4019400</v>
      </c>
      <c r="G131" s="336"/>
      <c r="H131" s="336"/>
      <c r="I131" s="336"/>
      <c r="J131" s="336"/>
      <c r="K131" s="95"/>
      <c r="L131" s="95"/>
      <c r="M131" s="119"/>
    </row>
    <row r="132" spans="2:13" x14ac:dyDescent="0.25">
      <c r="B132" s="99">
        <f t="shared" si="17"/>
        <v>2046</v>
      </c>
      <c r="C132" s="21">
        <f t="shared" si="18"/>
        <v>25</v>
      </c>
      <c r="D132" s="21">
        <f t="shared" si="19"/>
        <v>21</v>
      </c>
      <c r="E132" s="96">
        <f t="shared" si="20"/>
        <v>4037041.666666667</v>
      </c>
      <c r="F132" s="96">
        <f t="shared" si="16"/>
        <v>4037041.666666667</v>
      </c>
      <c r="G132" s="96"/>
      <c r="H132" s="96"/>
      <c r="I132" s="96"/>
      <c r="J132" s="96"/>
      <c r="K132" s="96"/>
      <c r="L132" s="96"/>
      <c r="M132" s="96"/>
    </row>
    <row r="133" spans="2:13" x14ac:dyDescent="0.25">
      <c r="B133" s="99">
        <f t="shared" si="17"/>
        <v>2047</v>
      </c>
      <c r="C133" s="21">
        <f t="shared" si="18"/>
        <v>26</v>
      </c>
      <c r="D133" s="21">
        <f t="shared" si="19"/>
        <v>22</v>
      </c>
      <c r="E133" s="96">
        <f t="shared" si="20"/>
        <v>4054683.3333333335</v>
      </c>
      <c r="F133" s="96">
        <f t="shared" si="16"/>
        <v>4054683.3333333335</v>
      </c>
      <c r="G133" s="96"/>
      <c r="H133" s="96"/>
      <c r="I133" s="96"/>
      <c r="J133" s="96"/>
      <c r="K133" s="96"/>
      <c r="L133" s="96"/>
      <c r="M133" s="96"/>
    </row>
    <row r="134" spans="2:13" x14ac:dyDescent="0.25">
      <c r="B134" s="99">
        <f t="shared" si="17"/>
        <v>2048</v>
      </c>
      <c r="C134" s="21">
        <f t="shared" si="18"/>
        <v>27</v>
      </c>
      <c r="D134" s="21">
        <f t="shared" si="19"/>
        <v>23</v>
      </c>
      <c r="E134" s="96">
        <f t="shared" si="20"/>
        <v>4072325</v>
      </c>
      <c r="F134" s="96">
        <f t="shared" si="16"/>
        <v>4072325</v>
      </c>
      <c r="G134" s="96"/>
      <c r="H134" s="96"/>
      <c r="I134" s="96"/>
      <c r="J134" s="96"/>
      <c r="K134" s="96"/>
      <c r="L134" s="96"/>
      <c r="M134" s="96"/>
    </row>
    <row r="135" spans="2:13" x14ac:dyDescent="0.25">
      <c r="B135" s="99">
        <f t="shared" si="17"/>
        <v>2049</v>
      </c>
      <c r="C135" s="21">
        <f t="shared" si="18"/>
        <v>28</v>
      </c>
      <c r="D135" s="21">
        <f t="shared" si="19"/>
        <v>24</v>
      </c>
      <c r="E135" s="96">
        <f t="shared" si="20"/>
        <v>4089966.666666667</v>
      </c>
      <c r="F135" s="96">
        <f t="shared" si="16"/>
        <v>4089966.666666667</v>
      </c>
      <c r="G135" s="96"/>
      <c r="H135" s="96"/>
      <c r="I135" s="96"/>
      <c r="J135" s="96"/>
      <c r="K135" s="96"/>
      <c r="L135" s="96"/>
      <c r="M135" s="96"/>
    </row>
    <row r="136" spans="2:13" x14ac:dyDescent="0.25">
      <c r="B136" s="99">
        <f t="shared" si="17"/>
        <v>2050</v>
      </c>
      <c r="C136" s="21">
        <f t="shared" si="18"/>
        <v>29</v>
      </c>
      <c r="D136" s="21">
        <f t="shared" si="19"/>
        <v>25</v>
      </c>
      <c r="E136" s="96">
        <f t="shared" si="20"/>
        <v>4107608.3333333335</v>
      </c>
      <c r="F136" s="96">
        <f t="shared" si="16"/>
        <v>4107608.3333333335</v>
      </c>
      <c r="G136" s="96"/>
      <c r="H136" s="96"/>
      <c r="I136" s="96"/>
      <c r="J136" s="96"/>
      <c r="K136" s="96"/>
      <c r="L136" s="96"/>
      <c r="M136" s="96"/>
    </row>
    <row r="137" spans="2:13" x14ac:dyDescent="0.25">
      <c r="B137" s="99">
        <f t="shared" si="17"/>
        <v>2051</v>
      </c>
      <c r="C137" s="21">
        <f t="shared" si="18"/>
        <v>30</v>
      </c>
      <c r="D137" s="21">
        <f t="shared" si="19"/>
        <v>26</v>
      </c>
      <c r="E137" s="96">
        <f t="shared" si="20"/>
        <v>4125250</v>
      </c>
      <c r="F137" s="96">
        <f t="shared" si="16"/>
        <v>4125250</v>
      </c>
      <c r="G137" s="96"/>
      <c r="H137" s="96"/>
      <c r="I137" s="96"/>
      <c r="J137" s="96"/>
      <c r="K137" s="96"/>
      <c r="L137" s="96"/>
      <c r="M137" s="96"/>
    </row>
    <row r="138" spans="2:13" x14ac:dyDescent="0.25">
      <c r="B138" s="99">
        <f t="shared" si="17"/>
        <v>2052</v>
      </c>
      <c r="C138" s="21">
        <f t="shared" si="18"/>
        <v>31</v>
      </c>
      <c r="D138" s="21">
        <f t="shared" si="19"/>
        <v>27</v>
      </c>
      <c r="E138" s="96">
        <f t="shared" si="20"/>
        <v>4142891.666666667</v>
      </c>
      <c r="F138" s="96">
        <f t="shared" si="16"/>
        <v>4142891.666666667</v>
      </c>
      <c r="G138" s="96"/>
      <c r="H138" s="96"/>
      <c r="I138" s="96"/>
      <c r="J138" s="96"/>
      <c r="K138" s="96"/>
      <c r="L138" s="96"/>
      <c r="M138" s="96"/>
    </row>
    <row r="139" spans="2:13" x14ac:dyDescent="0.25">
      <c r="E139" s="510" t="s">
        <v>35</v>
      </c>
      <c r="F139" s="658" t="s">
        <v>266</v>
      </c>
    </row>
  </sheetData>
  <mergeCells count="14">
    <mergeCell ref="E104:L104"/>
    <mergeCell ref="E105:F105"/>
    <mergeCell ref="G105:H105"/>
    <mergeCell ref="I105:J105"/>
    <mergeCell ref="K105:L105"/>
    <mergeCell ref="I33:J33"/>
    <mergeCell ref="K33:L33"/>
    <mergeCell ref="E32:L32"/>
    <mergeCell ref="E33:H33"/>
    <mergeCell ref="E69:F69"/>
    <mergeCell ref="G69:H69"/>
    <mergeCell ref="I69:J69"/>
    <mergeCell ref="K69:L69"/>
    <mergeCell ref="E68:L68"/>
  </mergeCells>
  <phoneticPr fontId="51" type="noConversion"/>
  <conditionalFormatting sqref="M9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hyperlinks>
    <hyperlink ref="C20" r:id="rId1" xr:uid="{9CE59F52-E095-4634-B129-BBF51FF59611}"/>
  </hyperlinks>
  <pageMargins left="0.7" right="0.70416666666666705" top="0.75" bottom="0.75" header="0.3" footer="0.3"/>
  <pageSetup scale="46" fitToWidth="0" fitToHeight="0" orientation="landscape" horizontalDpi="300" r:id="rId2"/>
  <headerFooter>
    <oddHeader>&amp;L&amp;"Arial,Bold"Post and McDuff Innovative Rail Crossing
CRISI 2022 BCA&amp;C
&amp;R&amp;"Arial,Bold"&amp;A</oddHeader>
    <oddFooter>&amp;CPage A-&amp;P</oddFooter>
  </headerFooter>
  <rowBreaks count="2" manualBreakCount="2">
    <brk id="10" min="11" max="22" man="1"/>
    <brk id="30" max="24" man="1"/>
  </rowBreaks>
  <colBreaks count="1" manualBreakCount="1">
    <brk id="12" min="31" max="6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FCA3E-14C2-444B-87BE-49F57389257C}">
  <sheetPr codeName="Sheet2"/>
  <dimension ref="A1:G19"/>
  <sheetViews>
    <sheetView topLeftCell="A10" workbookViewId="0">
      <selection activeCell="C7" sqref="C7"/>
    </sheetView>
  </sheetViews>
  <sheetFormatPr defaultColWidth="8.7109375" defaultRowHeight="12.75" x14ac:dyDescent="0.2"/>
  <cols>
    <col min="1" max="1" width="2.85546875" customWidth="1"/>
    <col min="2" max="2" width="21.28515625" customWidth="1"/>
    <col min="3" max="3" width="40.28515625" style="17" customWidth="1"/>
    <col min="4" max="5" width="14.140625" bestFit="1" customWidth="1"/>
  </cols>
  <sheetData>
    <row r="1" spans="1:7" ht="15" x14ac:dyDescent="0.2">
      <c r="A1" s="124" t="s">
        <v>42</v>
      </c>
      <c r="B1" s="124"/>
      <c r="C1" s="124"/>
      <c r="D1" s="124"/>
      <c r="E1" s="124"/>
      <c r="F1" s="124"/>
    </row>
    <row r="3" spans="1:7" ht="45" customHeight="1" x14ac:dyDescent="0.2">
      <c r="B3" s="56" t="s">
        <v>43</v>
      </c>
      <c r="C3" s="56" t="s">
        <v>44</v>
      </c>
      <c r="D3" s="56" t="s">
        <v>45</v>
      </c>
      <c r="E3" s="56" t="str">
        <f>"Present Value ("&amp;TEXT(disc2,"0%")&amp;" Discount Rate)"</f>
        <v>Present Value (7% Discount Rate)</v>
      </c>
      <c r="F3" s="56" t="s">
        <v>46</v>
      </c>
    </row>
    <row r="4" spans="1:7" ht="14.1" customHeight="1" x14ac:dyDescent="0.2">
      <c r="B4" s="166" t="s">
        <v>47</v>
      </c>
      <c r="C4" s="167"/>
      <c r="D4" s="167"/>
      <c r="E4" s="167"/>
      <c r="F4" s="167"/>
    </row>
    <row r="5" spans="1:7" ht="45" customHeight="1" x14ac:dyDescent="0.2">
      <c r="B5" s="168" t="s">
        <v>48</v>
      </c>
      <c r="C5" s="168" t="s">
        <v>345</v>
      </c>
      <c r="D5" s="169">
        <f>'I - Travel Time'!P45</f>
        <v>33007096.991201483</v>
      </c>
      <c r="E5" s="169">
        <f>'I - Travel Time'!Q45</f>
        <v>10378954.164550256</v>
      </c>
      <c r="F5" s="170" t="s">
        <v>49</v>
      </c>
      <c r="G5" s="650">
        <f>E5/$E$14</f>
        <v>0.20700567313890067</v>
      </c>
    </row>
    <row r="6" spans="1:7" ht="45" customHeight="1" x14ac:dyDescent="0.2">
      <c r="B6" s="168" t="s">
        <v>50</v>
      </c>
      <c r="C6" s="168" t="s">
        <v>346</v>
      </c>
      <c r="D6" s="169">
        <f>'J -Operating Cost Savings'!L43</f>
        <v>28455647.915238865</v>
      </c>
      <c r="E6" s="169">
        <f>'J -Operating Cost Savings'!M43</f>
        <v>8947768.5818165485</v>
      </c>
      <c r="F6" s="170" t="s">
        <v>51</v>
      </c>
      <c r="G6" s="650">
        <f>E6/$E$14</f>
        <v>0.17846103075553016</v>
      </c>
    </row>
    <row r="7" spans="1:7" ht="14.1" customHeight="1" x14ac:dyDescent="0.2">
      <c r="B7" s="166" t="s">
        <v>52</v>
      </c>
      <c r="C7" s="167"/>
      <c r="D7" s="171"/>
      <c r="E7" s="171"/>
      <c r="F7" s="171"/>
      <c r="G7" s="304"/>
    </row>
    <row r="8" spans="1:7" ht="45" customHeight="1" x14ac:dyDescent="0.2">
      <c r="B8" s="168" t="s">
        <v>53</v>
      </c>
      <c r="C8" s="168" t="s">
        <v>54</v>
      </c>
      <c r="D8" s="169">
        <f>'G - Crash Savings'!I51</f>
        <v>91421780.821582824</v>
      </c>
      <c r="E8" s="169">
        <f>'G - Crash Savings'!J51</f>
        <v>29162190.513450101</v>
      </c>
      <c r="F8" s="170" t="s">
        <v>55</v>
      </c>
      <c r="G8" s="650">
        <f>E8/$E$14</f>
        <v>0.58163267529018781</v>
      </c>
    </row>
    <row r="9" spans="1:7" ht="14.1" customHeight="1" x14ac:dyDescent="0.2">
      <c r="B9" s="166" t="s">
        <v>56</v>
      </c>
      <c r="C9" s="167"/>
      <c r="D9" s="171"/>
      <c r="E9" s="171"/>
      <c r="F9" s="171"/>
      <c r="G9" s="304"/>
    </row>
    <row r="10" spans="1:7" ht="45" customHeight="1" x14ac:dyDescent="0.2">
      <c r="B10" s="168" t="s">
        <v>57</v>
      </c>
      <c r="C10" s="172" t="s">
        <v>58</v>
      </c>
      <c r="D10" s="169">
        <f>'L - Environmental'!AW47</f>
        <v>2378569.4703905266</v>
      </c>
      <c r="E10" s="169">
        <f>'L - Environmental'!AZ47</f>
        <v>799985.4028118985</v>
      </c>
      <c r="F10" s="170" t="s">
        <v>59</v>
      </c>
      <c r="G10" s="650">
        <f>E10/$E$14</f>
        <v>1.5955510948876758E-2</v>
      </c>
    </row>
    <row r="11" spans="1:7" ht="14.1" customHeight="1" x14ac:dyDescent="0.2">
      <c r="B11" s="166" t="s">
        <v>60</v>
      </c>
      <c r="C11" s="167"/>
      <c r="D11" s="171"/>
      <c r="E11" s="171"/>
      <c r="F11" s="171"/>
      <c r="G11" s="304"/>
    </row>
    <row r="12" spans="1:7" ht="45" customHeight="1" x14ac:dyDescent="0.2">
      <c r="B12" s="168" t="s">
        <v>61</v>
      </c>
      <c r="C12" s="168" t="s">
        <v>62</v>
      </c>
      <c r="D12" s="169">
        <f>'E - Construction &amp; Residual'!L43</f>
        <v>1161942.8786879063</v>
      </c>
      <c r="E12" s="169">
        <f>'E - Construction &amp; Residual'!M43</f>
        <v>142655.22081451915</v>
      </c>
      <c r="F12" s="652" t="s">
        <v>63</v>
      </c>
      <c r="G12" s="650">
        <f>E12/$E$14</f>
        <v>2.8452230873463611E-3</v>
      </c>
    </row>
    <row r="13" spans="1:7" ht="45" customHeight="1" x14ac:dyDescent="0.2">
      <c r="B13" s="168" t="s">
        <v>64</v>
      </c>
      <c r="C13" s="168" t="s">
        <v>65</v>
      </c>
      <c r="D13" s="169">
        <f>'F - Maintenance &amp; SOGR'!K56</f>
        <v>2272000</v>
      </c>
      <c r="E13" s="169">
        <f>'F - Maintenance &amp; SOGR'!L56</f>
        <v>706947.18838955043</v>
      </c>
      <c r="F13" s="652" t="s">
        <v>66</v>
      </c>
      <c r="G13" s="650">
        <f>E13/$E$14</f>
        <v>1.4099886779158298E-2</v>
      </c>
    </row>
    <row r="14" spans="1:7" ht="14.1" customHeight="1" x14ac:dyDescent="0.2">
      <c r="B14" s="173" t="s">
        <v>45</v>
      </c>
      <c r="C14" s="174"/>
      <c r="D14" s="175">
        <f>SUM(D5:D13)</f>
        <v>158697038.07710162</v>
      </c>
      <c r="E14" s="175">
        <f>SUM(E5:E13)</f>
        <v>50138501.071832873</v>
      </c>
      <c r="F14" s="175"/>
    </row>
    <row r="15" spans="1:7" ht="14.1" customHeight="1" x14ac:dyDescent="0.2">
      <c r="B15" s="173" t="s">
        <v>67</v>
      </c>
      <c r="C15" s="174"/>
      <c r="D15" s="175">
        <f>-'C - Summary'!E42</f>
        <v>-10407219.342068056</v>
      </c>
      <c r="E15" s="175">
        <f>-'C - Summary'!F42</f>
        <v>-7773589.3154117782</v>
      </c>
      <c r="F15" s="175" t="s">
        <v>68</v>
      </c>
    </row>
    <row r="16" spans="1:7" ht="14.1" customHeight="1" x14ac:dyDescent="0.2">
      <c r="B16" s="173" t="s">
        <v>69</v>
      </c>
      <c r="C16" s="174"/>
      <c r="D16" s="176">
        <f>-D14/D15</f>
        <v>15.248745400763925</v>
      </c>
      <c r="E16" s="176">
        <f>-E14/E15</f>
        <v>6.4498520615733046</v>
      </c>
      <c r="F16" s="176"/>
    </row>
    <row r="17" spans="3:5" x14ac:dyDescent="0.2">
      <c r="D17" s="176">
        <f>D14+D15</f>
        <v>148289818.73503357</v>
      </c>
      <c r="E17" s="176">
        <f>E14+E15</f>
        <v>42364911.756421097</v>
      </c>
    </row>
    <row r="18" spans="3:5" x14ac:dyDescent="0.2">
      <c r="C18" s="223" t="s">
        <v>70</v>
      </c>
      <c r="D18" s="224" t="b">
        <f>'C - Summary'!C4=D14</f>
        <v>1</v>
      </c>
      <c r="E18" s="224" t="b">
        <f>ROUND('C - Summary'!E4,0)=ROUND(E14,0)</f>
        <v>1</v>
      </c>
    </row>
    <row r="19" spans="3:5" x14ac:dyDescent="0.2">
      <c r="C19" s="223" t="s">
        <v>70</v>
      </c>
      <c r="D19" s="224" t="b">
        <f>'C - Summary'!C5=-D15</f>
        <v>1</v>
      </c>
      <c r="E19" s="224" t="b">
        <f>'C - Summary'!E5=-E15</f>
        <v>1</v>
      </c>
    </row>
  </sheetData>
  <pageMargins left="0.7" right="0.70416666666666705" top="0.75" bottom="0.75" header="0.3" footer="0.3"/>
  <pageSetup scale="46" orientation="portrait" r:id="rId1"/>
  <headerFooter>
    <oddHeader>&amp;L&amp;"Arial,Bold"Post and McDuff Innovative Rail Crossing
CRISI 2022 BCA&amp;C
&amp;R&amp;"Arial,Bold"&amp;A</oddHeader>
    <oddFooter>&amp;CPage B-&amp;P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5649-4A09-4AFC-B219-95C4EB1F7038}">
  <sheetPr codeName="Sheet3"/>
  <dimension ref="A1:T44"/>
  <sheetViews>
    <sheetView workbookViewId="0">
      <selection activeCell="G7" sqref="G7"/>
    </sheetView>
  </sheetViews>
  <sheetFormatPr defaultColWidth="8.7109375" defaultRowHeight="15" x14ac:dyDescent="0.25"/>
  <cols>
    <col min="1" max="1" width="2.28515625" style="1" customWidth="1"/>
    <col min="2" max="2" width="8.7109375" style="1"/>
    <col min="3" max="3" width="10" style="1" bestFit="1" customWidth="1"/>
    <col min="4" max="5" width="15.7109375" style="1" bestFit="1" customWidth="1"/>
    <col min="6" max="6" width="17.85546875" style="1" bestFit="1" customWidth="1"/>
    <col min="7" max="7" width="21.28515625" style="1" customWidth="1"/>
    <col min="8" max="8" width="12.85546875" style="1" customWidth="1"/>
    <col min="9" max="9" width="9.5703125" style="1" customWidth="1"/>
    <col min="10" max="10" width="13.140625" style="1" bestFit="1" customWidth="1"/>
    <col min="11" max="11" width="13.28515625" style="1" customWidth="1"/>
    <col min="12" max="12" width="16.140625" style="1" customWidth="1"/>
    <col min="13" max="13" width="16.140625" style="1" bestFit="1" customWidth="1"/>
    <col min="14" max="14" width="16.140625" style="1" customWidth="1"/>
    <col min="15" max="15" width="17.85546875" style="1" customWidth="1"/>
    <col min="16" max="16" width="17.5703125" style="1" customWidth="1"/>
    <col min="17" max="17" width="16.85546875" style="1" customWidth="1"/>
    <col min="18" max="18" width="19.7109375" style="1" customWidth="1"/>
    <col min="19" max="19" width="14.140625" style="1" customWidth="1"/>
    <col min="20" max="20" width="16.140625" style="1" customWidth="1"/>
    <col min="21" max="16384" width="8.7109375" style="1"/>
  </cols>
  <sheetData>
    <row r="1" spans="1:20" x14ac:dyDescent="0.25">
      <c r="A1" s="124" t="s">
        <v>71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</row>
    <row r="2" spans="1:20" customFormat="1" ht="13.5" thickBot="1" x14ac:dyDescent="0.25"/>
    <row r="3" spans="1:20" ht="15.75" x14ac:dyDescent="0.25">
      <c r="B3" s="611"/>
      <c r="C3" s="612" t="s">
        <v>72</v>
      </c>
      <c r="D3" s="613"/>
      <c r="E3" s="614" t="str">
        <f>TEXT(disc2,"0%")&amp;" discount"</f>
        <v>7% discount</v>
      </c>
      <c r="F3" s="615"/>
    </row>
    <row r="4" spans="1:20" s="151" customFormat="1" ht="15.75" x14ac:dyDescent="0.25">
      <c r="B4" s="616" t="s">
        <v>73</v>
      </c>
      <c r="C4" s="607">
        <f>Q42</f>
        <v>158697038.07710159</v>
      </c>
      <c r="D4" s="608"/>
      <c r="E4" s="607">
        <f>T42</f>
        <v>50138501.071832873</v>
      </c>
      <c r="F4" s="617"/>
    </row>
    <row r="5" spans="1:20" s="151" customFormat="1" ht="15.75" x14ac:dyDescent="0.25">
      <c r="B5" s="618" t="s">
        <v>74</v>
      </c>
      <c r="C5" s="607">
        <f>E42</f>
        <v>10407219.342068056</v>
      </c>
      <c r="D5" s="608"/>
      <c r="E5" s="607">
        <f>F42</f>
        <v>7773589.3154117782</v>
      </c>
      <c r="F5" s="617"/>
    </row>
    <row r="6" spans="1:20" s="151" customFormat="1" ht="15.75" x14ac:dyDescent="0.25">
      <c r="B6" s="619" t="s">
        <v>75</v>
      </c>
      <c r="C6" s="609">
        <f>C4/C5</f>
        <v>15.248745400763921</v>
      </c>
      <c r="D6" s="610"/>
      <c r="E6" s="609">
        <f>E4/E5</f>
        <v>6.4498520615733046</v>
      </c>
      <c r="F6" s="620"/>
    </row>
    <row r="7" spans="1:20" s="151" customFormat="1" ht="16.5" thickBot="1" x14ac:dyDescent="0.3">
      <c r="B7" s="621" t="s">
        <v>76</v>
      </c>
      <c r="C7" s="622">
        <f>C4-C5</f>
        <v>148289818.73503354</v>
      </c>
      <c r="D7" s="623"/>
      <c r="E7" s="622">
        <f>E4-E5</f>
        <v>42364911.756421097</v>
      </c>
      <c r="F7" s="624"/>
    </row>
    <row r="10" spans="1:20" s="21" customFormat="1" x14ac:dyDescent="0.25">
      <c r="B10" s="148" t="s">
        <v>74</v>
      </c>
      <c r="C10" s="148"/>
      <c r="D10" s="148"/>
      <c r="E10" s="148"/>
      <c r="F10" s="148"/>
      <c r="G10" s="1"/>
      <c r="H10" s="148" t="s">
        <v>73</v>
      </c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</row>
    <row r="11" spans="1:20" ht="45" x14ac:dyDescent="0.25">
      <c r="B11" s="18" t="s">
        <v>36</v>
      </c>
      <c r="C11" s="18" t="s">
        <v>37</v>
      </c>
      <c r="D11" s="349" t="s">
        <v>77</v>
      </c>
      <c r="E11" s="19" t="s">
        <v>67</v>
      </c>
      <c r="F11" s="19" t="str">
        <f>"Present Value ("&amp;TEXT(disc2,"0%")&amp;" Discount Rate)"</f>
        <v>Present Value (7% Discount Rate)</v>
      </c>
      <c r="G11" s="21"/>
      <c r="H11" s="18" t="s">
        <v>36</v>
      </c>
      <c r="I11" s="278" t="s">
        <v>37</v>
      </c>
      <c r="J11" s="602" t="s">
        <v>61</v>
      </c>
      <c r="K11" s="112" t="s">
        <v>78</v>
      </c>
      <c r="L11" s="112" t="s">
        <v>53</v>
      </c>
      <c r="M11" s="112" t="s">
        <v>79</v>
      </c>
      <c r="N11" s="112" t="s">
        <v>50</v>
      </c>
      <c r="O11" s="112" t="s">
        <v>302</v>
      </c>
      <c r="P11" s="112" t="s">
        <v>303</v>
      </c>
      <c r="Q11" s="114" t="s">
        <v>45</v>
      </c>
      <c r="R11" s="114" t="s">
        <v>301</v>
      </c>
      <c r="S11" s="98" t="str">
        <f>"Present Value ("&amp;TEXT(disc2,"0%")&amp;" Discount Rate*)"</f>
        <v>Present Value (7% Discount Rate*)</v>
      </c>
      <c r="T11" s="603" t="s">
        <v>304</v>
      </c>
    </row>
    <row r="12" spans="1:20" x14ac:dyDescent="0.25">
      <c r="B12" s="7">
        <f>'A - Inputs'!$C$7</f>
        <v>2022</v>
      </c>
      <c r="C12" s="309">
        <v>1</v>
      </c>
      <c r="D12" s="143">
        <f>'E - Construction &amp; Residual'!D13</f>
        <v>0</v>
      </c>
      <c r="E12" s="144">
        <f>SUM(D12:D12)</f>
        <v>0</v>
      </c>
      <c r="F12" s="144">
        <f>$E12/(1+disc2)^($B12-'A - Inputs'!$C$6)</f>
        <v>0</v>
      </c>
      <c r="G12" s="144"/>
      <c r="H12" s="7">
        <f>'A - Inputs'!$C$7</f>
        <v>2022</v>
      </c>
      <c r="I12" s="516">
        <v>1</v>
      </c>
      <c r="J12" s="145">
        <f>'E - Construction &amp; Residual'!L13</f>
        <v>0</v>
      </c>
      <c r="K12" s="145">
        <f>'F - Maintenance &amp; SOGR'!K26</f>
        <v>17400</v>
      </c>
      <c r="L12" s="145">
        <f>'G - Crash Savings'!I21</f>
        <v>0</v>
      </c>
      <c r="M12" s="145">
        <f>'I - Travel Time'!P15</f>
        <v>0</v>
      </c>
      <c r="N12" s="145">
        <f>'J -Operating Cost Savings'!L13</f>
        <v>0</v>
      </c>
      <c r="O12" s="144">
        <f>'L - Environmental'!AU17</f>
        <v>0</v>
      </c>
      <c r="P12" s="149">
        <f>'L - Environmental'!AV17</f>
        <v>0</v>
      </c>
      <c r="Q12" s="347">
        <f t="shared" ref="Q12:Q41" si="0">SUM(J12:P12)</f>
        <v>17400</v>
      </c>
      <c r="R12" s="347">
        <f>SUM(P12)/(1.03)^($B12-'A - Inputs'!$C$6)</f>
        <v>0</v>
      </c>
      <c r="S12" s="604">
        <f>SUM(J12:O12)/(1+'A - Inputs'!$C$16)^($B12-'A - Inputs'!$C$6)</f>
        <v>15197.833871953882</v>
      </c>
      <c r="T12" s="601">
        <f>R12+S12</f>
        <v>15197.833871953882</v>
      </c>
    </row>
    <row r="13" spans="1:20" x14ac:dyDescent="0.25">
      <c r="B13" s="517">
        <f t="shared" ref="B13:B41" si="1">B12+1</f>
        <v>2023</v>
      </c>
      <c r="C13" s="516">
        <f t="shared" ref="C13:C41" si="2">C12+1</f>
        <v>2</v>
      </c>
      <c r="D13" s="143">
        <f>'E - Construction &amp; Residual'!D14</f>
        <v>1315609.3882552551</v>
      </c>
      <c r="E13" s="144">
        <f t="shared" ref="E13" si="3">SUM(D13:D13)</f>
        <v>1315609.3882552551</v>
      </c>
      <c r="F13" s="144">
        <f>$E13/(1+disc2)^($B13-'A - Inputs'!$C$6)</f>
        <v>1073929.1504504371</v>
      </c>
      <c r="G13" s="144"/>
      <c r="H13" s="517">
        <f t="shared" ref="H13:I36" si="4">H12+1</f>
        <v>2023</v>
      </c>
      <c r="I13" s="516">
        <f t="shared" si="4"/>
        <v>2</v>
      </c>
      <c r="J13" s="145">
        <f>'E - Construction &amp; Residual'!L14</f>
        <v>0</v>
      </c>
      <c r="K13" s="145">
        <f>'F - Maintenance &amp; SOGR'!K27</f>
        <v>17400</v>
      </c>
      <c r="L13" s="145">
        <f>'G - Crash Savings'!I22</f>
        <v>0</v>
      </c>
      <c r="M13" s="145">
        <f>'I - Travel Time'!P16</f>
        <v>0</v>
      </c>
      <c r="N13" s="145">
        <f>'J -Operating Cost Savings'!L14</f>
        <v>0</v>
      </c>
      <c r="O13" s="144">
        <f>'L - Environmental'!AU18</f>
        <v>0</v>
      </c>
      <c r="P13" s="149">
        <f>'L - Environmental'!AV18</f>
        <v>0</v>
      </c>
      <c r="Q13" s="347">
        <f t="shared" si="0"/>
        <v>17400</v>
      </c>
      <c r="R13" s="347">
        <f>SUM(P13)/(1.03)^($B13-'A - Inputs'!$C$6)</f>
        <v>0</v>
      </c>
      <c r="S13" s="604">
        <f>SUM(J13:O13)/(1+'A - Inputs'!$C$16)^($B13-'A - Inputs'!$C$6)</f>
        <v>14203.583057900823</v>
      </c>
      <c r="T13" s="601">
        <f t="shared" ref="T13:T41" si="5">R13+S13</f>
        <v>14203.583057900823</v>
      </c>
    </row>
    <row r="14" spans="1:20" x14ac:dyDescent="0.25">
      <c r="B14" s="517">
        <f t="shared" si="1"/>
        <v>2024</v>
      </c>
      <c r="C14" s="516">
        <f t="shared" si="2"/>
        <v>3</v>
      </c>
      <c r="D14" s="143">
        <f>'E - Construction &amp; Residual'!D15</f>
        <v>4357285.7950796494</v>
      </c>
      <c r="E14" s="144">
        <f t="shared" ref="E14:E36" si="6">SUM(D14:D14)</f>
        <v>4357285.7950796494</v>
      </c>
      <c r="F14" s="144">
        <f>$E14/(1+disc2)^($B14-'A - Inputs'!$C$6)</f>
        <v>3324152.4705889588</v>
      </c>
      <c r="G14" s="144"/>
      <c r="H14" s="517">
        <f t="shared" si="4"/>
        <v>2024</v>
      </c>
      <c r="I14" s="516">
        <f t="shared" si="4"/>
        <v>3</v>
      </c>
      <c r="J14" s="145">
        <f>'E - Construction &amp; Residual'!L15</f>
        <v>0</v>
      </c>
      <c r="K14" s="145">
        <f>'F - Maintenance &amp; SOGR'!K28</f>
        <v>17400</v>
      </c>
      <c r="L14" s="145">
        <f>'G - Crash Savings'!I23</f>
        <v>0</v>
      </c>
      <c r="M14" s="145">
        <f>'I - Travel Time'!P17</f>
        <v>0</v>
      </c>
      <c r="N14" s="145">
        <f>'J -Operating Cost Savings'!L15</f>
        <v>0</v>
      </c>
      <c r="O14" s="144">
        <f>'L - Environmental'!AU19</f>
        <v>0</v>
      </c>
      <c r="P14" s="149">
        <f>'L - Environmental'!AV19</f>
        <v>0</v>
      </c>
      <c r="Q14" s="347">
        <f t="shared" si="0"/>
        <v>17400</v>
      </c>
      <c r="R14" s="347">
        <f>SUM(P14)/(1.03)^($B14-'A - Inputs'!$C$6)</f>
        <v>0</v>
      </c>
      <c r="S14" s="604">
        <f>SUM(J14:O14)/(1+'A - Inputs'!$C$16)^($B14-'A - Inputs'!$C$6)</f>
        <v>13274.376689626939</v>
      </c>
      <c r="T14" s="601">
        <f t="shared" si="5"/>
        <v>13274.376689626939</v>
      </c>
    </row>
    <row r="15" spans="1:20" x14ac:dyDescent="0.25">
      <c r="B15" s="517">
        <f t="shared" si="1"/>
        <v>2025</v>
      </c>
      <c r="C15" s="516">
        <f t="shared" si="2"/>
        <v>4</v>
      </c>
      <c r="D15" s="143">
        <f>'E - Construction &amp; Residual'!D16</f>
        <v>4734324.1587331509</v>
      </c>
      <c r="E15" s="144">
        <f t="shared" si="6"/>
        <v>4734324.1587331509</v>
      </c>
      <c r="F15" s="144">
        <f>$E15/(1+disc2)^($B15-'A - Inputs'!$C$6)</f>
        <v>3375507.6943723815</v>
      </c>
      <c r="G15" s="144"/>
      <c r="H15" s="517">
        <f t="shared" si="4"/>
        <v>2025</v>
      </c>
      <c r="I15" s="516">
        <f t="shared" si="4"/>
        <v>4</v>
      </c>
      <c r="J15" s="145">
        <f>'E - Construction &amp; Residual'!L16</f>
        <v>0</v>
      </c>
      <c r="K15" s="145">
        <f>'F - Maintenance &amp; SOGR'!K29</f>
        <v>17400</v>
      </c>
      <c r="L15" s="145">
        <f>'G - Crash Savings'!I24</f>
        <v>0</v>
      </c>
      <c r="M15" s="145">
        <f>'I - Travel Time'!P18</f>
        <v>0</v>
      </c>
      <c r="N15" s="145">
        <f>'J -Operating Cost Savings'!L16</f>
        <v>0</v>
      </c>
      <c r="O15" s="144">
        <f>'L - Environmental'!AU20</f>
        <v>0</v>
      </c>
      <c r="P15" s="149">
        <f>'L - Environmental'!AV20</f>
        <v>0</v>
      </c>
      <c r="Q15" s="347">
        <f t="shared" si="0"/>
        <v>17400</v>
      </c>
      <c r="R15" s="347">
        <f>SUM(P15)/(1.03)^($B15-'A - Inputs'!$C$6)</f>
        <v>0</v>
      </c>
      <c r="S15" s="604">
        <f>SUM(J15:O15)/(1+'A - Inputs'!$C$16)^($B15-'A - Inputs'!$C$6)</f>
        <v>12405.95952301583</v>
      </c>
      <c r="T15" s="601">
        <f t="shared" si="5"/>
        <v>12405.95952301583</v>
      </c>
    </row>
    <row r="16" spans="1:20" x14ac:dyDescent="0.25">
      <c r="B16" s="517">
        <f t="shared" si="1"/>
        <v>2026</v>
      </c>
      <c r="C16" s="516">
        <f t="shared" si="2"/>
        <v>5</v>
      </c>
      <c r="D16" s="143">
        <f>'E - Construction &amp; Residual'!D17</f>
        <v>0</v>
      </c>
      <c r="E16" s="144">
        <f t="shared" si="6"/>
        <v>0</v>
      </c>
      <c r="F16" s="144">
        <f>$E16/(1+disc2)^($B16-'A - Inputs'!$C$6)</f>
        <v>0</v>
      </c>
      <c r="G16" s="144"/>
      <c r="H16" s="517">
        <f t="shared" si="4"/>
        <v>2026</v>
      </c>
      <c r="I16" s="516">
        <f t="shared" si="4"/>
        <v>5</v>
      </c>
      <c r="J16" s="145">
        <f>'E - Construction &amp; Residual'!L17</f>
        <v>0</v>
      </c>
      <c r="K16" s="145">
        <f>'F - Maintenance &amp; SOGR'!K30</f>
        <v>267400</v>
      </c>
      <c r="L16" s="145">
        <f>'G - Crash Savings'!I25</f>
        <v>3317642.5537676718</v>
      </c>
      <c r="M16" s="145">
        <f>'I - Travel Time'!P19</f>
        <v>1138317.2880050312</v>
      </c>
      <c r="N16" s="145">
        <f>'J -Operating Cost Savings'!L17</f>
        <v>981351.25218479999</v>
      </c>
      <c r="O16" s="144">
        <f>'L - Environmental'!AU21</f>
        <v>62600.117989181635</v>
      </c>
      <c r="P16" s="149">
        <f>'L - Environmental'!AV21</f>
        <v>7076.4171587489982</v>
      </c>
      <c r="Q16" s="347">
        <f t="shared" si="0"/>
        <v>5774387.6291054338</v>
      </c>
      <c r="R16" s="347">
        <f>SUM(P16)/(1.03)^($B16-'A - Inputs'!$C$6)</f>
        <v>5926.3879641783624</v>
      </c>
      <c r="S16" s="604">
        <f>SUM(J16:O16)/(1+'A - Inputs'!$C$16)^($B16-'A - Inputs'!$C$6)</f>
        <v>3843002.9784104601</v>
      </c>
      <c r="T16" s="601">
        <f t="shared" si="5"/>
        <v>3848929.3663746384</v>
      </c>
    </row>
    <row r="17" spans="2:20" x14ac:dyDescent="0.25">
      <c r="B17" s="517">
        <f t="shared" si="1"/>
        <v>2027</v>
      </c>
      <c r="C17" s="516">
        <f t="shared" si="2"/>
        <v>6</v>
      </c>
      <c r="D17" s="143">
        <f>'E - Construction &amp; Residual'!D18</f>
        <v>0</v>
      </c>
      <c r="E17" s="144">
        <f t="shared" si="6"/>
        <v>0</v>
      </c>
      <c r="F17" s="144">
        <f>$E17/(1+disc2)^($B17-'A - Inputs'!$C$6)</f>
        <v>0</v>
      </c>
      <c r="G17" s="144"/>
      <c r="H17" s="517">
        <f t="shared" si="4"/>
        <v>2027</v>
      </c>
      <c r="I17" s="516">
        <f t="shared" si="4"/>
        <v>6</v>
      </c>
      <c r="J17" s="145">
        <f>'E - Construction &amp; Residual'!L18</f>
        <v>0</v>
      </c>
      <c r="K17" s="145">
        <f>'F - Maintenance &amp; SOGR'!K31</f>
        <v>17400</v>
      </c>
      <c r="L17" s="145">
        <f>'G - Crash Savings'!I26</f>
        <v>3333528.93660959</v>
      </c>
      <c r="M17" s="145">
        <f>'I - Travel Time'!P20</f>
        <v>1148454.6710798903</v>
      </c>
      <c r="N17" s="145">
        <f>'J -Operating Cost Savings'!L18</f>
        <v>990090.76064981287</v>
      </c>
      <c r="O17" s="144">
        <f>'L - Environmental'!AU22</f>
        <v>64639.85918460165</v>
      </c>
      <c r="P17" s="149">
        <f>'L - Environmental'!AV22</f>
        <v>7302.601043765042</v>
      </c>
      <c r="Q17" s="347">
        <f t="shared" si="0"/>
        <v>5561416.8285676595</v>
      </c>
      <c r="R17" s="347">
        <f>SUM(P17)/(1.03)^($B17-'A - Inputs'!$C$6)</f>
        <v>5937.6829194124703</v>
      </c>
      <c r="S17" s="604">
        <f>SUM(J17:O17)/(1+'A - Inputs'!$C$16)^($B17-'A - Inputs'!$C$6)</f>
        <v>3458823.2015880402</v>
      </c>
      <c r="T17" s="601">
        <f t="shared" si="5"/>
        <v>3464760.8845074526</v>
      </c>
    </row>
    <row r="18" spans="2:20" x14ac:dyDescent="0.25">
      <c r="B18" s="517">
        <f t="shared" si="1"/>
        <v>2028</v>
      </c>
      <c r="C18" s="516">
        <f t="shared" si="2"/>
        <v>7</v>
      </c>
      <c r="D18" s="143">
        <f>'E - Construction &amp; Residual'!D19</f>
        <v>0</v>
      </c>
      <c r="E18" s="144">
        <f t="shared" si="6"/>
        <v>0</v>
      </c>
      <c r="F18" s="144">
        <f>$E18/(1+disc2)^($B18-'A - Inputs'!$C$6)</f>
        <v>0</v>
      </c>
      <c r="G18" s="144"/>
      <c r="H18" s="517">
        <f t="shared" si="4"/>
        <v>2028</v>
      </c>
      <c r="I18" s="516">
        <f t="shared" si="4"/>
        <v>7</v>
      </c>
      <c r="J18" s="145">
        <f>'E - Construction &amp; Residual'!L19</f>
        <v>0</v>
      </c>
      <c r="K18" s="145">
        <f>'F - Maintenance &amp; SOGR'!K32</f>
        <v>17400</v>
      </c>
      <c r="L18" s="145">
        <f>'G - Crash Savings'!I27</f>
        <v>3349415.3194515086</v>
      </c>
      <c r="M18" s="145">
        <f>'I - Travel Time'!P21</f>
        <v>1158636.7456946499</v>
      </c>
      <c r="N18" s="145">
        <f>'J -Operating Cost Savings'!L19</f>
        <v>998868.79800224979</v>
      </c>
      <c r="O18" s="144">
        <f>'L - Environmental'!AU23</f>
        <v>66717.974647598676</v>
      </c>
      <c r="P18" s="149">
        <f>'L - Environmental'!AV23</f>
        <v>7532.9236086250276</v>
      </c>
      <c r="Q18" s="347">
        <f t="shared" si="0"/>
        <v>5598571.7614046317</v>
      </c>
      <c r="R18" s="347">
        <f>SUM(P18)/(1.03)^($B18-'A - Inputs'!$C$6)</f>
        <v>5946.5594580300531</v>
      </c>
      <c r="S18" s="604">
        <f>SUM(J18:O18)/(1+'A - Inputs'!$C$16)^($B18-'A - Inputs'!$C$6)</f>
        <v>3254035.5075740069</v>
      </c>
      <c r="T18" s="601">
        <f t="shared" si="5"/>
        <v>3259982.0670320368</v>
      </c>
    </row>
    <row r="19" spans="2:20" x14ac:dyDescent="0.25">
      <c r="B19" s="517">
        <f t="shared" si="1"/>
        <v>2029</v>
      </c>
      <c r="C19" s="516">
        <f t="shared" si="2"/>
        <v>8</v>
      </c>
      <c r="D19" s="143">
        <f>'E - Construction &amp; Residual'!D20</f>
        <v>0</v>
      </c>
      <c r="E19" s="144">
        <f t="shared" si="6"/>
        <v>0</v>
      </c>
      <c r="F19" s="144">
        <f>$E19/(1+disc2)^($B19-'A - Inputs'!$C$6)</f>
        <v>0</v>
      </c>
      <c r="G19" s="144"/>
      <c r="H19" s="517">
        <f t="shared" si="4"/>
        <v>2029</v>
      </c>
      <c r="I19" s="516">
        <f t="shared" si="4"/>
        <v>8</v>
      </c>
      <c r="J19" s="145">
        <f>'E - Construction &amp; Residual'!L20</f>
        <v>0</v>
      </c>
      <c r="K19" s="145">
        <f>'F - Maintenance &amp; SOGR'!K33</f>
        <v>17400</v>
      </c>
      <c r="L19" s="145">
        <f>'G - Crash Savings'!I28</f>
        <v>3365301.7022934258</v>
      </c>
      <c r="M19" s="145">
        <f>'I - Travel Time'!P22</f>
        <v>1168863.51184931</v>
      </c>
      <c r="N19" s="145">
        <f>'J -Operating Cost Savings'!L20</f>
        <v>1007685.3642421124</v>
      </c>
      <c r="O19" s="144">
        <f>'L - Environmental'!AU24</f>
        <v>68845.723664909863</v>
      </c>
      <c r="P19" s="149">
        <f>'L - Environmental'!AV24</f>
        <v>7899.0689112558039</v>
      </c>
      <c r="Q19" s="347">
        <f t="shared" si="0"/>
        <v>5635995.3709610142</v>
      </c>
      <c r="R19" s="347">
        <f>SUM(P19)/(1.03)^($B19-'A - Inputs'!$C$6)</f>
        <v>6053.9785835218045</v>
      </c>
      <c r="S19" s="604">
        <f>SUM(J19:O19)/(1+'A - Inputs'!$C$16)^($B19-'A - Inputs'!$C$6)</f>
        <v>3061311.4851979283</v>
      </c>
      <c r="T19" s="601">
        <f t="shared" si="5"/>
        <v>3067365.4637814499</v>
      </c>
    </row>
    <row r="20" spans="2:20" x14ac:dyDescent="0.25">
      <c r="B20" s="517">
        <f t="shared" si="1"/>
        <v>2030</v>
      </c>
      <c r="C20" s="516">
        <f t="shared" si="2"/>
        <v>9</v>
      </c>
      <c r="D20" s="143">
        <f>'E - Construction &amp; Residual'!D21</f>
        <v>0</v>
      </c>
      <c r="E20" s="144">
        <f t="shared" si="6"/>
        <v>0</v>
      </c>
      <c r="F20" s="144">
        <f>$E20/(1+disc2)^($B20-'A - Inputs'!$C$6)</f>
        <v>0</v>
      </c>
      <c r="G20" s="144"/>
      <c r="H20" s="517">
        <f t="shared" si="4"/>
        <v>2030</v>
      </c>
      <c r="I20" s="516">
        <f t="shared" si="4"/>
        <v>9</v>
      </c>
      <c r="J20" s="145">
        <f>'E - Construction &amp; Residual'!L21</f>
        <v>0</v>
      </c>
      <c r="K20" s="145">
        <f>'F - Maintenance &amp; SOGR'!K34</f>
        <v>17400</v>
      </c>
      <c r="L20" s="145">
        <f>'G - Crash Savings'!I29</f>
        <v>3381188.085135344</v>
      </c>
      <c r="M20" s="145">
        <f>'I - Travel Time'!P23</f>
        <v>1179134.969543871</v>
      </c>
      <c r="N20" s="145">
        <f>'J -Operating Cost Savings'!L21</f>
        <v>1016540.4593694001</v>
      </c>
      <c r="O20" s="144">
        <f>'L - Environmental'!AU25</f>
        <v>71072.225517261759</v>
      </c>
      <c r="P20" s="149">
        <f>'L - Environmental'!AV25</f>
        <v>8139.5516890921635</v>
      </c>
      <c r="Q20" s="347">
        <f t="shared" si="0"/>
        <v>5673475.2912549693</v>
      </c>
      <c r="R20" s="347">
        <f>SUM(P20)/(1.03)^($B20-'A - Inputs'!$C$6)</f>
        <v>6056.5908818408398</v>
      </c>
      <c r="S20" s="604">
        <f>SUM(J20:O20)/(1+'A - Inputs'!$C$16)^($B20-'A - Inputs'!$C$6)</f>
        <v>2879969.4129138314</v>
      </c>
      <c r="T20" s="601">
        <f t="shared" si="5"/>
        <v>2886026.0037956722</v>
      </c>
    </row>
    <row r="21" spans="2:20" x14ac:dyDescent="0.25">
      <c r="B21" s="517">
        <f t="shared" si="1"/>
        <v>2031</v>
      </c>
      <c r="C21" s="516">
        <f t="shared" si="2"/>
        <v>10</v>
      </c>
      <c r="D21" s="143">
        <f>'E - Construction &amp; Residual'!D22</f>
        <v>0</v>
      </c>
      <c r="E21" s="144">
        <f t="shared" si="6"/>
        <v>0</v>
      </c>
      <c r="F21" s="144">
        <f>$E21/(1+disc2)^($B21-'A - Inputs'!$C$6)</f>
        <v>0</v>
      </c>
      <c r="G21" s="144"/>
      <c r="H21" s="517">
        <f t="shared" si="4"/>
        <v>2031</v>
      </c>
      <c r="I21" s="516">
        <f t="shared" si="4"/>
        <v>10</v>
      </c>
      <c r="J21" s="145">
        <f>'E - Construction &amp; Residual'!L22</f>
        <v>0</v>
      </c>
      <c r="K21" s="145">
        <f>'F - Maintenance &amp; SOGR'!K35</f>
        <v>17400</v>
      </c>
      <c r="L21" s="145">
        <f>'G - Crash Savings'!I30</f>
        <v>3397074.4679772626</v>
      </c>
      <c r="M21" s="145">
        <f>'I - Travel Time'!P24</f>
        <v>1189451.1187783326</v>
      </c>
      <c r="N21" s="145">
        <f>'J -Operating Cost Savings'!L22</f>
        <v>1025434.0833841123</v>
      </c>
      <c r="O21" s="144">
        <f>'L - Environmental'!AU26</f>
        <v>73543.009259567058</v>
      </c>
      <c r="P21" s="149">
        <f>'L - Environmental'!AV26</f>
        <v>8384.2828447921711</v>
      </c>
      <c r="Q21" s="347">
        <f t="shared" si="0"/>
        <v>5711286.9622440664</v>
      </c>
      <c r="R21" s="347">
        <f>SUM(P21)/(1.03)^($B21-'A - Inputs'!$C$6)</f>
        <v>6056.9843160998626</v>
      </c>
      <c r="S21" s="604">
        <f>SUM(J21:O21)/(1+'A - Inputs'!$C$16)^($B21-'A - Inputs'!$C$6)</f>
        <v>2709407.981482062</v>
      </c>
      <c r="T21" s="601">
        <f t="shared" si="5"/>
        <v>2715464.9657981619</v>
      </c>
    </row>
    <row r="22" spans="2:20" x14ac:dyDescent="0.25">
      <c r="B22" s="517">
        <f t="shared" si="1"/>
        <v>2032</v>
      </c>
      <c r="C22" s="516">
        <f t="shared" si="2"/>
        <v>11</v>
      </c>
      <c r="D22" s="143">
        <f>'E - Construction &amp; Residual'!D23</f>
        <v>0</v>
      </c>
      <c r="E22" s="144">
        <f t="shared" si="6"/>
        <v>0</v>
      </c>
      <c r="F22" s="144">
        <f>$E22/(1+disc2)^($B22-'A - Inputs'!$C$6)</f>
        <v>0</v>
      </c>
      <c r="G22" s="144"/>
      <c r="H22" s="517">
        <f t="shared" si="4"/>
        <v>2032</v>
      </c>
      <c r="I22" s="516">
        <f t="shared" si="4"/>
        <v>11</v>
      </c>
      <c r="J22" s="145">
        <f>'E - Construction &amp; Residual'!L23</f>
        <v>0</v>
      </c>
      <c r="K22" s="145">
        <f>'F - Maintenance &amp; SOGR'!K36</f>
        <v>17400</v>
      </c>
      <c r="L22" s="145">
        <f>'G - Crash Savings'!I31</f>
        <v>3412960.8508191803</v>
      </c>
      <c r="M22" s="145">
        <f>'I - Travel Time'!P25</f>
        <v>1199811.9595526948</v>
      </c>
      <c r="N22" s="145">
        <f>'J -Operating Cost Savings'!L23</f>
        <v>1034366.2362862502</v>
      </c>
      <c r="O22" s="144">
        <f>'L - Environmental'!AU27</f>
        <v>74569.711381081128</v>
      </c>
      <c r="P22" s="149">
        <f>'L - Environmental'!AV27</f>
        <v>8633.2952877617408</v>
      </c>
      <c r="Q22" s="347">
        <f t="shared" si="0"/>
        <v>5747742.0533269681</v>
      </c>
      <c r="R22" s="347">
        <f>SUM(P22)/(1.03)^($B22-'A - Inputs'!$C$6)</f>
        <v>6055.2196146008901</v>
      </c>
      <c r="S22" s="604">
        <f>SUM(J22:O22)/(1+'A - Inputs'!$C$16)^($B22-'A - Inputs'!$C$6)</f>
        <v>2548232.9239526507</v>
      </c>
      <c r="T22" s="601">
        <f t="shared" si="5"/>
        <v>2554288.1435672515</v>
      </c>
    </row>
    <row r="23" spans="2:20" x14ac:dyDescent="0.25">
      <c r="B23" s="517">
        <f t="shared" si="1"/>
        <v>2033</v>
      </c>
      <c r="C23" s="516">
        <f t="shared" si="2"/>
        <v>12</v>
      </c>
      <c r="D23" s="143">
        <f>'E - Construction &amp; Residual'!D24</f>
        <v>0</v>
      </c>
      <c r="E23" s="144">
        <f t="shared" si="6"/>
        <v>0</v>
      </c>
      <c r="F23" s="144">
        <f>$E23/(1+disc2)^($B23-'A - Inputs'!$C$6)</f>
        <v>0</v>
      </c>
      <c r="G23" s="144"/>
      <c r="H23" s="517">
        <f t="shared" si="4"/>
        <v>2033</v>
      </c>
      <c r="I23" s="516">
        <f t="shared" si="4"/>
        <v>12</v>
      </c>
      <c r="J23" s="145">
        <f>'E - Construction &amp; Residual'!L24</f>
        <v>0</v>
      </c>
      <c r="K23" s="145">
        <f>'F - Maintenance &amp; SOGR'!K37</f>
        <v>17400</v>
      </c>
      <c r="L23" s="145">
        <f>'G - Crash Savings'!I32</f>
        <v>3428847.2336610975</v>
      </c>
      <c r="M23" s="145">
        <f>'I - Travel Time'!P26</f>
        <v>1210217.4918669567</v>
      </c>
      <c r="N23" s="145">
        <f>'J -Operating Cost Savings'!L24</f>
        <v>1043336.9180758123</v>
      </c>
      <c r="O23" s="144">
        <f>'L - Environmental'!AU28</f>
        <v>75602.883791031156</v>
      </c>
      <c r="P23" s="149">
        <f>'L - Environmental'!AV28</f>
        <v>8886.6219274067789</v>
      </c>
      <c r="Q23" s="347">
        <f t="shared" si="0"/>
        <v>5784291.1493223039</v>
      </c>
      <c r="R23" s="347">
        <f>SUM(P23)/(1.03)^($B23-'A - Inputs'!$C$6)</f>
        <v>6051.3571094804038</v>
      </c>
      <c r="S23" s="604">
        <f>SUM(J23:O23)/(1+'A - Inputs'!$C$16)^($B23-'A - Inputs'!$C$6)</f>
        <v>2396587.5510433842</v>
      </c>
      <c r="T23" s="601">
        <f t="shared" si="5"/>
        <v>2402638.9081528648</v>
      </c>
    </row>
    <row r="24" spans="2:20" x14ac:dyDescent="0.25">
      <c r="B24" s="517">
        <f t="shared" si="1"/>
        <v>2034</v>
      </c>
      <c r="C24" s="516">
        <f t="shared" si="2"/>
        <v>13</v>
      </c>
      <c r="D24" s="143">
        <f>'E - Construction &amp; Residual'!D25</f>
        <v>0</v>
      </c>
      <c r="E24" s="144">
        <f t="shared" si="6"/>
        <v>0</v>
      </c>
      <c r="F24" s="144">
        <f>$E24/(1+disc2)^($B24-'A - Inputs'!$C$6)</f>
        <v>0</v>
      </c>
      <c r="G24" s="144"/>
      <c r="H24" s="517">
        <f t="shared" si="4"/>
        <v>2034</v>
      </c>
      <c r="I24" s="516">
        <f t="shared" si="4"/>
        <v>13</v>
      </c>
      <c r="J24" s="145">
        <f>'E - Construction &amp; Residual'!L25</f>
        <v>0</v>
      </c>
      <c r="K24" s="145">
        <f>'F - Maintenance &amp; SOGR'!K38</f>
        <v>17400</v>
      </c>
      <c r="L24" s="145">
        <f>'G - Crash Savings'!I33</f>
        <v>3444733.6165030161</v>
      </c>
      <c r="M24" s="145">
        <f>'I - Travel Time'!P27</f>
        <v>1220667.7157211201</v>
      </c>
      <c r="N24" s="145">
        <f>'J -Operating Cost Savings'!L25</f>
        <v>1052346.1287527999</v>
      </c>
      <c r="O24" s="144">
        <f>'L - Environmental'!AU29</f>
        <v>76642.527713761097</v>
      </c>
      <c r="P24" s="149">
        <f>'L - Environmental'!AV29</f>
        <v>9144.2956731332033</v>
      </c>
      <c r="Q24" s="347">
        <f t="shared" si="0"/>
        <v>5820934.2843638295</v>
      </c>
      <c r="R24" s="347">
        <f>SUM(P24)/(1.03)^($B24-'A - Inputs'!$C$6)</f>
        <v>6045.4566911785178</v>
      </c>
      <c r="S24" s="604">
        <f>SUM(J24:O24)/(1+'A - Inputs'!$C$16)^($B24-'A - Inputs'!$C$6)</f>
        <v>2253912.3587861359</v>
      </c>
      <c r="T24" s="601">
        <f t="shared" si="5"/>
        <v>2259957.8154773144</v>
      </c>
    </row>
    <row r="25" spans="2:20" x14ac:dyDescent="0.25">
      <c r="B25" s="517">
        <f t="shared" si="1"/>
        <v>2035</v>
      </c>
      <c r="C25" s="516">
        <f t="shared" si="2"/>
        <v>14</v>
      </c>
      <c r="D25" s="143">
        <f>'E - Construction &amp; Residual'!D26</f>
        <v>0</v>
      </c>
      <c r="E25" s="144">
        <f t="shared" si="6"/>
        <v>0</v>
      </c>
      <c r="F25" s="144">
        <f>$E25/(1+disc2)^($B25-'A - Inputs'!$C$6)</f>
        <v>0</v>
      </c>
      <c r="G25" s="144"/>
      <c r="H25" s="517">
        <f t="shared" si="4"/>
        <v>2035</v>
      </c>
      <c r="I25" s="516">
        <f t="shared" si="4"/>
        <v>14</v>
      </c>
      <c r="J25" s="145">
        <f>'E - Construction &amp; Residual'!L26</f>
        <v>0</v>
      </c>
      <c r="K25" s="145">
        <f>'F - Maintenance &amp; SOGR'!K39</f>
        <v>17400</v>
      </c>
      <c r="L25" s="145">
        <f>'G - Crash Savings'!I34</f>
        <v>3460619.9993449338</v>
      </c>
      <c r="M25" s="145">
        <f>'I - Travel Time'!P28</f>
        <v>1231162.6311151835</v>
      </c>
      <c r="N25" s="145">
        <f>'J -Operating Cost Savings'!L26</f>
        <v>1061393.8683172124</v>
      </c>
      <c r="O25" s="144">
        <f>'L - Environmental'!AU30</f>
        <v>77688.644373614923</v>
      </c>
      <c r="P25" s="149">
        <f>'L - Environmental'!AV30</f>
        <v>9406.349434346921</v>
      </c>
      <c r="Q25" s="347">
        <f t="shared" si="0"/>
        <v>5857671.4925852921</v>
      </c>
      <c r="R25" s="347">
        <f>SUM(P25)/(1.03)^($B25-'A - Inputs'!$C$6)</f>
        <v>6037.5777658239285</v>
      </c>
      <c r="S25" s="604">
        <f>SUM(J25:O25)/(1+'A - Inputs'!$C$16)^($B25-'A - Inputs'!$C$6)</f>
        <v>2119680.4229482147</v>
      </c>
      <c r="T25" s="601">
        <f t="shared" si="5"/>
        <v>2125718.0007140385</v>
      </c>
    </row>
    <row r="26" spans="2:20" x14ac:dyDescent="0.25">
      <c r="B26" s="517">
        <f t="shared" si="1"/>
        <v>2036</v>
      </c>
      <c r="C26" s="516">
        <f t="shared" si="2"/>
        <v>15</v>
      </c>
      <c r="D26" s="143">
        <f>'E - Construction &amp; Residual'!D27</f>
        <v>0</v>
      </c>
      <c r="E26" s="144">
        <f t="shared" si="6"/>
        <v>0</v>
      </c>
      <c r="F26" s="144">
        <f>$E26/(1+disc2)^($B26-'A - Inputs'!$C$6)</f>
        <v>0</v>
      </c>
      <c r="G26" s="144"/>
      <c r="H26" s="517">
        <f t="shared" si="4"/>
        <v>2036</v>
      </c>
      <c r="I26" s="516">
        <f t="shared" si="4"/>
        <v>15</v>
      </c>
      <c r="J26" s="145">
        <f>'E - Construction &amp; Residual'!L27</f>
        <v>0</v>
      </c>
      <c r="K26" s="145">
        <f>'F - Maintenance &amp; SOGR'!K40</f>
        <v>17400</v>
      </c>
      <c r="L26" s="145">
        <f>'G - Crash Savings'!I35</f>
        <v>3476506.3821868524</v>
      </c>
      <c r="M26" s="145">
        <f>'I - Travel Time'!P29</f>
        <v>1241702.2380491477</v>
      </c>
      <c r="N26" s="145">
        <f>'J -Operating Cost Savings'!L27</f>
        <v>1070480.1367690498</v>
      </c>
      <c r="O26" s="144">
        <f>'L - Environmental'!AU31</f>
        <v>78741.234994936603</v>
      </c>
      <c r="P26" s="149">
        <f>'L - Environmental'!AV31</f>
        <v>9672.8161204538392</v>
      </c>
      <c r="Q26" s="347">
        <f t="shared" si="0"/>
        <v>5894502.8081204407</v>
      </c>
      <c r="R26" s="347">
        <f>SUM(P26)/(1.03)^($B26-'A - Inputs'!$C$6)</f>
        <v>6027.7792154221997</v>
      </c>
      <c r="S26" s="604">
        <f>SUM(J26:O26)/(1+'A - Inputs'!$C$16)^($B26-'A - Inputs'!$C$6)</f>
        <v>1993395.5204414716</v>
      </c>
      <c r="T26" s="601">
        <f t="shared" si="5"/>
        <v>1999423.2996568938</v>
      </c>
    </row>
    <row r="27" spans="2:20" x14ac:dyDescent="0.25">
      <c r="B27" s="517">
        <f t="shared" si="1"/>
        <v>2037</v>
      </c>
      <c r="C27" s="516">
        <f t="shared" si="2"/>
        <v>16</v>
      </c>
      <c r="D27" s="143">
        <f>'E - Construction &amp; Residual'!D28</f>
        <v>0</v>
      </c>
      <c r="E27" s="144">
        <f t="shared" si="6"/>
        <v>0</v>
      </c>
      <c r="F27" s="144">
        <f>$E27/(1+disc2)^($B27-'A - Inputs'!$C$6)</f>
        <v>0</v>
      </c>
      <c r="G27" s="144"/>
      <c r="H27" s="517">
        <f t="shared" si="4"/>
        <v>2037</v>
      </c>
      <c r="I27" s="516">
        <f t="shared" si="4"/>
        <v>16</v>
      </c>
      <c r="J27" s="145">
        <f>'E - Construction &amp; Residual'!L28</f>
        <v>0</v>
      </c>
      <c r="K27" s="145">
        <f>'F - Maintenance &amp; SOGR'!K41</f>
        <v>17400</v>
      </c>
      <c r="L27" s="145">
        <f>'G - Crash Savings'!I36</f>
        <v>3492392.7650287696</v>
      </c>
      <c r="M27" s="145">
        <f>'I - Travel Time'!P30</f>
        <v>1252286.5365230124</v>
      </c>
      <c r="N27" s="145">
        <f>'J -Operating Cost Savings'!L28</f>
        <v>1079604.9341083125</v>
      </c>
      <c r="O27" s="144">
        <f>'L - Environmental'!AU32</f>
        <v>79811.73644483852</v>
      </c>
      <c r="P27" s="149">
        <f>'L - Environmental'!AV32</f>
        <v>10089.959944401935</v>
      </c>
      <c r="Q27" s="347">
        <f t="shared" si="0"/>
        <v>5931585.932049334</v>
      </c>
      <c r="R27" s="347">
        <f>SUM(P27)/(1.03)^($B27-'A - Inputs'!$C$6)</f>
        <v>6104.5917042781639</v>
      </c>
      <c r="S27" s="604">
        <f>SUM(J27:O27)/(1+'A - Inputs'!$C$16)^($B27-'A - Inputs'!$C$6)</f>
        <v>1874593.9780048023</v>
      </c>
      <c r="T27" s="601">
        <f t="shared" si="5"/>
        <v>1880698.5697090805</v>
      </c>
    </row>
    <row r="28" spans="2:20" x14ac:dyDescent="0.25">
      <c r="B28" s="517">
        <f t="shared" si="1"/>
        <v>2038</v>
      </c>
      <c r="C28" s="516">
        <f t="shared" si="2"/>
        <v>17</v>
      </c>
      <c r="D28" s="143">
        <f>'E - Construction &amp; Residual'!D29</f>
        <v>0</v>
      </c>
      <c r="E28" s="144">
        <f t="shared" si="6"/>
        <v>0</v>
      </c>
      <c r="F28" s="144">
        <f>$E28/(1+disc2)^($B28-'A - Inputs'!$C$6)</f>
        <v>0</v>
      </c>
      <c r="G28" s="144"/>
      <c r="H28" s="517">
        <f t="shared" si="4"/>
        <v>2038</v>
      </c>
      <c r="I28" s="516">
        <f t="shared" si="4"/>
        <v>17</v>
      </c>
      <c r="J28" s="145">
        <f>'E - Construction &amp; Residual'!L29</f>
        <v>0</v>
      </c>
      <c r="K28" s="145">
        <f>'F - Maintenance &amp; SOGR'!K42</f>
        <v>17400</v>
      </c>
      <c r="L28" s="145">
        <f>'G - Crash Savings'!I37</f>
        <v>3508279.1478706878</v>
      </c>
      <c r="M28" s="145">
        <f>'I - Travel Time'!P31</f>
        <v>1262915.5265367778</v>
      </c>
      <c r="N28" s="145">
        <f>'J -Operating Cost Savings'!L29</f>
        <v>1088768.260335</v>
      </c>
      <c r="O28" s="144">
        <f>'L - Environmental'!AU33</f>
        <v>80877.375724045458</v>
      </c>
      <c r="P28" s="149">
        <f>'L - Environmental'!AV33</f>
        <v>10367.223091999502</v>
      </c>
      <c r="Q28" s="347">
        <f t="shared" si="0"/>
        <v>5968607.5335585102</v>
      </c>
      <c r="R28" s="347">
        <f>SUM(P28)/(1.03)^($B28-'A - Inputs'!$C$6)</f>
        <v>6089.6509401955127</v>
      </c>
      <c r="S28" s="604">
        <f>SUM(J28:O28)/(1+'A - Inputs'!$C$16)^($B28-'A - Inputs'!$C$6)</f>
        <v>1762828.3126398376</v>
      </c>
      <c r="T28" s="601">
        <f t="shared" si="5"/>
        <v>1768917.963580033</v>
      </c>
    </row>
    <row r="29" spans="2:20" x14ac:dyDescent="0.25">
      <c r="B29" s="517">
        <f t="shared" si="1"/>
        <v>2039</v>
      </c>
      <c r="C29" s="516">
        <f t="shared" si="2"/>
        <v>18</v>
      </c>
      <c r="D29" s="143">
        <f>'E - Construction &amp; Residual'!D30</f>
        <v>0</v>
      </c>
      <c r="E29" s="144">
        <f t="shared" si="6"/>
        <v>0</v>
      </c>
      <c r="F29" s="144">
        <f>$E29/(1+disc2)^($B29-'A - Inputs'!$C$6)</f>
        <v>0</v>
      </c>
      <c r="G29" s="144"/>
      <c r="H29" s="517">
        <f t="shared" si="4"/>
        <v>2039</v>
      </c>
      <c r="I29" s="516">
        <f t="shared" si="4"/>
        <v>18</v>
      </c>
      <c r="J29" s="145">
        <f>'E - Construction &amp; Residual'!L30</f>
        <v>0</v>
      </c>
      <c r="K29" s="145">
        <f>'F - Maintenance &amp; SOGR'!K43</f>
        <v>17400</v>
      </c>
      <c r="L29" s="145">
        <f>'G - Crash Savings'!I38</f>
        <v>3524165.5307126064</v>
      </c>
      <c r="M29" s="145">
        <f>'I - Travel Time'!P32</f>
        <v>1273589.2080904434</v>
      </c>
      <c r="N29" s="145">
        <f>'J -Operating Cost Savings'!L30</f>
        <v>1097970.1154491124</v>
      </c>
      <c r="O29" s="144">
        <f>'L - Environmental'!AU34</f>
        <v>81949.493045866751</v>
      </c>
      <c r="P29" s="149">
        <f>'L - Environmental'!AV34</f>
        <v>10649.008862509976</v>
      </c>
      <c r="Q29" s="347">
        <f t="shared" si="0"/>
        <v>6005723.3561605383</v>
      </c>
      <c r="R29" s="347">
        <f>SUM(P29)/(1.03)^($B29-'A - Inputs'!$C$6)</f>
        <v>6072.9809536857911</v>
      </c>
      <c r="S29" s="604">
        <f>SUM(J29:O29)/(1+'A - Inputs'!$C$16)^($B29-'A - Inputs'!$C$6)</f>
        <v>1657688.0140474243</v>
      </c>
      <c r="T29" s="601">
        <f t="shared" si="5"/>
        <v>1663760.99500111</v>
      </c>
    </row>
    <row r="30" spans="2:20" x14ac:dyDescent="0.25">
      <c r="B30" s="517">
        <f t="shared" si="1"/>
        <v>2040</v>
      </c>
      <c r="C30" s="516">
        <f t="shared" si="2"/>
        <v>19</v>
      </c>
      <c r="D30" s="143">
        <f>'E - Construction &amp; Residual'!D31</f>
        <v>0</v>
      </c>
      <c r="E30" s="144">
        <f t="shared" si="6"/>
        <v>0</v>
      </c>
      <c r="F30" s="144">
        <f>$E30/(1+disc2)^($B30-'A - Inputs'!$C$6)</f>
        <v>0</v>
      </c>
      <c r="G30" s="144"/>
      <c r="H30" s="517">
        <f t="shared" si="4"/>
        <v>2040</v>
      </c>
      <c r="I30" s="516">
        <f t="shared" si="4"/>
        <v>19</v>
      </c>
      <c r="J30" s="145">
        <f>'E - Construction &amp; Residual'!L31</f>
        <v>0</v>
      </c>
      <c r="K30" s="145">
        <f>'F - Maintenance &amp; SOGR'!K44</f>
        <v>17400</v>
      </c>
      <c r="L30" s="145">
        <f>'G - Crash Savings'!I39</f>
        <v>3540051.9135545241</v>
      </c>
      <c r="M30" s="145">
        <f>'I - Travel Time'!P33</f>
        <v>1284307.58118401</v>
      </c>
      <c r="N30" s="145">
        <f>'J -Operating Cost Savings'!L31</f>
        <v>1107210.4994506496</v>
      </c>
      <c r="O30" s="144">
        <f>'L - Environmental'!AU35</f>
        <v>83028.089634646371</v>
      </c>
      <c r="P30" s="149">
        <f>'L - Environmental'!AV35</f>
        <v>10935.350165339276</v>
      </c>
      <c r="Q30" s="347">
        <f t="shared" si="0"/>
        <v>6042933.43398917</v>
      </c>
      <c r="R30" s="347">
        <f>SUM(P30)/(1.03)^($B30-'A - Inputs'!$C$6)</f>
        <v>6054.6382500858863</v>
      </c>
      <c r="S30" s="604">
        <f>SUM(J30:O30)/(1+'A - Inputs'!$C$16)^($B30-'A - Inputs'!$C$6)</f>
        <v>1558782.9297969211</v>
      </c>
      <c r="T30" s="601">
        <f t="shared" si="5"/>
        <v>1564837.5680470071</v>
      </c>
    </row>
    <row r="31" spans="2:20" x14ac:dyDescent="0.25">
      <c r="B31" s="517">
        <f t="shared" si="1"/>
        <v>2041</v>
      </c>
      <c r="C31" s="516">
        <f t="shared" si="2"/>
        <v>20</v>
      </c>
      <c r="D31" s="143">
        <f>'E - Construction &amp; Residual'!D32</f>
        <v>0</v>
      </c>
      <c r="E31" s="144">
        <f t="shared" si="6"/>
        <v>0</v>
      </c>
      <c r="F31" s="144">
        <f>$E31/(1+disc2)^($B31-'A - Inputs'!$C$6)</f>
        <v>0</v>
      </c>
      <c r="G31" s="144"/>
      <c r="H31" s="517">
        <f t="shared" si="4"/>
        <v>2041</v>
      </c>
      <c r="I31" s="516">
        <f t="shared" si="4"/>
        <v>20</v>
      </c>
      <c r="J31" s="145">
        <f>'E - Construction &amp; Residual'!L32</f>
        <v>0</v>
      </c>
      <c r="K31" s="145">
        <f>'F - Maintenance &amp; SOGR'!K45</f>
        <v>17400</v>
      </c>
      <c r="L31" s="145">
        <f>'G - Crash Savings'!I40</f>
        <v>3555938.2963964427</v>
      </c>
      <c r="M31" s="145">
        <f>'I - Travel Time'!P34</f>
        <v>1295070.645817477</v>
      </c>
      <c r="N31" s="145">
        <f>'J -Operating Cost Savings'!L32</f>
        <v>1116489.4123396124</v>
      </c>
      <c r="O31" s="144">
        <f>'L - Environmental'!AU36</f>
        <v>84113.166714728301</v>
      </c>
      <c r="P31" s="149">
        <f>'L - Environmental'!AV36</f>
        <v>11226.279909893305</v>
      </c>
      <c r="Q31" s="347">
        <f t="shared" si="0"/>
        <v>6080237.8011781527</v>
      </c>
      <c r="R31" s="347">
        <f>SUM(P31)/(1.03)^($B31-'A - Inputs'!$C$6)</f>
        <v>6034.6786367156083</v>
      </c>
      <c r="S31" s="604">
        <f>SUM(J31:O31)/(1+'A - Inputs'!$C$16)^($B31-'A - Inputs'!$C$6)</f>
        <v>1465745.7059738541</v>
      </c>
      <c r="T31" s="601">
        <f t="shared" si="5"/>
        <v>1471780.3846105696</v>
      </c>
    </row>
    <row r="32" spans="2:20" x14ac:dyDescent="0.25">
      <c r="B32" s="517">
        <f t="shared" si="1"/>
        <v>2042</v>
      </c>
      <c r="C32" s="516">
        <f t="shared" si="2"/>
        <v>21</v>
      </c>
      <c r="D32" s="143">
        <f>'E - Construction &amp; Residual'!D33</f>
        <v>0</v>
      </c>
      <c r="E32" s="144">
        <f t="shared" si="6"/>
        <v>0</v>
      </c>
      <c r="F32" s="144">
        <f>$E32/(1+disc2)^($B32-'A - Inputs'!$C$6)</f>
        <v>0</v>
      </c>
      <c r="G32" s="144"/>
      <c r="H32" s="517">
        <f t="shared" si="4"/>
        <v>2042</v>
      </c>
      <c r="I32" s="516">
        <f t="shared" si="4"/>
        <v>21</v>
      </c>
      <c r="J32" s="145">
        <f>'E - Construction &amp; Residual'!L33</f>
        <v>0</v>
      </c>
      <c r="K32" s="145">
        <f>'F - Maintenance &amp; SOGR'!K46</f>
        <v>1517400</v>
      </c>
      <c r="L32" s="145">
        <f>'G - Crash Savings'!I41</f>
        <v>3571824.6792383604</v>
      </c>
      <c r="M32" s="145">
        <f>'I - Travel Time'!P35</f>
        <v>1305878.4019908442</v>
      </c>
      <c r="N32" s="145">
        <f>'J -Operating Cost Savings'!L33</f>
        <v>1125806.854116</v>
      </c>
      <c r="O32" s="144">
        <f>'L - Environmental'!AU37</f>
        <v>85204.725510456439</v>
      </c>
      <c r="P32" s="149">
        <f>'L - Environmental'!AV37</f>
        <v>11521.831005577969</v>
      </c>
      <c r="Q32" s="347">
        <f t="shared" si="0"/>
        <v>7617636.4918612391</v>
      </c>
      <c r="R32" s="347">
        <f>SUM(P32)/(1.03)^($B32-'A - Inputs'!$C$6)</f>
        <v>6013.1571982476016</v>
      </c>
      <c r="S32" s="604">
        <f>SUM(J32:O32)/(1+'A - Inputs'!$C$16)^($B32-'A - Inputs'!$C$6)</f>
        <v>1716800.2148189947</v>
      </c>
      <c r="T32" s="601">
        <f t="shared" si="5"/>
        <v>1722813.3720172422</v>
      </c>
    </row>
    <row r="33" spans="2:20" x14ac:dyDescent="0.25">
      <c r="B33" s="517">
        <f t="shared" si="1"/>
        <v>2043</v>
      </c>
      <c r="C33" s="516">
        <f t="shared" si="2"/>
        <v>22</v>
      </c>
      <c r="D33" s="143">
        <f>'E - Construction &amp; Residual'!D34</f>
        <v>0</v>
      </c>
      <c r="E33" s="144">
        <f t="shared" si="6"/>
        <v>0</v>
      </c>
      <c r="F33" s="144">
        <f>$E33/(1+disc2)^($B33-'A - Inputs'!$C$6)</f>
        <v>0</v>
      </c>
      <c r="G33" s="144"/>
      <c r="H33" s="517">
        <f t="shared" si="4"/>
        <v>2043</v>
      </c>
      <c r="I33" s="516">
        <f t="shared" si="4"/>
        <v>22</v>
      </c>
      <c r="J33" s="145">
        <f>'E - Construction &amp; Residual'!L34</f>
        <v>0</v>
      </c>
      <c r="K33" s="145">
        <f>'F - Maintenance &amp; SOGR'!K47</f>
        <v>17400</v>
      </c>
      <c r="L33" s="145">
        <f>'G - Crash Savings'!I42</f>
        <v>3587711.0620802776</v>
      </c>
      <c r="M33" s="145">
        <f>'I - Travel Time'!P36</f>
        <v>1316730.8497041124</v>
      </c>
      <c r="N33" s="145">
        <f>'J -Operating Cost Savings'!L34</f>
        <v>1135162.8247798127</v>
      </c>
      <c r="O33" s="144">
        <f>'L - Environmental'!AU38</f>
        <v>86302.767246174801</v>
      </c>
      <c r="P33" s="149">
        <f>'L - Environmental'!AV38</f>
        <v>11822.036361799188</v>
      </c>
      <c r="Q33" s="347">
        <f t="shared" si="0"/>
        <v>6155129.5401721764</v>
      </c>
      <c r="R33" s="347">
        <f>SUM(P33)/(1.03)^($B33-'A - Inputs'!$C$6)</f>
        <v>5990.1282741594569</v>
      </c>
      <c r="S33" s="604">
        <f>SUM(J33:O33)/(1+'A - Inputs'!$C$16)^($B33-'A - Inputs'!$C$6)</f>
        <v>1295911.5713600537</v>
      </c>
      <c r="T33" s="601">
        <f t="shared" si="5"/>
        <v>1301901.6996342132</v>
      </c>
    </row>
    <row r="34" spans="2:20" x14ac:dyDescent="0.25">
      <c r="B34" s="517">
        <f t="shared" si="1"/>
        <v>2044</v>
      </c>
      <c r="C34" s="516">
        <f t="shared" si="2"/>
        <v>23</v>
      </c>
      <c r="D34" s="143">
        <f>'E - Construction &amp; Residual'!D35</f>
        <v>0</v>
      </c>
      <c r="E34" s="144">
        <f t="shared" si="6"/>
        <v>0</v>
      </c>
      <c r="F34" s="144">
        <f>$E34/(1+disc2)^($B34-'A - Inputs'!$C$6)</f>
        <v>0</v>
      </c>
      <c r="G34" s="144"/>
      <c r="H34" s="517">
        <f t="shared" si="4"/>
        <v>2044</v>
      </c>
      <c r="I34" s="516">
        <f t="shared" si="4"/>
        <v>23</v>
      </c>
      <c r="J34" s="145">
        <f>'E - Construction &amp; Residual'!L35</f>
        <v>0</v>
      </c>
      <c r="K34" s="145">
        <f>'F - Maintenance &amp; SOGR'!K48</f>
        <v>17400</v>
      </c>
      <c r="L34" s="145">
        <f>'G - Crash Savings'!I43</f>
        <v>3603597.4449221962</v>
      </c>
      <c r="M34" s="145">
        <f>'I - Travel Time'!P37</f>
        <v>1327627.988957281</v>
      </c>
      <c r="N34" s="145">
        <f>'J -Operating Cost Savings'!L35</f>
        <v>1144557.3243310498</v>
      </c>
      <c r="O34" s="144">
        <f>'L - Environmental'!AU39</f>
        <v>87419.4167928276</v>
      </c>
      <c r="P34" s="149">
        <f>'L - Environmental'!AV39</f>
        <v>12286.493741751852</v>
      </c>
      <c r="Q34" s="347">
        <f t="shared" si="0"/>
        <v>6192888.6687451061</v>
      </c>
      <c r="R34" s="347">
        <f>SUM(P34)/(1.03)^($B34-'A - Inputs'!$C$6)</f>
        <v>6044.1407728919885</v>
      </c>
      <c r="S34" s="604">
        <f>SUM(J34:O34)/(1+'A - Inputs'!$C$16)^($B34-'A - Inputs'!$C$6)</f>
        <v>1218484.8280500905</v>
      </c>
      <c r="T34" s="601">
        <f t="shared" si="5"/>
        <v>1224528.9688229824</v>
      </c>
    </row>
    <row r="35" spans="2:20" x14ac:dyDescent="0.25">
      <c r="B35" s="517">
        <f t="shared" si="1"/>
        <v>2045</v>
      </c>
      <c r="C35" s="516">
        <f t="shared" si="2"/>
        <v>24</v>
      </c>
      <c r="D35" s="143">
        <f>'E - Construction &amp; Residual'!D36</f>
        <v>0</v>
      </c>
      <c r="E35" s="144">
        <f t="shared" si="6"/>
        <v>0</v>
      </c>
      <c r="F35" s="144">
        <f>$E35/(1+disc2)^($B35-'A - Inputs'!$C$6)</f>
        <v>0</v>
      </c>
      <c r="G35" s="144"/>
      <c r="H35" s="517">
        <f t="shared" si="4"/>
        <v>2045</v>
      </c>
      <c r="I35" s="516">
        <f t="shared" si="4"/>
        <v>24</v>
      </c>
      <c r="J35" s="145">
        <f>'E - Construction &amp; Residual'!L36</f>
        <v>0</v>
      </c>
      <c r="K35" s="145">
        <f>'F - Maintenance &amp; SOGR'!K49</f>
        <v>17400</v>
      </c>
      <c r="L35" s="145">
        <f>'G - Crash Savings'!I44</f>
        <v>3619483.8277641134</v>
      </c>
      <c r="M35" s="145">
        <f>'I - Travel Time'!P38</f>
        <v>1338569.81975035</v>
      </c>
      <c r="N35" s="145">
        <f>'J -Operating Cost Savings'!L36</f>
        <v>1153990.3527697125</v>
      </c>
      <c r="O35" s="144">
        <f>'L - Environmental'!AU40</f>
        <v>88530.528000278515</v>
      </c>
      <c r="P35" s="149">
        <f>'L - Environmental'!AV40</f>
        <v>12598.05501936421</v>
      </c>
      <c r="Q35" s="347">
        <f t="shared" si="0"/>
        <v>6230572.5833038185</v>
      </c>
      <c r="R35" s="347">
        <f>SUM(P35)/(1.03)^($B35-'A - Inputs'!$C$6)</f>
        <v>6016.9012391131528</v>
      </c>
      <c r="S35" s="604">
        <f>SUM(J35:O35)/(1+'A - Inputs'!$C$16)^($B35-'A - Inputs'!$C$6)</f>
        <v>1145656.6926906463</v>
      </c>
      <c r="T35" s="601">
        <f t="shared" si="5"/>
        <v>1151673.5939297595</v>
      </c>
    </row>
    <row r="36" spans="2:20" x14ac:dyDescent="0.25">
      <c r="B36" s="517">
        <f t="shared" si="1"/>
        <v>2046</v>
      </c>
      <c r="C36" s="516">
        <f t="shared" si="2"/>
        <v>25</v>
      </c>
      <c r="D36" s="143">
        <f>'E - Construction &amp; Residual'!D37</f>
        <v>0</v>
      </c>
      <c r="E36" s="144">
        <f t="shared" si="6"/>
        <v>0</v>
      </c>
      <c r="F36" s="144">
        <f>$E36/(1+disc2)^($B36-'A - Inputs'!$C$6)</f>
        <v>0</v>
      </c>
      <c r="G36" s="144"/>
      <c r="H36" s="517">
        <f t="shared" si="4"/>
        <v>2046</v>
      </c>
      <c r="I36" s="516">
        <f t="shared" si="4"/>
        <v>25</v>
      </c>
      <c r="J36" s="145">
        <f>'E - Construction &amp; Residual'!L37</f>
        <v>0</v>
      </c>
      <c r="K36" s="145">
        <f>'F - Maintenance &amp; SOGR'!K50</f>
        <v>17400</v>
      </c>
      <c r="L36" s="145">
        <f>'G - Crash Savings'!I45</f>
        <v>3635370.2106060321</v>
      </c>
      <c r="M36" s="145">
        <f>'I - Travel Time'!P39</f>
        <v>1349556.3420833198</v>
      </c>
      <c r="N36" s="145">
        <f>'J -Operating Cost Savings'!L37</f>
        <v>1163461.9100957997</v>
      </c>
      <c r="O36" s="144">
        <f>'L - Environmental'!AU41</f>
        <v>89648.126228866153</v>
      </c>
      <c r="P36" s="149">
        <f>'L - Environmental'!AV41</f>
        <v>12914.380255532818</v>
      </c>
      <c r="Q36" s="347">
        <f t="shared" si="0"/>
        <v>6268350.9692695504</v>
      </c>
      <c r="R36" s="347">
        <f>SUM(P36)/(1.03)^($B36-'A - Inputs'!$C$6)</f>
        <v>5988.3300326264934</v>
      </c>
      <c r="S36" s="604">
        <f>SUM(J36:O36)/(1+'A - Inputs'!$C$16)^($B36-'A - Inputs'!$C$6)</f>
        <v>1077157.9874470623</v>
      </c>
      <c r="T36" s="601">
        <f t="shared" si="5"/>
        <v>1083146.3174796887</v>
      </c>
    </row>
    <row r="37" spans="2:20" x14ac:dyDescent="0.25">
      <c r="B37" s="517">
        <f t="shared" si="1"/>
        <v>2047</v>
      </c>
      <c r="C37" s="516">
        <f t="shared" si="2"/>
        <v>26</v>
      </c>
      <c r="D37" s="143">
        <f>'E - Construction &amp; Residual'!D38</f>
        <v>0</v>
      </c>
      <c r="E37" s="144">
        <f t="shared" ref="E37:E41" si="7">SUM(D37:D37)</f>
        <v>0</v>
      </c>
      <c r="F37" s="144">
        <f>$E37/(1+disc2)^($B37-'A - Inputs'!$C$6)</f>
        <v>0</v>
      </c>
      <c r="G37" s="144"/>
      <c r="H37" s="517">
        <f t="shared" ref="H37:I37" si="8">H36+1</f>
        <v>2047</v>
      </c>
      <c r="I37" s="516">
        <f t="shared" si="8"/>
        <v>26</v>
      </c>
      <c r="J37" s="145">
        <f>'E - Construction &amp; Residual'!L38</f>
        <v>0</v>
      </c>
      <c r="K37" s="145">
        <f>'F - Maintenance &amp; SOGR'!K51</f>
        <v>17400</v>
      </c>
      <c r="L37" s="145">
        <f>'G - Crash Savings'!I46</f>
        <v>3651256.5934479507</v>
      </c>
      <c r="M37" s="145">
        <f>'I - Travel Time'!P40</f>
        <v>1360587.5559561902</v>
      </c>
      <c r="N37" s="145">
        <f>'J -Operating Cost Savings'!L38</f>
        <v>1172971.9963093128</v>
      </c>
      <c r="O37" s="144">
        <f>'L - Environmental'!AU42</f>
        <v>90772.212702934499</v>
      </c>
      <c r="P37" s="149">
        <f>'L - Environmental'!AV42</f>
        <v>13235.502359663595</v>
      </c>
      <c r="Q37" s="347">
        <f t="shared" si="0"/>
        <v>6306223.8607760519</v>
      </c>
      <c r="R37" s="347">
        <f>SUM(P37)/(1.03)^($B37-'A - Inputs'!$C$6)</f>
        <v>5958.4783098795087</v>
      </c>
      <c r="S37" s="604">
        <f>SUM(J37:O37)/(1+'A - Inputs'!$C$16)^($B37-'A - Inputs'!$C$6)</f>
        <v>1012732.9279371544</v>
      </c>
      <c r="T37" s="601">
        <f t="shared" si="5"/>
        <v>1018691.406247034</v>
      </c>
    </row>
    <row r="38" spans="2:20" x14ac:dyDescent="0.25">
      <c r="B38" s="517">
        <f t="shared" si="1"/>
        <v>2048</v>
      </c>
      <c r="C38" s="516">
        <f t="shared" si="2"/>
        <v>27</v>
      </c>
      <c r="D38" s="143">
        <f>'E - Construction &amp; Residual'!D39</f>
        <v>0</v>
      </c>
      <c r="E38" s="144">
        <f t="shared" si="7"/>
        <v>0</v>
      </c>
      <c r="F38" s="144">
        <f>$E38/(1+disc2)^($B38-'A - Inputs'!$C$6)</f>
        <v>0</v>
      </c>
      <c r="G38" s="144"/>
      <c r="H38" s="517">
        <f t="shared" ref="H38:I38" si="9">H37+1</f>
        <v>2048</v>
      </c>
      <c r="I38" s="516">
        <f t="shared" si="9"/>
        <v>27</v>
      </c>
      <c r="J38" s="145">
        <f>'E - Construction &amp; Residual'!L39</f>
        <v>0</v>
      </c>
      <c r="K38" s="145">
        <f>'F - Maintenance &amp; SOGR'!K52</f>
        <v>17400</v>
      </c>
      <c r="L38" s="145">
        <f>'G - Crash Savings'!I47</f>
        <v>3667142.9762898684</v>
      </c>
      <c r="M38" s="145">
        <f>'I - Travel Time'!P41</f>
        <v>1371663.4613689613</v>
      </c>
      <c r="N38" s="145">
        <f>'J -Operating Cost Savings'!L39</f>
        <v>1182520.61141025</v>
      </c>
      <c r="O38" s="144">
        <f>'L - Environmental'!AU43</f>
        <v>91902.788646827452</v>
      </c>
      <c r="P38" s="149">
        <f>'L - Environmental'!AV43</f>
        <v>13561.454241162442</v>
      </c>
      <c r="Q38" s="347">
        <f t="shared" si="0"/>
        <v>6344191.2919570692</v>
      </c>
      <c r="R38" s="347">
        <f>SUM(P38)/(1.03)^($B38-'A - Inputs'!$C$6)</f>
        <v>5927.3963879965786</v>
      </c>
      <c r="S38" s="604">
        <f>SUM(J38:O38)/(1+'A - Inputs'!$C$16)^($B38-'A - Inputs'!$C$6)</f>
        <v>952140.73366967938</v>
      </c>
      <c r="T38" s="601">
        <f t="shared" si="5"/>
        <v>958068.130057676</v>
      </c>
    </row>
    <row r="39" spans="2:20" x14ac:dyDescent="0.25">
      <c r="B39" s="517">
        <f t="shared" si="1"/>
        <v>2049</v>
      </c>
      <c r="C39" s="516">
        <f t="shared" si="2"/>
        <v>28</v>
      </c>
      <c r="D39" s="143">
        <f>'E - Construction &amp; Residual'!D40</f>
        <v>0</v>
      </c>
      <c r="E39" s="144">
        <f t="shared" si="7"/>
        <v>0</v>
      </c>
      <c r="F39" s="144">
        <f>$E39/(1+disc2)^($B39-'A - Inputs'!$C$6)</f>
        <v>0</v>
      </c>
      <c r="G39" s="144"/>
      <c r="H39" s="517">
        <f t="shared" ref="H39:I39" si="10">H38+1</f>
        <v>2049</v>
      </c>
      <c r="I39" s="516">
        <f t="shared" si="10"/>
        <v>28</v>
      </c>
      <c r="J39" s="145">
        <f>'E - Construction &amp; Residual'!L40</f>
        <v>0</v>
      </c>
      <c r="K39" s="145">
        <f>'F - Maintenance &amp; SOGR'!K53</f>
        <v>17400</v>
      </c>
      <c r="L39" s="145">
        <f>'G - Crash Savings'!I48</f>
        <v>3683029.359131786</v>
      </c>
      <c r="M39" s="145">
        <f>'I - Travel Time'!P42</f>
        <v>1382784.0583216329</v>
      </c>
      <c r="N39" s="145">
        <f>'J -Operating Cost Savings'!L40</f>
        <v>1192107.7553986125</v>
      </c>
      <c r="O39" s="144">
        <f>'L - Environmental'!AU44</f>
        <v>93039.855284889039</v>
      </c>
      <c r="P39" s="149">
        <f>'L - Environmental'!AV44</f>
        <v>13892.268809435285</v>
      </c>
      <c r="Q39" s="347">
        <f t="shared" si="0"/>
        <v>6382253.2969463561</v>
      </c>
      <c r="R39" s="347">
        <f>SUM(P39)/(1.03)^($B39-'A - Inputs'!$C$6)</f>
        <v>5895.133733396844</v>
      </c>
      <c r="S39" s="604">
        <f>SUM(J39:O39)/(1+'A - Inputs'!$C$16)^($B39-'A - Inputs'!$C$6)</f>
        <v>895154.75531460601</v>
      </c>
      <c r="T39" s="601">
        <f t="shared" si="5"/>
        <v>901049.88904800289</v>
      </c>
    </row>
    <row r="40" spans="2:20" x14ac:dyDescent="0.25">
      <c r="B40" s="517">
        <f t="shared" si="1"/>
        <v>2050</v>
      </c>
      <c r="C40" s="516">
        <f t="shared" si="2"/>
        <v>29</v>
      </c>
      <c r="D40" s="143">
        <f>'E - Construction &amp; Residual'!D41</f>
        <v>0</v>
      </c>
      <c r="E40" s="144">
        <f t="shared" si="7"/>
        <v>0</v>
      </c>
      <c r="F40" s="144">
        <f>$E40/(1+disc2)^($B40-'A - Inputs'!$C$6)</f>
        <v>0</v>
      </c>
      <c r="G40" s="144"/>
      <c r="H40" s="517">
        <f t="shared" ref="H40:I40" si="11">H39+1</f>
        <v>2050</v>
      </c>
      <c r="I40" s="516">
        <f t="shared" si="11"/>
        <v>29</v>
      </c>
      <c r="J40" s="145">
        <f>'E - Construction &amp; Residual'!L41</f>
        <v>0</v>
      </c>
      <c r="K40" s="145">
        <f>'F - Maintenance &amp; SOGR'!K54</f>
        <v>17400</v>
      </c>
      <c r="L40" s="145">
        <f>'G - Crash Savings'!I49</f>
        <v>3698915.7419737042</v>
      </c>
      <c r="M40" s="145">
        <f>'I - Travel Time'!P43</f>
        <v>1393949.3468142045</v>
      </c>
      <c r="N40" s="145">
        <f>'J -Operating Cost Savings'!L41</f>
        <v>1201733.4282744003</v>
      </c>
      <c r="O40" s="144">
        <f>'L - Environmental'!AU45</f>
        <v>94183.413841463174</v>
      </c>
      <c r="P40" s="149">
        <f>'L - Environmental'!AV45</f>
        <v>14227.978973888023</v>
      </c>
      <c r="Q40" s="347">
        <f t="shared" si="0"/>
        <v>6420409.9098776607</v>
      </c>
      <c r="R40" s="347">
        <f>SUM(P40)/(1.03)^($B40-'A - Inputs'!$C$6)</f>
        <v>5861.7389519125845</v>
      </c>
      <c r="S40" s="604">
        <f>SUM(J40:O40)/(1+'A - Inputs'!$C$16)^($B40-'A - Inputs'!$C$6)</f>
        <v>841561.65223065228</v>
      </c>
      <c r="T40" s="601">
        <f t="shared" si="5"/>
        <v>847423.3911825649</v>
      </c>
    </row>
    <row r="41" spans="2:20" x14ac:dyDescent="0.25">
      <c r="B41" s="517">
        <f t="shared" si="1"/>
        <v>2051</v>
      </c>
      <c r="C41" s="516">
        <f t="shared" si="2"/>
        <v>30</v>
      </c>
      <c r="D41" s="143">
        <f>'E - Construction &amp; Residual'!D42</f>
        <v>0</v>
      </c>
      <c r="E41" s="144">
        <f t="shared" si="7"/>
        <v>0</v>
      </c>
      <c r="F41" s="144">
        <f>$E41/(1+disc2)^($B41-'A - Inputs'!$C$6)</f>
        <v>0</v>
      </c>
      <c r="G41" s="144"/>
      <c r="H41" s="517">
        <f t="shared" ref="H41:I41" si="12">H40+1</f>
        <v>2051</v>
      </c>
      <c r="I41" s="516">
        <f t="shared" si="12"/>
        <v>30</v>
      </c>
      <c r="J41" s="145">
        <f>'E - Construction &amp; Residual'!L42</f>
        <v>1161942.8786879063</v>
      </c>
      <c r="K41" s="145">
        <f>'F - Maintenance &amp; SOGR'!K55</f>
        <v>17400</v>
      </c>
      <c r="L41" s="145">
        <f>'G - Crash Savings'!I50</f>
        <v>3714802.1248156214</v>
      </c>
      <c r="M41" s="145">
        <f>'I - Travel Time'!P44</f>
        <v>1405159.3268466773</v>
      </c>
      <c r="N41" s="145">
        <f>'J -Operating Cost Savings'!L42</f>
        <v>1211397.6300376132</v>
      </c>
      <c r="O41" s="144">
        <f>'L - Environmental'!AU46</f>
        <v>95320.633892843689</v>
      </c>
      <c r="P41" s="149">
        <f>'L - Environmental'!AV46</f>
        <v>14395.181719594113</v>
      </c>
      <c r="Q41" s="347">
        <f t="shared" si="0"/>
        <v>7620417.7760002557</v>
      </c>
      <c r="R41" s="347">
        <f>SUM(P41)/(1.03)^($B41-'A - Inputs'!$C$6)</f>
        <v>5757.8876400953377</v>
      </c>
      <c r="S41" s="604">
        <f>SUM(J41:O41)/(1+'A - Inputs'!$C$16)^($B41-'A - Inputs'!$C$6)</f>
        <v>933814.26282553701</v>
      </c>
      <c r="T41" s="601">
        <f t="shared" si="5"/>
        <v>939572.15046563232</v>
      </c>
    </row>
    <row r="42" spans="2:20" x14ac:dyDescent="0.25">
      <c r="B42" s="8" t="s">
        <v>81</v>
      </c>
      <c r="C42" s="9"/>
      <c r="D42" s="94">
        <f>SUM(D12:D41)</f>
        <v>10407219.342068056</v>
      </c>
      <c r="E42" s="146">
        <f t="shared" ref="E42:F42" si="13">SUM(E12:E41)</f>
        <v>10407219.342068056</v>
      </c>
      <c r="F42" s="146">
        <f t="shared" si="13"/>
        <v>7773589.3154117782</v>
      </c>
      <c r="G42" s="99"/>
      <c r="H42" s="8" t="s">
        <v>81</v>
      </c>
      <c r="I42" s="9"/>
      <c r="J42" s="147">
        <f>SUM(J12:J41)</f>
        <v>1161942.8786879063</v>
      </c>
      <c r="K42" s="147">
        <f t="shared" ref="K42:N42" si="14">SUM(K12:K41)</f>
        <v>2272000</v>
      </c>
      <c r="L42" s="147">
        <f>SUM(L12:L41)</f>
        <v>91421780.821582824</v>
      </c>
      <c r="M42" s="147">
        <f t="shared" si="14"/>
        <v>33007096.991201483</v>
      </c>
      <c r="N42" s="147">
        <f t="shared" si="14"/>
        <v>28455647.915238865</v>
      </c>
      <c r="O42" s="147">
        <f t="shared" ref="O42:T42" si="15">SUM(O12:O41)</f>
        <v>2102768.2422292321</v>
      </c>
      <c r="P42" s="147">
        <f t="shared" si="15"/>
        <v>275801.22816129524</v>
      </c>
      <c r="Q42" s="348">
        <f t="shared" si="15"/>
        <v>158697038.07710159</v>
      </c>
      <c r="R42" s="348">
        <f t="shared" si="15"/>
        <v>156005.40754486987</v>
      </c>
      <c r="S42" s="605">
        <f t="shared" si="15"/>
        <v>49982495.664287984</v>
      </c>
      <c r="T42" s="94">
        <f t="shared" si="15"/>
        <v>50138501.071832873</v>
      </c>
    </row>
    <row r="43" spans="2:20" x14ac:dyDescent="0.25">
      <c r="G43" s="637"/>
      <c r="J43" s="651" t="s">
        <v>63</v>
      </c>
      <c r="K43" s="651" t="s">
        <v>66</v>
      </c>
      <c r="L43" s="651" t="s">
        <v>55</v>
      </c>
      <c r="M43" s="651" t="s">
        <v>49</v>
      </c>
      <c r="N43" s="651" t="s">
        <v>51</v>
      </c>
      <c r="O43" s="661" t="s">
        <v>59</v>
      </c>
      <c r="P43" s="661"/>
      <c r="Q43" s="600"/>
      <c r="R43" s="600"/>
      <c r="S43" s="606"/>
      <c r="T43" s="606"/>
    </row>
    <row r="44" spans="2:20" x14ac:dyDescent="0.25">
      <c r="R44" s="606"/>
      <c r="S44" s="606"/>
      <c r="T44" s="606"/>
    </row>
  </sheetData>
  <mergeCells count="1">
    <mergeCell ref="O43:P43"/>
  </mergeCells>
  <pageMargins left="0.7" right="0.70416666666666705" top="0.75" bottom="0.75" header="0.3" footer="0.3"/>
  <pageSetup scale="46" fitToWidth="0" fitToHeight="0" orientation="landscape" r:id="rId1"/>
  <headerFooter>
    <oddHeader>&amp;L&amp;"Arial,Bold"Post and McDuff Innovative Rail Crossing
CRISI 2022 BCA&amp;C
&amp;R&amp;"Arial,Bold"&amp;A</oddHeader>
    <oddFooter>&amp;CPage C-&amp;P</oddFooter>
  </headerFooter>
  <colBreaks count="1" manualBreakCount="1">
    <brk id="7" max="4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FF6A0-2277-4430-AE98-31C35E96F94D}">
  <sheetPr codeName="Sheet5">
    <tabColor theme="6" tint="0.39997558519241921"/>
  </sheetPr>
  <dimension ref="A1:J95"/>
  <sheetViews>
    <sheetView workbookViewId="0"/>
  </sheetViews>
  <sheetFormatPr defaultColWidth="8.7109375" defaultRowHeight="12.75" x14ac:dyDescent="0.2"/>
  <cols>
    <col min="1" max="1" width="3" style="4" customWidth="1"/>
    <col min="2" max="2" width="15" style="53" customWidth="1"/>
    <col min="3" max="3" width="43.5703125" style="53" bestFit="1" customWidth="1"/>
    <col min="4" max="4" width="16.5703125" style="54" bestFit="1" customWidth="1"/>
    <col min="5" max="5" width="12.42578125" style="89" customWidth="1"/>
    <col min="6" max="6" width="16" style="58" bestFit="1" customWidth="1"/>
    <col min="7" max="7" width="18.28515625" style="52" customWidth="1"/>
    <col min="8" max="8" width="17.7109375" style="52" customWidth="1"/>
    <col min="9" max="9" width="12.85546875" style="4" bestFit="1" customWidth="1"/>
    <col min="10" max="10" width="13.42578125" style="4" bestFit="1" customWidth="1"/>
    <col min="11" max="11" width="10.42578125" style="4" bestFit="1" customWidth="1"/>
    <col min="12" max="16384" width="8.7109375" style="4"/>
  </cols>
  <sheetData>
    <row r="1" spans="1:10" s="1" customFormat="1" ht="15" x14ac:dyDescent="0.25">
      <c r="A1" s="124" t="str" cm="1">
        <f t="array" aca="1" ref="A1" ca="1">MID(CELL("filename",A1),FIND("]",CELL("filename",A1))+1,255)</f>
        <v>D - Cost Estimate</v>
      </c>
      <c r="B1" s="124"/>
      <c r="C1" s="124"/>
      <c r="D1" s="124"/>
      <c r="E1" s="124"/>
      <c r="F1" s="124"/>
      <c r="G1" s="124"/>
      <c r="H1" s="124"/>
      <c r="I1"/>
      <c r="J1"/>
    </row>
    <row r="2" spans="1:10" x14ac:dyDescent="0.2">
      <c r="B2"/>
      <c r="C2"/>
      <c r="D2"/>
      <c r="E2"/>
      <c r="F2"/>
      <c r="I2"/>
      <c r="J2"/>
    </row>
    <row r="3" spans="1:10" x14ac:dyDescent="0.2">
      <c r="B3" s="214" t="s">
        <v>82</v>
      </c>
      <c r="C3" s="212"/>
      <c r="D3" s="212"/>
      <c r="E3" s="212"/>
      <c r="F3" s="212"/>
      <c r="G3" s="213"/>
      <c r="H3" s="213"/>
      <c r="I3"/>
    </row>
    <row r="4" spans="1:10" ht="27.6" customHeight="1" x14ac:dyDescent="0.2">
      <c r="B4" s="177" t="s">
        <v>83</v>
      </c>
      <c r="C4" s="177" t="s">
        <v>84</v>
      </c>
      <c r="D4" s="177" t="str">
        <f>"Total Amount ($"&amp;$D$33&amp;")"</f>
        <v>Total Amount ($2022)</v>
      </c>
      <c r="E4" s="178" t="s">
        <v>85</v>
      </c>
      <c r="F4" s="177" t="str">
        <f>"Total Amount ($"&amp;$D$34&amp;")"</f>
        <v>Total Amount ($2020)</v>
      </c>
      <c r="G4" s="177" t="s">
        <v>86</v>
      </c>
      <c r="H4" s="177" t="s">
        <v>87</v>
      </c>
    </row>
    <row r="5" spans="1:10" ht="15" x14ac:dyDescent="0.25">
      <c r="B5" s="179" t="s">
        <v>287</v>
      </c>
      <c r="C5" s="179"/>
      <c r="D5" s="343"/>
      <c r="E5" s="344"/>
      <c r="F5" s="345"/>
      <c r="G5" s="180"/>
      <c r="H5" s="346"/>
      <c r="I5" s="1"/>
    </row>
    <row r="6" spans="1:10" x14ac:dyDescent="0.2">
      <c r="B6" s="181">
        <v>1</v>
      </c>
      <c r="C6" s="181" t="s">
        <v>287</v>
      </c>
      <c r="D6" s="182">
        <v>9245289</v>
      </c>
      <c r="E6" s="183">
        <v>2024</v>
      </c>
      <c r="F6" s="184">
        <f>D6*((1+$D$35)^(E6-$D$33))/(1+$D$35)^(E6-$D$34)</f>
        <v>8714571.5901592989</v>
      </c>
      <c r="G6" s="92" t="s">
        <v>91</v>
      </c>
      <c r="H6" s="185" t="s">
        <v>89</v>
      </c>
    </row>
    <row r="7" spans="1:10" x14ac:dyDescent="0.2">
      <c r="B7" s="181">
        <v>2</v>
      </c>
      <c r="C7" s="181" t="s">
        <v>288</v>
      </c>
      <c r="D7" s="182">
        <v>400000</v>
      </c>
      <c r="E7" s="183">
        <v>2024</v>
      </c>
      <c r="F7" s="184">
        <f>D7*((1+$D$35)^(E7-$D$33))/(1+$D$35)^(E7-$D$34)</f>
        <v>377038.36365350179</v>
      </c>
      <c r="G7" s="92" t="s">
        <v>90</v>
      </c>
      <c r="H7" s="185" t="s">
        <v>290</v>
      </c>
    </row>
    <row r="8" spans="1:10" x14ac:dyDescent="0.2">
      <c r="B8" s="181">
        <v>3</v>
      </c>
      <c r="C8" s="181" t="s">
        <v>289</v>
      </c>
      <c r="D8" s="182">
        <v>1395730</v>
      </c>
      <c r="E8" s="183">
        <v>2023</v>
      </c>
      <c r="F8" s="184">
        <f>D8*((1+$D$35)^(E8-$D$33))/(1+$D$35)^(E8-$D$34)</f>
        <v>1315609.3882552551</v>
      </c>
      <c r="G8" s="92" t="s">
        <v>90</v>
      </c>
      <c r="H8" s="185" t="s">
        <v>291</v>
      </c>
    </row>
    <row r="9" spans="1:10" x14ac:dyDescent="0.2">
      <c r="B9" s="186" t="s">
        <v>287</v>
      </c>
      <c r="C9" s="186"/>
      <c r="D9" s="187">
        <f>SUM(D6:D8)</f>
        <v>11041019</v>
      </c>
      <c r="E9" s="188"/>
      <c r="F9" s="189">
        <f>SUM(F6:F8)</f>
        <v>10407219.342068056</v>
      </c>
      <c r="G9" s="190"/>
      <c r="H9" s="193"/>
    </row>
    <row r="10" spans="1:10" x14ac:dyDescent="0.2">
      <c r="B10" s="499" t="s">
        <v>92</v>
      </c>
      <c r="C10" s="499"/>
      <c r="D10" s="500">
        <f>SUM(D9)</f>
        <v>11041019</v>
      </c>
      <c r="E10" s="501"/>
      <c r="F10" s="504">
        <f>SUM(F9)</f>
        <v>10407219.342068056</v>
      </c>
      <c r="G10" s="502"/>
      <c r="H10" s="503"/>
    </row>
    <row r="11" spans="1:10" s="86" customFormat="1" ht="15" x14ac:dyDescent="0.25">
      <c r="B11" s="194"/>
      <c r="C11" s="195"/>
      <c r="D11" s="196"/>
      <c r="E11" s="197"/>
      <c r="F11" s="196"/>
      <c r="G11" s="198"/>
      <c r="H11" s="198"/>
      <c r="I11" s="85"/>
    </row>
    <row r="12" spans="1:10" ht="21.95" customHeight="1" x14ac:dyDescent="0.25">
      <c r="B12" s="215" t="s">
        <v>94</v>
      </c>
      <c r="C12" s="215"/>
      <c r="D12" s="216">
        <f>SUM(D10)</f>
        <v>11041019</v>
      </c>
      <c r="E12" s="216"/>
      <c r="F12" s="216">
        <f>SUM(F10)</f>
        <v>10407219.342068056</v>
      </c>
      <c r="G12" s="217"/>
      <c r="H12" s="217"/>
      <c r="I12" s="1"/>
    </row>
    <row r="13" spans="1:10" ht="15" x14ac:dyDescent="0.25">
      <c r="B13" s="199"/>
      <c r="C13" s="199"/>
      <c r="D13" s="200"/>
      <c r="E13" s="201"/>
      <c r="F13" s="200"/>
      <c r="G13" s="202"/>
      <c r="H13" s="202"/>
      <c r="I13" s="1"/>
    </row>
    <row r="14" spans="1:10" ht="15" x14ac:dyDescent="0.25">
      <c r="B14" s="214" t="s">
        <v>95</v>
      </c>
      <c r="C14" s="212"/>
      <c r="D14" s="212"/>
      <c r="E14" s="212"/>
      <c r="F14" s="212"/>
      <c r="G14" s="213"/>
      <c r="H14" s="213"/>
      <c r="I14" s="1"/>
    </row>
    <row r="15" spans="1:10" ht="24" x14ac:dyDescent="0.25">
      <c r="B15" s="203"/>
      <c r="C15" s="177" t="s">
        <v>96</v>
      </c>
      <c r="D15" s="204" t="s">
        <v>93</v>
      </c>
      <c r="E15" s="204" t="s">
        <v>81</v>
      </c>
      <c r="F15" s="192"/>
      <c r="G15" s="192"/>
      <c r="H15" s="192"/>
      <c r="I15" s="1"/>
    </row>
    <row r="16" spans="1:10" ht="15" x14ac:dyDescent="0.25">
      <c r="A16" s="1"/>
      <c r="B16" s="205" t="s">
        <v>90</v>
      </c>
      <c r="C16" s="206">
        <f>SUMIF($G$6:$G$12,B16,$F$6:$F$12)</f>
        <v>1692647.7519087568</v>
      </c>
      <c r="D16" s="206">
        <f>$D$20*C16/$C$20</f>
        <v>0</v>
      </c>
      <c r="E16" s="206">
        <f>C16+D16</f>
        <v>1692647.7519087568</v>
      </c>
      <c r="F16" s="192"/>
      <c r="G16" s="192"/>
      <c r="H16" s="192"/>
      <c r="I16" s="1"/>
    </row>
    <row r="17" spans="1:9" ht="15" x14ac:dyDescent="0.25">
      <c r="A17" s="1"/>
      <c r="B17" s="205" t="s">
        <v>91</v>
      </c>
      <c r="C17" s="206">
        <f>SUMIF($G$6:$G$12,B17,$F$6:$F$12)</f>
        <v>8714571.5901592989</v>
      </c>
      <c r="D17" s="206">
        <f>$D$20*C17/$C$20</f>
        <v>0</v>
      </c>
      <c r="E17" s="206">
        <f t="shared" ref="E17:E18" si="0">C17+D17</f>
        <v>8714571.5901592989</v>
      </c>
      <c r="F17" s="192"/>
      <c r="G17" s="192"/>
      <c r="H17" s="192"/>
      <c r="I17" s="1"/>
    </row>
    <row r="18" spans="1:9" ht="15" x14ac:dyDescent="0.25">
      <c r="A18" s="1"/>
      <c r="B18" s="205" t="s">
        <v>88</v>
      </c>
      <c r="C18" s="206">
        <f>SUMIF($G$6:$G$12,B18,$F$6:$F$12)</f>
        <v>0</v>
      </c>
      <c r="D18" s="206">
        <f>$D$20*C18/$C$20</f>
        <v>0</v>
      </c>
      <c r="E18" s="206">
        <f t="shared" si="0"/>
        <v>0</v>
      </c>
      <c r="F18" s="192"/>
      <c r="G18" s="192"/>
      <c r="H18" s="192"/>
      <c r="I18" s="1"/>
    </row>
    <row r="19" spans="1:9" ht="15" x14ac:dyDescent="0.25">
      <c r="A19" s="1"/>
      <c r="B19" s="205" t="s">
        <v>97</v>
      </c>
      <c r="C19" s="206">
        <f>SUMIF($G$6:$G$12,B19,$F$6:$F$12)</f>
        <v>0</v>
      </c>
      <c r="D19" s="206">
        <f>$D$20*C19/$C$20</f>
        <v>0</v>
      </c>
      <c r="E19" s="206">
        <f>C19+D19</f>
        <v>0</v>
      </c>
      <c r="F19" s="192"/>
      <c r="G19" s="192"/>
      <c r="H19" s="192"/>
      <c r="I19" s="1"/>
    </row>
    <row r="20" spans="1:9" ht="15" x14ac:dyDescent="0.25">
      <c r="A20" s="1"/>
      <c r="B20" s="207" t="s">
        <v>81</v>
      </c>
      <c r="C20" s="208">
        <f>SUM(C16:C19)</f>
        <v>10407219.342068056</v>
      </c>
      <c r="D20" s="209">
        <f>SUMIF($G$6:$G$12,"Contingency",$F$6:$F$12)</f>
        <v>0</v>
      </c>
      <c r="E20" s="208">
        <f>SUM(E16:E19)</f>
        <v>10407219.342068056</v>
      </c>
      <c r="F20" s="221" t="b">
        <f>F12=E20</f>
        <v>1</v>
      </c>
      <c r="G20" s="192"/>
      <c r="H20" s="192"/>
      <c r="I20" s="1"/>
    </row>
    <row r="21" spans="1:9" ht="15" x14ac:dyDescent="0.25">
      <c r="A21" s="1"/>
      <c r="B21" s="192"/>
      <c r="C21" s="192"/>
      <c r="D21" s="192"/>
      <c r="E21" s="192"/>
      <c r="F21" s="192"/>
      <c r="G21" s="192"/>
      <c r="H21" s="192"/>
      <c r="I21" s="1"/>
    </row>
    <row r="22" spans="1:9" ht="15" x14ac:dyDescent="0.25">
      <c r="B22" s="214" t="s">
        <v>98</v>
      </c>
      <c r="C22" s="212"/>
      <c r="D22" s="212"/>
      <c r="E22" s="212"/>
      <c r="F22" s="212"/>
      <c r="G22" s="213"/>
      <c r="H22" s="213"/>
      <c r="I22" s="1"/>
    </row>
    <row r="23" spans="1:9" ht="24" x14ac:dyDescent="0.25">
      <c r="A23" s="1"/>
      <c r="B23" s="177" t="s">
        <v>99</v>
      </c>
      <c r="C23" s="204" t="s">
        <v>100</v>
      </c>
      <c r="D23" s="204" t="s">
        <v>101</v>
      </c>
      <c r="E23" s="204" t="s">
        <v>102</v>
      </c>
      <c r="F23" s="204" t="s">
        <v>103</v>
      </c>
      <c r="G23" s="204" t="s">
        <v>104</v>
      </c>
      <c r="H23" s="204" t="s">
        <v>105</v>
      </c>
      <c r="I23" s="1"/>
    </row>
    <row r="24" spans="1:9" ht="15" x14ac:dyDescent="0.25">
      <c r="A24" s="1">
        <f>A23+1</f>
        <v>1</v>
      </c>
      <c r="B24" s="210">
        <f>ProjStartYr-1</f>
        <v>2021</v>
      </c>
      <c r="C24" s="206">
        <f>SUMIF($H$6:$H$14,$B24,$F$6:$F$14)+SUMIF($H$6:$H$14,"pre-construction",$F$6:$F$14)*D24+SUMIF($H$6:$H$14,"start",$F$6:$F$14)*E24+SUMIF($H$6:$H$14,"end",$F$6:$F$14)*F24+SUMIF($H$6:$H$14,"all",$F$6:$F$14)*G24</f>
        <v>0</v>
      </c>
      <c r="D24" s="211">
        <v>0</v>
      </c>
      <c r="E24" s="211">
        <f>IF('A - Inputs'!$C$8=B24,1,0)</f>
        <v>0</v>
      </c>
      <c r="F24" s="211">
        <f>IF('A - Inputs'!$C$8+'A - Inputs'!$C$9-1=B24,1,0)</f>
        <v>0</v>
      </c>
      <c r="G24" s="211">
        <f>IF(AND($B24&gt;='A - Inputs'!$C$8,$B24&lt;BenefitStart),1/'A - Inputs'!$C$9,0)</f>
        <v>0</v>
      </c>
      <c r="H24" s="206">
        <f>SUMIF($H$6:$H$14,$B24,$F$6:$F$14)+SUMIF($H$6:$H$14,"start",$F$6:$F$14)*E24+SUMIF($H$6:$H$14,"end",$F$6:$F$14)*F24+SUMIF($H$6:$H$14,"all",$F$6:$F$14)*G24</f>
        <v>0</v>
      </c>
      <c r="I24" s="1"/>
    </row>
    <row r="25" spans="1:9" ht="15" x14ac:dyDescent="0.25">
      <c r="A25" s="1">
        <f t="shared" ref="A25:A28" si="1">A24+1</f>
        <v>2</v>
      </c>
      <c r="B25" s="205">
        <f>B24+1</f>
        <v>2022</v>
      </c>
      <c r="C25" s="206">
        <f>SUMIF($H$6:$H$14,$B25,$F$6:$F$14)+SUMIF($H$6:$H$14,"pre-construction",$F$6:$F$14)*D25+SUMIF($H$6:$H$14,"start",$F$6:$F$14)*E25+SUMIF($H$6:$H$14,"end",$F$6:$F$14)*F25+SUMIF($H$6:$H$14,"all",$F$6:$F$14)*G25</f>
        <v>0</v>
      </c>
      <c r="D25" s="211">
        <v>0</v>
      </c>
      <c r="E25" s="211">
        <v>0</v>
      </c>
      <c r="F25" s="211">
        <f>IF('A - Inputs'!$C$8+'A - Inputs'!$C$9-1=B25,1,0)</f>
        <v>0</v>
      </c>
      <c r="G25" s="211">
        <v>0</v>
      </c>
      <c r="H25" s="206">
        <f>SUMIF($H$6:$H$14,$B25,$F$6:$F$14)+SUMIF($H$6:$H$14,"start",$F$6:$F$14)*E25+SUMIF($H$6:$H$14,"end",$F$6:$F$14)*F25+SUMIF($H$6:$H$14,"all",$F$6:$F$14)*G25</f>
        <v>0</v>
      </c>
      <c r="I25" s="1"/>
    </row>
    <row r="26" spans="1:9" ht="15" x14ac:dyDescent="0.25">
      <c r="A26" s="1">
        <f t="shared" si="1"/>
        <v>3</v>
      </c>
      <c r="B26" s="205">
        <f t="shared" ref="B26:B28" si="2">B25+1</f>
        <v>2023</v>
      </c>
      <c r="C26" s="206">
        <f>SUMIF($H$6:$H$14,$B26,$F$6:$F$14)+SUMIF($H$6:$H$14,"pre-construction",$F$6:$F$14)*D26+SUMIF($H$6:$H$14,"start",$F$6:$F$14)*E26+SUMIF($H$6:$H$14,"end",$F$6:$F$14)*F26+SUMIF($H$6:$H$14,"all",$F$6:$F$14)*G26</f>
        <v>1315609.3882552551</v>
      </c>
      <c r="D26" s="211">
        <v>1</v>
      </c>
      <c r="E26" s="211">
        <v>0</v>
      </c>
      <c r="F26" s="211">
        <f>IF('A - Inputs'!$C$8+'A - Inputs'!$C$9-1=B26,1,0)</f>
        <v>0</v>
      </c>
      <c r="G26" s="211">
        <v>0</v>
      </c>
      <c r="H26" s="206">
        <f>SUMIF($H$6:$H$14,$B26,$F$6:$F$14)+SUMIF($H$6:$H$14,"start",$F$6:$F$14)*E26+SUMIF($H$6:$H$14,"end",$F$6:$F$14)*F26+SUMIF($H$6:$H$14,"all",$F$6:$F$14)*G26</f>
        <v>0</v>
      </c>
    </row>
    <row r="27" spans="1:9" ht="15" x14ac:dyDescent="0.25">
      <c r="A27" s="1">
        <f t="shared" si="1"/>
        <v>4</v>
      </c>
      <c r="B27" s="205">
        <f t="shared" si="2"/>
        <v>2024</v>
      </c>
      <c r="C27" s="206">
        <f>SUMIF($H$6:$H$14,$B27,$F$6:$F$14)+SUMIF($H$6:$H$14,"pre-construction",$F$6:$F$14)*D27+SUMIF($H$6:$H$14,"start",$F$6:$F$14)*E27+SUMIF($H$6:$H$14,"end",$F$6:$F$14)*F27+SUMIF($H$6:$H$14,"all",$F$6:$F$14)*G27</f>
        <v>4357285.7950796494</v>
      </c>
      <c r="D27" s="211">
        <v>0</v>
      </c>
      <c r="E27" s="211">
        <v>0</v>
      </c>
      <c r="F27" s="211">
        <v>0</v>
      </c>
      <c r="G27" s="211">
        <v>0.5</v>
      </c>
      <c r="H27" s="206">
        <f>SUMIF($H$6:$H$14,$B27,$F$6:$F$14)+SUMIF($H$6:$H$14,"start",$F$6:$F$14)*E27+SUMIF($H$6:$H$14,"end",$F$6:$F$14)*F27+SUMIF($H$6:$H$14,"all",$F$6:$F$14)*G27</f>
        <v>4357285.7950796494</v>
      </c>
    </row>
    <row r="28" spans="1:9" ht="15" x14ac:dyDescent="0.25">
      <c r="A28" s="1">
        <f t="shared" si="1"/>
        <v>5</v>
      </c>
      <c r="B28" s="205">
        <f t="shared" si="2"/>
        <v>2025</v>
      </c>
      <c r="C28" s="206">
        <f>SUMIF($H$6:$H$14,$B28,$F$6:$F$14)+SUMIF($H$6:$H$14,"pre-construction",$F$6:$F$14)*D28+SUMIF($H$6:$H$14,"start",$F$6:$F$14)*E28+SUMIF($H$6:$H$14,"end",$F$6:$F$14)*F28+SUMIF($H$6:$H$14,"all",$F$6:$F$14)*G28</f>
        <v>4734324.1587331509</v>
      </c>
      <c r="D28" s="211">
        <v>0</v>
      </c>
      <c r="E28" s="211">
        <f>IF('A - Inputs'!$C$8=B28,1,0)</f>
        <v>0</v>
      </c>
      <c r="F28" s="211">
        <v>1</v>
      </c>
      <c r="G28" s="211">
        <v>0.5</v>
      </c>
      <c r="H28" s="206">
        <f>SUMIF($H$6:$H$14,$B28,$F$6:$F$14)+SUMIF($H$6:$H$14,"start",$F$6:$F$14)*E28+SUMIF($H$6:$H$14,"end",$F$6:$F$14)*F28+SUMIF($H$6:$H$14,"all",$F$6:$F$14)*G28</f>
        <v>4734324.1587331509</v>
      </c>
    </row>
    <row r="29" spans="1:9" ht="15" x14ac:dyDescent="0.25">
      <c r="A29" s="1"/>
      <c r="B29" s="218" t="s">
        <v>81</v>
      </c>
      <c r="C29" s="219">
        <f t="shared" ref="C29:H29" si="3">SUM(C24:C28)</f>
        <v>10407219.342068056</v>
      </c>
      <c r="D29" s="220">
        <f t="shared" si="3"/>
        <v>1</v>
      </c>
      <c r="E29" s="220">
        <f t="shared" si="3"/>
        <v>0</v>
      </c>
      <c r="F29" s="220">
        <f t="shared" si="3"/>
        <v>1</v>
      </c>
      <c r="G29" s="220">
        <f t="shared" si="3"/>
        <v>1</v>
      </c>
      <c r="H29" s="219">
        <f t="shared" si="3"/>
        <v>9091609.9538128003</v>
      </c>
    </row>
    <row r="30" spans="1:9" ht="15" x14ac:dyDescent="0.25">
      <c r="A30" s="1"/>
      <c r="B30" s="222" t="s">
        <v>106</v>
      </c>
      <c r="C30" s="222" t="b">
        <f>E20=C29</f>
        <v>1</v>
      </c>
      <c r="D30" s="222" t="b">
        <f>1=D29</f>
        <v>1</v>
      </c>
      <c r="E30" s="222" t="b">
        <f>1=E29</f>
        <v>0</v>
      </c>
      <c r="F30" s="222" t="b">
        <f>1=F29</f>
        <v>1</v>
      </c>
      <c r="G30" s="222" t="b">
        <f>1=G29</f>
        <v>1</v>
      </c>
      <c r="H30" s="222" t="b">
        <f>C29-SUMIF($H$6:$H$14,"pre-construction",$F$6:$F$14)=H29</f>
        <v>1</v>
      </c>
    </row>
    <row r="31" spans="1:9" ht="15" x14ac:dyDescent="0.25">
      <c r="A31" s="1"/>
      <c r="B31" s="192"/>
      <c r="C31" s="192"/>
      <c r="D31" s="192"/>
      <c r="E31" s="192"/>
      <c r="F31" s="192"/>
      <c r="G31" s="192"/>
      <c r="H31" s="192"/>
    </row>
    <row r="32" spans="1:9" ht="15" x14ac:dyDescent="0.25">
      <c r="A32" s="1"/>
      <c r="B32" s="214" t="s">
        <v>107</v>
      </c>
      <c r="C32" s="212"/>
      <c r="D32" s="212"/>
      <c r="E32" s="212"/>
      <c r="F32" s="212"/>
      <c r="G32" s="213"/>
      <c r="H32" s="213"/>
    </row>
    <row r="33" spans="1:8" ht="15" x14ac:dyDescent="0.25">
      <c r="A33" s="1"/>
      <c r="B33" s="260" t="s">
        <v>108</v>
      </c>
      <c r="C33" s="261"/>
      <c r="D33" s="227">
        <v>2022</v>
      </c>
      <c r="E33" s="4" t="s">
        <v>292</v>
      </c>
      <c r="F33" s="4"/>
      <c r="G33" s="4"/>
      <c r="H33" s="4"/>
    </row>
    <row r="34" spans="1:8" ht="15" x14ac:dyDescent="0.25">
      <c r="A34" s="1"/>
      <c r="B34" s="260" t="s">
        <v>6</v>
      </c>
      <c r="C34" s="261"/>
      <c r="D34" s="248">
        <f>BaseYear</f>
        <v>2020</v>
      </c>
      <c r="E34" s="4"/>
      <c r="F34" s="4"/>
      <c r="G34" s="4"/>
      <c r="H34" s="4"/>
    </row>
    <row r="35" spans="1:8" ht="15" x14ac:dyDescent="0.25">
      <c r="A35" s="1"/>
      <c r="B35" s="260" t="s">
        <v>109</v>
      </c>
      <c r="C35" s="261"/>
      <c r="D35" s="249">
        <f>'A - Inputs'!C17</f>
        <v>0.03</v>
      </c>
      <c r="E35" s="4"/>
      <c r="F35" s="4"/>
      <c r="G35" s="4"/>
      <c r="H35" s="4"/>
    </row>
    <row r="36" spans="1:8" ht="15" x14ac:dyDescent="0.25">
      <c r="A36" s="1"/>
      <c r="B36" s="260" t="s">
        <v>110</v>
      </c>
      <c r="C36" s="261"/>
      <c r="D36" s="250">
        <f>disc2</f>
        <v>7.0000000000000007E-2</v>
      </c>
      <c r="E36" s="4"/>
      <c r="F36" s="4"/>
      <c r="G36" s="4"/>
      <c r="H36" s="4"/>
    </row>
    <row r="37" spans="1:8" x14ac:dyDescent="0.2">
      <c r="B37" s="251"/>
      <c r="C37" s="251"/>
      <c r="D37" s="252"/>
      <c r="E37" s="253"/>
      <c r="F37" s="254"/>
      <c r="G37" s="70"/>
      <c r="H37" s="71"/>
    </row>
    <row r="38" spans="1:8" x14ac:dyDescent="0.2">
      <c r="B38" s="255"/>
      <c r="C38" s="256"/>
      <c r="D38" s="257"/>
      <c r="E38" s="258"/>
      <c r="F38" s="259"/>
      <c r="G38" s="70"/>
      <c r="H38" s="70"/>
    </row>
    <row r="39" spans="1:8" x14ac:dyDescent="0.2">
      <c r="B39" s="256"/>
      <c r="C39" s="251"/>
      <c r="D39" s="58"/>
      <c r="G39" s="70"/>
      <c r="H39" s="70"/>
    </row>
    <row r="40" spans="1:8" x14ac:dyDescent="0.2">
      <c r="B40" s="251"/>
      <c r="C40" s="251"/>
      <c r="D40" s="252"/>
      <c r="E40" s="253"/>
      <c r="F40" s="254"/>
      <c r="G40" s="70"/>
      <c r="H40" s="71"/>
    </row>
    <row r="41" spans="1:8" x14ac:dyDescent="0.2">
      <c r="B41" s="68"/>
      <c r="C41" s="68"/>
      <c r="D41" s="57"/>
      <c r="E41" s="90"/>
      <c r="F41" s="69"/>
      <c r="G41" s="70"/>
      <c r="H41" s="71"/>
    </row>
    <row r="42" spans="1:8" x14ac:dyDescent="0.2">
      <c r="B42" s="68"/>
      <c r="C42" s="68"/>
      <c r="D42" s="57"/>
      <c r="E42" s="90"/>
      <c r="F42" s="69"/>
      <c r="G42" s="70"/>
      <c r="H42" s="71"/>
    </row>
    <row r="43" spans="1:8" x14ac:dyDescent="0.2">
      <c r="B43" s="68"/>
      <c r="C43" s="68"/>
      <c r="D43" s="57"/>
      <c r="E43" s="90"/>
      <c r="F43" s="69"/>
      <c r="G43" s="70"/>
      <c r="H43" s="71"/>
    </row>
    <row r="44" spans="1:8" x14ac:dyDescent="0.2">
      <c r="B44" s="68"/>
      <c r="C44" s="68"/>
      <c r="D44" s="57"/>
      <c r="E44" s="90"/>
      <c r="F44" s="69"/>
      <c r="G44" s="70"/>
      <c r="H44" s="71"/>
    </row>
    <row r="45" spans="1:8" x14ac:dyDescent="0.2">
      <c r="B45" s="68"/>
      <c r="C45" s="68"/>
      <c r="D45" s="57"/>
      <c r="E45" s="90"/>
      <c r="F45" s="69"/>
      <c r="G45" s="70"/>
      <c r="H45" s="71"/>
    </row>
    <row r="46" spans="1:8" x14ac:dyDescent="0.2">
      <c r="B46" s="72"/>
      <c r="C46" s="73"/>
      <c r="D46" s="74"/>
      <c r="E46" s="91"/>
      <c r="F46" s="75"/>
      <c r="G46" s="70"/>
      <c r="H46" s="70"/>
    </row>
    <row r="47" spans="1:8" x14ac:dyDescent="0.2">
      <c r="B47" s="73"/>
      <c r="C47" s="68"/>
      <c r="D47" s="76"/>
      <c r="E47" s="87"/>
      <c r="F47" s="76"/>
      <c r="G47" s="70"/>
      <c r="H47" s="70"/>
    </row>
    <row r="48" spans="1:8" x14ac:dyDescent="0.2">
      <c r="B48" s="68"/>
      <c r="C48" s="68"/>
      <c r="D48" s="57"/>
      <c r="E48" s="90"/>
      <c r="F48" s="69"/>
      <c r="G48" s="70"/>
      <c r="H48" s="71"/>
    </row>
    <row r="49" spans="2:8" x14ac:dyDescent="0.2">
      <c r="B49" s="68"/>
      <c r="C49" s="68"/>
      <c r="D49" s="57"/>
      <c r="E49" s="90"/>
      <c r="F49" s="69"/>
      <c r="G49" s="70"/>
      <c r="H49" s="71"/>
    </row>
    <row r="50" spans="2:8" x14ac:dyDescent="0.2">
      <c r="B50" s="68"/>
      <c r="C50" s="68"/>
      <c r="D50" s="57"/>
      <c r="E50" s="90"/>
      <c r="F50" s="69"/>
      <c r="G50" s="70"/>
      <c r="H50" s="71"/>
    </row>
    <row r="51" spans="2:8" x14ac:dyDescent="0.2">
      <c r="B51" s="68"/>
      <c r="C51" s="68"/>
      <c r="D51" s="57"/>
      <c r="E51" s="90"/>
      <c r="F51" s="69"/>
      <c r="G51" s="70"/>
      <c r="H51" s="71"/>
    </row>
    <row r="52" spans="2:8" x14ac:dyDescent="0.2">
      <c r="B52" s="68"/>
      <c r="C52" s="68"/>
      <c r="D52" s="57"/>
      <c r="E52" s="90"/>
      <c r="F52" s="69"/>
      <c r="G52" s="70"/>
      <c r="H52" s="71"/>
    </row>
    <row r="53" spans="2:8" x14ac:dyDescent="0.2">
      <c r="B53" s="68"/>
      <c r="C53" s="68"/>
      <c r="D53" s="57"/>
      <c r="E53" s="90"/>
      <c r="F53" s="69"/>
      <c r="G53" s="70"/>
      <c r="H53" s="71"/>
    </row>
    <row r="54" spans="2:8" x14ac:dyDescent="0.2">
      <c r="B54" s="68"/>
      <c r="C54" s="68"/>
      <c r="D54" s="57"/>
      <c r="E54" s="90"/>
      <c r="F54" s="69"/>
      <c r="G54" s="70"/>
      <c r="H54" s="71"/>
    </row>
    <row r="55" spans="2:8" x14ac:dyDescent="0.2">
      <c r="B55" s="68"/>
      <c r="C55" s="68"/>
      <c r="D55" s="57"/>
      <c r="E55" s="90"/>
      <c r="F55" s="69"/>
      <c r="G55" s="70"/>
      <c r="H55" s="71"/>
    </row>
    <row r="56" spans="2:8" x14ac:dyDescent="0.2">
      <c r="B56" s="68"/>
      <c r="C56" s="68"/>
      <c r="D56" s="57"/>
      <c r="E56" s="90"/>
      <c r="F56" s="69"/>
      <c r="G56" s="70"/>
      <c r="H56" s="71"/>
    </row>
    <row r="57" spans="2:8" x14ac:dyDescent="0.2">
      <c r="B57" s="68"/>
      <c r="C57" s="68"/>
      <c r="D57" s="57"/>
      <c r="E57" s="90"/>
      <c r="F57" s="69"/>
      <c r="G57" s="70"/>
      <c r="H57" s="71"/>
    </row>
    <row r="58" spans="2:8" x14ac:dyDescent="0.2">
      <c r="B58" s="68"/>
      <c r="C58" s="68"/>
      <c r="D58" s="57"/>
      <c r="E58" s="90"/>
      <c r="F58" s="69"/>
      <c r="G58" s="70"/>
      <c r="H58" s="71"/>
    </row>
    <row r="59" spans="2:8" x14ac:dyDescent="0.2">
      <c r="B59" s="68"/>
      <c r="C59" s="68"/>
      <c r="D59" s="57"/>
      <c r="E59" s="90"/>
      <c r="F59" s="69"/>
      <c r="G59" s="70"/>
      <c r="H59" s="71"/>
    </row>
    <row r="60" spans="2:8" x14ac:dyDescent="0.2">
      <c r="B60" s="68"/>
      <c r="C60" s="68"/>
      <c r="D60" s="57"/>
      <c r="E60" s="90"/>
      <c r="F60" s="69"/>
      <c r="G60" s="70"/>
      <c r="H60" s="71"/>
    </row>
    <row r="61" spans="2:8" x14ac:dyDescent="0.2">
      <c r="B61" s="68"/>
      <c r="C61" s="68"/>
      <c r="D61" s="57"/>
      <c r="E61" s="90"/>
      <c r="F61" s="69"/>
      <c r="G61" s="70"/>
      <c r="H61" s="71"/>
    </row>
    <row r="62" spans="2:8" x14ac:dyDescent="0.2">
      <c r="B62" s="68"/>
      <c r="C62" s="68"/>
      <c r="D62" s="57"/>
      <c r="E62" s="90"/>
      <c r="F62" s="69"/>
      <c r="G62" s="70"/>
      <c r="H62" s="71"/>
    </row>
    <row r="63" spans="2:8" x14ac:dyDescent="0.2">
      <c r="B63" s="68"/>
      <c r="C63" s="68"/>
      <c r="D63" s="57"/>
      <c r="E63" s="90"/>
      <c r="F63" s="69"/>
      <c r="G63" s="70"/>
      <c r="H63" s="71"/>
    </row>
    <row r="64" spans="2:8" x14ac:dyDescent="0.2">
      <c r="B64" s="68"/>
      <c r="C64" s="68"/>
      <c r="D64" s="57"/>
      <c r="E64" s="90"/>
      <c r="F64" s="69"/>
      <c r="G64" s="70"/>
      <c r="H64" s="71"/>
    </row>
    <row r="65" spans="2:9" x14ac:dyDescent="0.2">
      <c r="B65" s="68"/>
      <c r="C65" s="68"/>
      <c r="D65" s="57"/>
      <c r="E65" s="90"/>
      <c r="F65" s="69"/>
      <c r="G65" s="70"/>
      <c r="H65" s="71"/>
    </row>
    <row r="66" spans="2:9" x14ac:dyDescent="0.2">
      <c r="B66" s="68"/>
      <c r="C66" s="68"/>
      <c r="D66" s="57"/>
      <c r="E66" s="90"/>
      <c r="F66" s="69"/>
      <c r="G66" s="70"/>
      <c r="H66" s="71"/>
    </row>
    <row r="67" spans="2:9" x14ac:dyDescent="0.2">
      <c r="B67" s="68"/>
      <c r="C67" s="68"/>
      <c r="D67" s="57"/>
      <c r="E67" s="90"/>
      <c r="F67" s="69"/>
      <c r="G67" s="70"/>
      <c r="H67" s="71"/>
    </row>
    <row r="68" spans="2:9" x14ac:dyDescent="0.2">
      <c r="B68" s="68"/>
      <c r="C68" s="68"/>
      <c r="D68" s="57"/>
      <c r="E68" s="90"/>
      <c r="F68" s="69"/>
      <c r="G68" s="70"/>
      <c r="H68" s="71"/>
    </row>
    <row r="69" spans="2:9" x14ac:dyDescent="0.2">
      <c r="B69" s="68"/>
      <c r="C69" s="68"/>
      <c r="D69" s="57"/>
      <c r="E69" s="90"/>
      <c r="F69" s="69"/>
      <c r="G69" s="70"/>
      <c r="H69" s="71"/>
    </row>
    <row r="70" spans="2:9" x14ac:dyDescent="0.2">
      <c r="B70" s="68"/>
      <c r="C70" s="68"/>
      <c r="D70" s="57"/>
      <c r="E70" s="90"/>
      <c r="F70" s="69"/>
      <c r="G70" s="70"/>
      <c r="H70" s="71"/>
    </row>
    <row r="71" spans="2:9" x14ac:dyDescent="0.2">
      <c r="B71" s="68"/>
      <c r="C71" s="68"/>
      <c r="D71" s="57"/>
      <c r="E71" s="90"/>
      <c r="F71" s="69"/>
      <c r="G71" s="70"/>
      <c r="H71" s="71"/>
    </row>
    <row r="72" spans="2:9" x14ac:dyDescent="0.2">
      <c r="B72" s="68"/>
      <c r="C72" s="68"/>
      <c r="D72" s="57"/>
      <c r="E72" s="90"/>
      <c r="F72" s="69"/>
      <c r="G72" s="70"/>
      <c r="H72" s="71"/>
    </row>
    <row r="73" spans="2:9" x14ac:dyDescent="0.2">
      <c r="B73" s="68"/>
      <c r="C73" s="68"/>
      <c r="D73" s="57"/>
      <c r="E73" s="90"/>
      <c r="F73" s="69"/>
      <c r="G73" s="70"/>
      <c r="H73" s="71"/>
    </row>
    <row r="74" spans="2:9" x14ac:dyDescent="0.2">
      <c r="B74" s="68"/>
      <c r="C74" s="68"/>
      <c r="D74" s="57"/>
      <c r="E74" s="90"/>
      <c r="F74" s="69"/>
      <c r="G74" s="70"/>
      <c r="H74" s="71"/>
    </row>
    <row r="75" spans="2:9" x14ac:dyDescent="0.2">
      <c r="B75" s="80"/>
      <c r="C75" s="73"/>
      <c r="D75" s="74"/>
      <c r="E75" s="91"/>
      <c r="F75" s="75"/>
      <c r="G75" s="70"/>
      <c r="H75" s="70"/>
    </row>
    <row r="76" spans="2:9" x14ac:dyDescent="0.2">
      <c r="B76" s="73"/>
      <c r="C76" s="73"/>
      <c r="D76" s="79"/>
      <c r="E76" s="88"/>
      <c r="F76" s="79"/>
      <c r="G76" s="70"/>
      <c r="H76" s="70"/>
      <c r="I76" s="55"/>
    </row>
    <row r="77" spans="2:9" x14ac:dyDescent="0.2">
      <c r="B77" s="68"/>
      <c r="C77" s="68"/>
      <c r="D77" s="76"/>
      <c r="E77" s="87"/>
      <c r="F77" s="76"/>
      <c r="G77" s="71"/>
      <c r="H77" s="71"/>
      <c r="I77" s="57"/>
    </row>
    <row r="78" spans="2:9" x14ac:dyDescent="0.2">
      <c r="B78" s="68"/>
      <c r="C78" s="68"/>
      <c r="D78" s="76"/>
      <c r="E78" s="87"/>
      <c r="F78" s="76"/>
      <c r="G78" s="71"/>
      <c r="H78" s="71"/>
      <c r="I78" s="57"/>
    </row>
    <row r="79" spans="2:9" x14ac:dyDescent="0.2">
      <c r="B79" s="73"/>
      <c r="C79" s="73"/>
      <c r="D79" s="79"/>
      <c r="E79" s="88"/>
      <c r="F79" s="79"/>
      <c r="G79" s="70"/>
      <c r="H79" s="70"/>
      <c r="I79" s="55"/>
    </row>
    <row r="80" spans="2:9" x14ac:dyDescent="0.2">
      <c r="B80" s="68"/>
      <c r="C80" s="68"/>
      <c r="D80" s="76"/>
      <c r="E80" s="87"/>
      <c r="F80" s="76"/>
      <c r="G80" s="71"/>
      <c r="H80" s="71"/>
      <c r="I80" s="55"/>
    </row>
    <row r="81" spans="2:9" x14ac:dyDescent="0.2">
      <c r="B81" s="68"/>
      <c r="C81" s="68"/>
      <c r="D81" s="76"/>
      <c r="E81" s="87"/>
      <c r="F81" s="76"/>
      <c r="G81" s="70"/>
      <c r="H81" s="70"/>
      <c r="I81" s="55"/>
    </row>
    <row r="82" spans="2:9" x14ac:dyDescent="0.2">
      <c r="B82" s="68"/>
      <c r="C82" s="68"/>
      <c r="D82" s="76"/>
      <c r="E82" s="87"/>
      <c r="F82" s="76"/>
      <c r="G82" s="70"/>
      <c r="H82" s="70"/>
      <c r="I82" s="55"/>
    </row>
    <row r="83" spans="2:9" x14ac:dyDescent="0.2">
      <c r="B83" s="81"/>
      <c r="C83" s="81"/>
      <c r="D83" s="78"/>
      <c r="E83" s="88"/>
      <c r="F83" s="79"/>
      <c r="G83" s="82"/>
      <c r="H83" s="82"/>
      <c r="I83" s="55"/>
    </row>
    <row r="84" spans="2:9" x14ac:dyDescent="0.2">
      <c r="B84" s="73"/>
      <c r="C84" s="68"/>
      <c r="D84" s="76"/>
      <c r="E84" s="87"/>
      <c r="F84" s="76"/>
      <c r="G84" s="70"/>
      <c r="H84" s="70"/>
      <c r="I84" s="55"/>
    </row>
    <row r="85" spans="2:9" x14ac:dyDescent="0.2">
      <c r="B85" s="68"/>
      <c r="C85" s="68"/>
      <c r="D85" s="77"/>
      <c r="E85" s="87"/>
      <c r="F85" s="76"/>
      <c r="G85" s="71"/>
      <c r="H85" s="71"/>
      <c r="I85" s="55"/>
    </row>
    <row r="86" spans="2:9" x14ac:dyDescent="0.2">
      <c r="B86" s="68"/>
      <c r="C86" s="73"/>
      <c r="D86" s="78"/>
      <c r="E86" s="88"/>
      <c r="F86" s="79"/>
      <c r="G86" s="70"/>
      <c r="H86" s="70"/>
      <c r="I86" s="55"/>
    </row>
    <row r="87" spans="2:9" x14ac:dyDescent="0.2">
      <c r="B87" s="73"/>
      <c r="C87" s="73"/>
      <c r="D87" s="79"/>
      <c r="E87" s="88"/>
      <c r="F87" s="79"/>
      <c r="G87" s="83"/>
      <c r="H87" s="70"/>
      <c r="I87" s="55"/>
    </row>
    <row r="89" spans="2:9" x14ac:dyDescent="0.2">
      <c r="B89" s="73"/>
      <c r="C89" s="68"/>
      <c r="D89" s="76"/>
      <c r="E89" s="87"/>
      <c r="F89" s="76"/>
      <c r="G89" s="70"/>
      <c r="H89" s="70"/>
      <c r="I89" s="55"/>
    </row>
    <row r="90" spans="2:9" x14ac:dyDescent="0.2">
      <c r="B90" s="68"/>
      <c r="C90" s="68"/>
      <c r="D90" s="77"/>
      <c r="E90" s="87"/>
      <c r="F90" s="76"/>
      <c r="G90" s="70"/>
      <c r="H90" s="70"/>
      <c r="I90" s="55"/>
    </row>
    <row r="91" spans="2:9" x14ac:dyDescent="0.2">
      <c r="B91" s="68"/>
      <c r="C91" s="68"/>
      <c r="D91" s="77"/>
      <c r="E91" s="87"/>
      <c r="F91" s="76"/>
      <c r="G91" s="70"/>
      <c r="H91" s="70"/>
      <c r="I91" s="55"/>
    </row>
    <row r="92" spans="2:9" x14ac:dyDescent="0.2">
      <c r="B92" s="68"/>
      <c r="C92" s="68"/>
      <c r="D92" s="76"/>
      <c r="E92" s="87"/>
      <c r="F92" s="76"/>
      <c r="G92" s="70"/>
      <c r="H92" s="70"/>
      <c r="I92" s="55"/>
    </row>
    <row r="93" spans="2:9" x14ac:dyDescent="0.2">
      <c r="B93" s="68"/>
      <c r="C93" s="73"/>
      <c r="D93" s="78"/>
      <c r="E93" s="88"/>
      <c r="F93" s="79"/>
      <c r="G93" s="70"/>
      <c r="H93" s="70"/>
      <c r="I93" s="55"/>
    </row>
    <row r="94" spans="2:9" x14ac:dyDescent="0.2">
      <c r="F94" s="76"/>
      <c r="G94" s="84"/>
      <c r="H94" s="84"/>
    </row>
    <row r="95" spans="2:9" x14ac:dyDescent="0.2">
      <c r="B95" s="73"/>
      <c r="C95" s="73"/>
      <c r="D95" s="79"/>
      <c r="E95" s="88"/>
      <c r="F95" s="79"/>
      <c r="G95" s="83"/>
      <c r="H95" s="70"/>
      <c r="I95" s="55"/>
    </row>
  </sheetData>
  <phoneticPr fontId="44" type="noConversion"/>
  <pageMargins left="0.7" right="0.70416666666666705" top="0.75" bottom="0.75" header="0.3" footer="0.3"/>
  <pageSetup scale="46" orientation="portrait" r:id="rId1"/>
  <headerFooter>
    <oddHeader>&amp;L&amp;"Arial,Bold"Post and McDuff Innovative Rail Crossing
CRISI 2022 BCA&amp;C
&amp;R&amp;"Arial,Bold"&amp;A</oddHeader>
    <oddFooter>&amp;CPage D-&amp;P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C5D9D-8D8A-4615-8F0C-A8E11F3B25B3}">
  <sheetPr codeName="Sheet4">
    <tabColor theme="6" tint="0.39997558519241921"/>
    <pageSetUpPr autoPageBreaks="0"/>
  </sheetPr>
  <dimension ref="A1:M43"/>
  <sheetViews>
    <sheetView workbookViewId="0"/>
  </sheetViews>
  <sheetFormatPr defaultColWidth="8.7109375" defaultRowHeight="15" x14ac:dyDescent="0.25"/>
  <cols>
    <col min="1" max="1" width="2.42578125" style="1" customWidth="1"/>
    <col min="2" max="2" width="13.5703125" style="1" customWidth="1"/>
    <col min="3" max="4" width="12.7109375" style="1" customWidth="1"/>
    <col min="5" max="5" width="13.85546875" style="1" customWidth="1"/>
    <col min="6" max="6" width="8.7109375" style="1"/>
    <col min="7" max="12" width="12.7109375" style="1" customWidth="1"/>
    <col min="13" max="13" width="14.28515625" style="1" customWidth="1"/>
    <col min="14" max="16384" width="8.7109375" style="1"/>
  </cols>
  <sheetData>
    <row r="1" spans="1:13" x14ac:dyDescent="0.25">
      <c r="A1" s="124" t="str" cm="1">
        <f t="array" aca="1" ref="A1" ca="1">MID(CELL("filename",A1),FIND("]",CELL("filename",A1))+1,255)</f>
        <v>E - Construction &amp; Residual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</row>
    <row r="3" spans="1:13" s="13" customFormat="1" ht="30" x14ac:dyDescent="0.25">
      <c r="B3" s="152" t="s">
        <v>111</v>
      </c>
      <c r="C3" s="153"/>
      <c r="D3" s="153"/>
      <c r="E3" s="153"/>
      <c r="F3" s="153"/>
      <c r="G3" s="19" t="s">
        <v>112</v>
      </c>
      <c r="H3" s="19" t="s">
        <v>113</v>
      </c>
      <c r="I3" s="19" t="s">
        <v>114</v>
      </c>
    </row>
    <row r="4" spans="1:13" x14ac:dyDescent="0.25">
      <c r="B4" s="150" t="s">
        <v>115</v>
      </c>
      <c r="C4" s="150"/>
      <c r="D4" s="150"/>
      <c r="E4" s="150"/>
      <c r="F4" s="150"/>
      <c r="G4" s="154">
        <f>'D - Cost Estimate'!C17</f>
        <v>8714571.5901592989</v>
      </c>
      <c r="H4" s="154">
        <f>'D - Cost Estimate'!C18</f>
        <v>0</v>
      </c>
      <c r="I4" s="154">
        <f>'D - Cost Estimate'!$C$19</f>
        <v>0</v>
      </c>
    </row>
    <row r="5" spans="1:13" x14ac:dyDescent="0.25">
      <c r="B5" s="150" t="s">
        <v>116</v>
      </c>
      <c r="C5" s="150"/>
      <c r="D5" s="150"/>
      <c r="E5" s="150"/>
      <c r="F5" s="150"/>
      <c r="G5" s="59">
        <v>30</v>
      </c>
      <c r="H5" s="59">
        <v>75</v>
      </c>
      <c r="I5" s="21"/>
    </row>
    <row r="6" spans="1:13" x14ac:dyDescent="0.25">
      <c r="B6" s="150" t="s">
        <v>117</v>
      </c>
      <c r="C6" s="150"/>
      <c r="D6" s="150"/>
      <c r="E6" s="150"/>
      <c r="F6" s="150"/>
      <c r="G6" s="155">
        <f>'A - Inputs'!$C$12</f>
        <v>26</v>
      </c>
      <c r="H6" s="155">
        <f>'A - Inputs'!$C$12</f>
        <v>26</v>
      </c>
      <c r="I6" s="21"/>
    </row>
    <row r="7" spans="1:13" x14ac:dyDescent="0.25">
      <c r="B7" s="150" t="s">
        <v>118</v>
      </c>
      <c r="C7" s="150"/>
      <c r="D7" s="150"/>
      <c r="E7" s="150"/>
      <c r="F7" s="150"/>
      <c r="G7" s="156">
        <f>1-G6/G5</f>
        <v>0.1333333333333333</v>
      </c>
      <c r="H7" s="156">
        <f>1-H6/H5</f>
        <v>0.65333333333333332</v>
      </c>
      <c r="I7" s="21"/>
    </row>
    <row r="8" spans="1:13" x14ac:dyDescent="0.25">
      <c r="B8" s="150" t="s">
        <v>119</v>
      </c>
      <c r="C8" s="150"/>
      <c r="D8" s="150"/>
      <c r="E8" s="150"/>
      <c r="F8" s="150"/>
      <c r="G8" s="157">
        <f>G4*G7</f>
        <v>1161942.8786879063</v>
      </c>
      <c r="H8" s="157">
        <f>H4*H7</f>
        <v>0</v>
      </c>
      <c r="I8" s="158">
        <f>I4</f>
        <v>0</v>
      </c>
    </row>
    <row r="10" spans="1:13" s="11" customFormat="1" x14ac:dyDescent="0.25">
      <c r="L10" s="1"/>
      <c r="M10" s="1"/>
    </row>
    <row r="11" spans="1:13" s="11" customFormat="1" x14ac:dyDescent="0.25">
      <c r="B11" s="5" t="s">
        <v>120</v>
      </c>
      <c r="C11" s="5"/>
      <c r="D11" s="5"/>
      <c r="E11" s="5"/>
      <c r="G11" s="5" t="s">
        <v>121</v>
      </c>
      <c r="H11" s="5"/>
      <c r="I11" s="5"/>
      <c r="J11" s="5"/>
      <c r="K11" s="5"/>
      <c r="L11" s="5"/>
      <c r="M11" s="5"/>
    </row>
    <row r="12" spans="1:13" s="6" customFormat="1" ht="45" x14ac:dyDescent="0.25">
      <c r="B12" s="19" t="s">
        <v>36</v>
      </c>
      <c r="C12" s="19" t="s">
        <v>37</v>
      </c>
      <c r="D12" s="19" t="s">
        <v>122</v>
      </c>
      <c r="E12" s="19" t="str">
        <f>"Present Value ("&amp;TEXT(disc2,"0%")&amp;" Discount Rate)"</f>
        <v>Present Value (7% Discount Rate)</v>
      </c>
      <c r="F12" s="161"/>
      <c r="G12" s="19" t="s">
        <v>36</v>
      </c>
      <c r="H12" s="19" t="s">
        <v>37</v>
      </c>
      <c r="I12" s="19" t="s">
        <v>123</v>
      </c>
      <c r="J12" s="19" t="s">
        <v>124</v>
      </c>
      <c r="K12" s="98" t="s">
        <v>114</v>
      </c>
      <c r="L12" s="19" t="s">
        <v>80</v>
      </c>
      <c r="M12" s="19" t="str">
        <f>"Present Value ("&amp;TEXT(disc2,"0%")&amp;" Discount Rate)"</f>
        <v>Present Value (7% Discount Rate)</v>
      </c>
    </row>
    <row r="13" spans="1:13" x14ac:dyDescent="0.25">
      <c r="B13" s="159">
        <f>'A - Inputs'!$C$7</f>
        <v>2022</v>
      </c>
      <c r="C13" s="59">
        <v>1</v>
      </c>
      <c r="D13" s="162">
        <f>IFERROR(VLOOKUP(B13,'D - Cost Estimate'!$B$24:$C$29,2,FALSE),0)</f>
        <v>0</v>
      </c>
      <c r="E13" s="158">
        <f>$D13/(1+disc2)^($B13-'A - Inputs'!$C$6)</f>
        <v>0</v>
      </c>
      <c r="F13" s="21"/>
      <c r="G13" s="159">
        <f>'A - Inputs'!$C$7</f>
        <v>2022</v>
      </c>
      <c r="H13" s="59">
        <v>1</v>
      </c>
      <c r="I13" s="158">
        <f>IF($H13='A - Inputs'!$C$11,G$8,0)</f>
        <v>0</v>
      </c>
      <c r="J13" s="158">
        <f>IF($H13='A - Inputs'!$C$11,H$8,0)</f>
        <v>0</v>
      </c>
      <c r="K13" s="163">
        <f>IF($H13='A - Inputs'!$C$11,I$8,0)</f>
        <v>0</v>
      </c>
      <c r="L13" s="158">
        <f t="shared" ref="L13:L37" si="0">SUM(I13:K13)</f>
        <v>0</v>
      </c>
      <c r="M13" s="158">
        <f>$L13/(1+disc2)^($B13-'A - Inputs'!$C$6)</f>
        <v>0</v>
      </c>
    </row>
    <row r="14" spans="1:13" x14ac:dyDescent="0.25">
      <c r="B14" s="21">
        <f>B13+1</f>
        <v>2023</v>
      </c>
      <c r="C14" s="21">
        <f>C13+1</f>
        <v>2</v>
      </c>
      <c r="D14" s="162">
        <f>IFERROR(VLOOKUP(B14,'D - Cost Estimate'!$B$24:$C$29,2,FALSE),0)</f>
        <v>1315609.3882552551</v>
      </c>
      <c r="E14" s="158">
        <f>$D14/(1+disc2)^($B14-'A - Inputs'!$C$6)</f>
        <v>1073929.1504504371</v>
      </c>
      <c r="F14" s="21"/>
      <c r="G14" s="21">
        <f>G13+1</f>
        <v>2023</v>
      </c>
      <c r="H14" s="21">
        <f>H13+1</f>
        <v>2</v>
      </c>
      <c r="I14" s="158">
        <f>IF($H14='A - Inputs'!$C$11,G$8,0)</f>
        <v>0</v>
      </c>
      <c r="J14" s="158">
        <f>IF($H14='A - Inputs'!$C$11,H$8,0)</f>
        <v>0</v>
      </c>
      <c r="K14" s="163">
        <f>IF($H14='A - Inputs'!$C$11,I$8,0)</f>
        <v>0</v>
      </c>
      <c r="L14" s="158">
        <f>SUM(I14:K14)</f>
        <v>0</v>
      </c>
      <c r="M14" s="158">
        <f>$L14/(1+disc2)^($B14-'A - Inputs'!$C$6)</f>
        <v>0</v>
      </c>
    </row>
    <row r="15" spans="1:13" x14ac:dyDescent="0.25">
      <c r="B15" s="21">
        <f t="shared" ref="B15:B42" si="1">B14+1</f>
        <v>2024</v>
      </c>
      <c r="C15" s="21">
        <f t="shared" ref="C15:C42" si="2">C14+1</f>
        <v>3</v>
      </c>
      <c r="D15" s="162">
        <f>IFERROR(VLOOKUP(B15,'D - Cost Estimate'!$B$24:$C$29,2,FALSE),0)</f>
        <v>4357285.7950796494</v>
      </c>
      <c r="E15" s="158">
        <f>$D15/(1+disc2)^($B15-'A - Inputs'!$C$6)</f>
        <v>3324152.4705889588</v>
      </c>
      <c r="F15" s="21"/>
      <c r="G15" s="21">
        <f t="shared" ref="G15:G42" si="3">G14+1</f>
        <v>2024</v>
      </c>
      <c r="H15" s="21">
        <f t="shared" ref="H15:H42" si="4">H14+1</f>
        <v>3</v>
      </c>
      <c r="I15" s="158">
        <f>IF($H15='A - Inputs'!$C$11,G$8,0)</f>
        <v>0</v>
      </c>
      <c r="J15" s="158">
        <f>IF($H15='A - Inputs'!$C$11,H$8,0)</f>
        <v>0</v>
      </c>
      <c r="K15" s="163">
        <f>IF($H15='A - Inputs'!$C$11,I$8,0)</f>
        <v>0</v>
      </c>
      <c r="L15" s="158">
        <f t="shared" si="0"/>
        <v>0</v>
      </c>
      <c r="M15" s="158">
        <f>$L15/(1+disc2)^($B15-'A - Inputs'!$C$6)</f>
        <v>0</v>
      </c>
    </row>
    <row r="16" spans="1:13" x14ac:dyDescent="0.25">
      <c r="B16" s="21">
        <f t="shared" si="1"/>
        <v>2025</v>
      </c>
      <c r="C16" s="21">
        <f t="shared" si="2"/>
        <v>4</v>
      </c>
      <c r="D16" s="162">
        <f>IFERROR(VLOOKUP(B16,'D - Cost Estimate'!$B$24:$C$29,2,FALSE),0)</f>
        <v>4734324.1587331509</v>
      </c>
      <c r="E16" s="158">
        <f>$D16/(1+disc2)^($B16-'A - Inputs'!$C$6)</f>
        <v>3375507.6943723815</v>
      </c>
      <c r="F16" s="21"/>
      <c r="G16" s="21">
        <f t="shared" si="3"/>
        <v>2025</v>
      </c>
      <c r="H16" s="21">
        <f t="shared" si="4"/>
        <v>4</v>
      </c>
      <c r="I16" s="158">
        <f>IF($H16='A - Inputs'!$C$11,G$8,0)</f>
        <v>0</v>
      </c>
      <c r="J16" s="158">
        <f>IF($H16='A - Inputs'!$C$11,H$8,0)</f>
        <v>0</v>
      </c>
      <c r="K16" s="163">
        <f>IF($H16='A - Inputs'!$C$11,I$8,0)</f>
        <v>0</v>
      </c>
      <c r="L16" s="158">
        <f>SUM(I16:K16)</f>
        <v>0</v>
      </c>
      <c r="M16" s="158">
        <f>$L16/(1+disc2)^($B16-'A - Inputs'!$C$6)</f>
        <v>0</v>
      </c>
    </row>
    <row r="17" spans="2:13" x14ac:dyDescent="0.25">
      <c r="B17" s="21">
        <f t="shared" si="1"/>
        <v>2026</v>
      </c>
      <c r="C17" s="21">
        <f t="shared" si="2"/>
        <v>5</v>
      </c>
      <c r="D17" s="162">
        <f>IFERROR(VLOOKUP(B17,'D - Cost Estimate'!$B$24:$C$29,2,FALSE),0)</f>
        <v>0</v>
      </c>
      <c r="E17" s="158">
        <f>$D17/(1+disc2)^($B17-'A - Inputs'!$C$6)</f>
        <v>0</v>
      </c>
      <c r="F17" s="21"/>
      <c r="G17" s="21">
        <f t="shared" si="3"/>
        <v>2026</v>
      </c>
      <c r="H17" s="21">
        <f t="shared" si="4"/>
        <v>5</v>
      </c>
      <c r="I17" s="158">
        <f>IF($H17='A - Inputs'!$C$11,G$8,0)</f>
        <v>0</v>
      </c>
      <c r="J17" s="158">
        <f>IF($H17='A - Inputs'!$C$11,H$8,0)</f>
        <v>0</v>
      </c>
      <c r="K17" s="163">
        <f>IF($H17='A - Inputs'!$C$11,I$8,0)</f>
        <v>0</v>
      </c>
      <c r="L17" s="158">
        <f t="shared" si="0"/>
        <v>0</v>
      </c>
      <c r="M17" s="158">
        <f>$L17/(1+disc2)^($B17-'A - Inputs'!$C$6)</f>
        <v>0</v>
      </c>
    </row>
    <row r="18" spans="2:13" x14ac:dyDescent="0.25">
      <c r="B18" s="21">
        <f t="shared" si="1"/>
        <v>2027</v>
      </c>
      <c r="C18" s="21">
        <f t="shared" si="2"/>
        <v>6</v>
      </c>
      <c r="D18" s="162">
        <f>IFERROR(VLOOKUP(B18,'D - Cost Estimate'!$B$24:$C$29,2,FALSE),0)</f>
        <v>0</v>
      </c>
      <c r="E18" s="158">
        <f>$D18/(1+disc2)^($B18-'A - Inputs'!$C$6)</f>
        <v>0</v>
      </c>
      <c r="F18" s="21"/>
      <c r="G18" s="21">
        <f t="shared" si="3"/>
        <v>2027</v>
      </c>
      <c r="H18" s="21">
        <f t="shared" si="4"/>
        <v>6</v>
      </c>
      <c r="I18" s="158">
        <f>IF($H18='A - Inputs'!$C$11,G$8,0)</f>
        <v>0</v>
      </c>
      <c r="J18" s="158">
        <f>IF($H18='A - Inputs'!$C$11,H$8,0)</f>
        <v>0</v>
      </c>
      <c r="K18" s="163">
        <f>IF($H18='A - Inputs'!$C$11,I$8,0)</f>
        <v>0</v>
      </c>
      <c r="L18" s="158">
        <f t="shared" si="0"/>
        <v>0</v>
      </c>
      <c r="M18" s="158">
        <f>$L18/(1+disc2)^($B18-'A - Inputs'!$C$6)</f>
        <v>0</v>
      </c>
    </row>
    <row r="19" spans="2:13" x14ac:dyDescent="0.25">
      <c r="B19" s="21">
        <f t="shared" si="1"/>
        <v>2028</v>
      </c>
      <c r="C19" s="21">
        <f t="shared" si="2"/>
        <v>7</v>
      </c>
      <c r="D19" s="162">
        <f>IFERROR(VLOOKUP(B19,'D - Cost Estimate'!$B$24:$C$29,2,FALSE),0)</f>
        <v>0</v>
      </c>
      <c r="E19" s="158">
        <f>$D19/(1+disc2)^($B19-'A - Inputs'!$C$6)</f>
        <v>0</v>
      </c>
      <c r="F19" s="21"/>
      <c r="G19" s="21">
        <f t="shared" si="3"/>
        <v>2028</v>
      </c>
      <c r="H19" s="21">
        <f t="shared" si="4"/>
        <v>7</v>
      </c>
      <c r="I19" s="158">
        <f>IF($H19='A - Inputs'!$C$11,G$8,0)</f>
        <v>0</v>
      </c>
      <c r="J19" s="158">
        <f>IF($H19='A - Inputs'!$C$11,H$8,0)</f>
        <v>0</v>
      </c>
      <c r="K19" s="163">
        <f>IF($H19='A - Inputs'!$C$11,I$8,0)</f>
        <v>0</v>
      </c>
      <c r="L19" s="158">
        <f t="shared" si="0"/>
        <v>0</v>
      </c>
      <c r="M19" s="158">
        <f>$L19/(1+disc2)^($B19-'A - Inputs'!$C$6)</f>
        <v>0</v>
      </c>
    </row>
    <row r="20" spans="2:13" x14ac:dyDescent="0.25">
      <c r="B20" s="21">
        <f t="shared" si="1"/>
        <v>2029</v>
      </c>
      <c r="C20" s="21">
        <f t="shared" si="2"/>
        <v>8</v>
      </c>
      <c r="D20" s="162">
        <f>IFERROR(VLOOKUP(B20,'D - Cost Estimate'!$B$24:$C$29,2,FALSE),0)</f>
        <v>0</v>
      </c>
      <c r="E20" s="158">
        <f>$D20/(1+disc2)^($B20-'A - Inputs'!$C$6)</f>
        <v>0</v>
      </c>
      <c r="F20" s="21"/>
      <c r="G20" s="21">
        <f t="shared" si="3"/>
        <v>2029</v>
      </c>
      <c r="H20" s="21">
        <f t="shared" si="4"/>
        <v>8</v>
      </c>
      <c r="I20" s="158">
        <f>IF($H20='A - Inputs'!$C$11,G$8,0)</f>
        <v>0</v>
      </c>
      <c r="J20" s="158">
        <f>IF($H20='A - Inputs'!$C$11,H$8,0)</f>
        <v>0</v>
      </c>
      <c r="K20" s="163">
        <f>IF($H20='A - Inputs'!$C$11,I$8,0)</f>
        <v>0</v>
      </c>
      <c r="L20" s="158">
        <f t="shared" si="0"/>
        <v>0</v>
      </c>
      <c r="M20" s="158">
        <f>$L20/(1+disc2)^($B20-'A - Inputs'!$C$6)</f>
        <v>0</v>
      </c>
    </row>
    <row r="21" spans="2:13" x14ac:dyDescent="0.25">
      <c r="B21" s="21">
        <f t="shared" si="1"/>
        <v>2030</v>
      </c>
      <c r="C21" s="21">
        <f t="shared" si="2"/>
        <v>9</v>
      </c>
      <c r="D21" s="162">
        <f>IFERROR(VLOOKUP(B21,'D - Cost Estimate'!$B$24:$C$29,2,FALSE),0)</f>
        <v>0</v>
      </c>
      <c r="E21" s="158">
        <f>$D21/(1+disc2)^($B21-'A - Inputs'!$C$6)</f>
        <v>0</v>
      </c>
      <c r="F21" s="21"/>
      <c r="G21" s="21">
        <f t="shared" si="3"/>
        <v>2030</v>
      </c>
      <c r="H21" s="21">
        <f t="shared" si="4"/>
        <v>9</v>
      </c>
      <c r="I21" s="158">
        <f>IF($H21='A - Inputs'!$C$11,G$8,0)</f>
        <v>0</v>
      </c>
      <c r="J21" s="158">
        <f>IF($H21='A - Inputs'!$C$11,H$8,0)</f>
        <v>0</v>
      </c>
      <c r="K21" s="163">
        <f>IF($H21='A - Inputs'!$C$11,I$8,0)</f>
        <v>0</v>
      </c>
      <c r="L21" s="158">
        <f t="shared" si="0"/>
        <v>0</v>
      </c>
      <c r="M21" s="158">
        <f>$L21/(1+disc2)^($B21-'A - Inputs'!$C$6)</f>
        <v>0</v>
      </c>
    </row>
    <row r="22" spans="2:13" x14ac:dyDescent="0.25">
      <c r="B22" s="21">
        <f t="shared" si="1"/>
        <v>2031</v>
      </c>
      <c r="C22" s="21">
        <f t="shared" si="2"/>
        <v>10</v>
      </c>
      <c r="D22" s="162">
        <f>IFERROR(VLOOKUP(B22,'D - Cost Estimate'!$B$24:$C$29,2,FALSE),0)</f>
        <v>0</v>
      </c>
      <c r="E22" s="158">
        <f>$D22/(1+disc2)^($B22-'A - Inputs'!$C$6)</f>
        <v>0</v>
      </c>
      <c r="F22" s="21"/>
      <c r="G22" s="21">
        <f t="shared" si="3"/>
        <v>2031</v>
      </c>
      <c r="H22" s="21">
        <f t="shared" si="4"/>
        <v>10</v>
      </c>
      <c r="I22" s="158">
        <f>IF($H22='A - Inputs'!$C$11,G$8,0)</f>
        <v>0</v>
      </c>
      <c r="J22" s="158">
        <f>IF($H22='A - Inputs'!$C$11,H$8,0)</f>
        <v>0</v>
      </c>
      <c r="K22" s="163">
        <f>IF($H22='A - Inputs'!$C$11,I$8,0)</f>
        <v>0</v>
      </c>
      <c r="L22" s="158">
        <f t="shared" si="0"/>
        <v>0</v>
      </c>
      <c r="M22" s="158">
        <f>$L22/(1+disc2)^($B22-'A - Inputs'!$C$6)</f>
        <v>0</v>
      </c>
    </row>
    <row r="23" spans="2:13" x14ac:dyDescent="0.25">
      <c r="B23" s="21">
        <f t="shared" si="1"/>
        <v>2032</v>
      </c>
      <c r="C23" s="21">
        <f t="shared" si="2"/>
        <v>11</v>
      </c>
      <c r="D23" s="162">
        <f>IFERROR(VLOOKUP(B23,'D - Cost Estimate'!$B$24:$C$29,2,FALSE),0)</f>
        <v>0</v>
      </c>
      <c r="E23" s="158">
        <f>$D23/(1+disc2)^($B23-'A - Inputs'!$C$6)</f>
        <v>0</v>
      </c>
      <c r="F23" s="21"/>
      <c r="G23" s="21">
        <f t="shared" si="3"/>
        <v>2032</v>
      </c>
      <c r="H23" s="21">
        <f t="shared" si="4"/>
        <v>11</v>
      </c>
      <c r="I23" s="158">
        <f>IF($H23='A - Inputs'!$C$11,G$8,0)</f>
        <v>0</v>
      </c>
      <c r="J23" s="158">
        <f>IF($H23='A - Inputs'!$C$11,H$8,0)</f>
        <v>0</v>
      </c>
      <c r="K23" s="163">
        <f>IF($H23='A - Inputs'!$C$11,I$8,0)</f>
        <v>0</v>
      </c>
      <c r="L23" s="158">
        <f t="shared" si="0"/>
        <v>0</v>
      </c>
      <c r="M23" s="158">
        <f>$L23/(1+disc2)^($B23-'A - Inputs'!$C$6)</f>
        <v>0</v>
      </c>
    </row>
    <row r="24" spans="2:13" x14ac:dyDescent="0.25">
      <c r="B24" s="21">
        <f t="shared" si="1"/>
        <v>2033</v>
      </c>
      <c r="C24" s="21">
        <f t="shared" si="2"/>
        <v>12</v>
      </c>
      <c r="D24" s="162">
        <f>IFERROR(VLOOKUP(B24,'D - Cost Estimate'!$B$24:$C$29,2,FALSE),0)</f>
        <v>0</v>
      </c>
      <c r="E24" s="158">
        <f>$D24/(1+disc2)^($B24-'A - Inputs'!$C$6)</f>
        <v>0</v>
      </c>
      <c r="F24" s="21"/>
      <c r="G24" s="21">
        <f t="shared" si="3"/>
        <v>2033</v>
      </c>
      <c r="H24" s="21">
        <f t="shared" si="4"/>
        <v>12</v>
      </c>
      <c r="I24" s="158">
        <f>IF($H24='A - Inputs'!$C$11,G$8,0)</f>
        <v>0</v>
      </c>
      <c r="J24" s="158">
        <f>IF($H24='A - Inputs'!$C$11,H$8,0)</f>
        <v>0</v>
      </c>
      <c r="K24" s="163">
        <f>IF($H24='A - Inputs'!$C$11,I$8,0)</f>
        <v>0</v>
      </c>
      <c r="L24" s="158">
        <f t="shared" si="0"/>
        <v>0</v>
      </c>
      <c r="M24" s="158">
        <f>$L24/(1+disc2)^($B24-'A - Inputs'!$C$6)</f>
        <v>0</v>
      </c>
    </row>
    <row r="25" spans="2:13" x14ac:dyDescent="0.25">
      <c r="B25" s="21">
        <f t="shared" si="1"/>
        <v>2034</v>
      </c>
      <c r="C25" s="21">
        <f t="shared" si="2"/>
        <v>13</v>
      </c>
      <c r="D25" s="162">
        <f>IFERROR(VLOOKUP(B25,'D - Cost Estimate'!$B$24:$C$29,2,FALSE),0)</f>
        <v>0</v>
      </c>
      <c r="E25" s="158">
        <f>$D25/(1+disc2)^($B25-'A - Inputs'!$C$6)</f>
        <v>0</v>
      </c>
      <c r="F25" s="21"/>
      <c r="G25" s="21">
        <f t="shared" si="3"/>
        <v>2034</v>
      </c>
      <c r="H25" s="21">
        <f t="shared" si="4"/>
        <v>13</v>
      </c>
      <c r="I25" s="158">
        <f>IF($H25='A - Inputs'!$C$11,G$8,0)</f>
        <v>0</v>
      </c>
      <c r="J25" s="158">
        <f>IF($H25='A - Inputs'!$C$11,H$8,0)</f>
        <v>0</v>
      </c>
      <c r="K25" s="163">
        <f>IF($H25='A - Inputs'!$C$11,I$8,0)</f>
        <v>0</v>
      </c>
      <c r="L25" s="158">
        <f t="shared" si="0"/>
        <v>0</v>
      </c>
      <c r="M25" s="158">
        <f>$L25/(1+disc2)^($B25-'A - Inputs'!$C$6)</f>
        <v>0</v>
      </c>
    </row>
    <row r="26" spans="2:13" x14ac:dyDescent="0.25">
      <c r="B26" s="21">
        <f t="shared" si="1"/>
        <v>2035</v>
      </c>
      <c r="C26" s="21">
        <f t="shared" si="2"/>
        <v>14</v>
      </c>
      <c r="D26" s="162">
        <f>IFERROR(VLOOKUP(B26,'D - Cost Estimate'!$B$24:$C$29,2,FALSE),0)</f>
        <v>0</v>
      </c>
      <c r="E26" s="158">
        <f>$D26/(1+disc2)^($B26-'A - Inputs'!$C$6)</f>
        <v>0</v>
      </c>
      <c r="F26" s="21"/>
      <c r="G26" s="21">
        <f t="shared" si="3"/>
        <v>2035</v>
      </c>
      <c r="H26" s="21">
        <f t="shared" si="4"/>
        <v>14</v>
      </c>
      <c r="I26" s="158">
        <f>IF($H26='A - Inputs'!$C$11,G$8,0)</f>
        <v>0</v>
      </c>
      <c r="J26" s="158">
        <f>IF($H26='A - Inputs'!$C$11,H$8,0)</f>
        <v>0</v>
      </c>
      <c r="K26" s="163">
        <f>IF($H26='A - Inputs'!$C$11,I$8,0)</f>
        <v>0</v>
      </c>
      <c r="L26" s="158">
        <f t="shared" si="0"/>
        <v>0</v>
      </c>
      <c r="M26" s="158">
        <f>$L26/(1+disc2)^($B26-'A - Inputs'!$C$6)</f>
        <v>0</v>
      </c>
    </row>
    <row r="27" spans="2:13" x14ac:dyDescent="0.25">
      <c r="B27" s="21">
        <f t="shared" si="1"/>
        <v>2036</v>
      </c>
      <c r="C27" s="21">
        <f t="shared" si="2"/>
        <v>15</v>
      </c>
      <c r="D27" s="162">
        <f>IFERROR(VLOOKUP(B27,'D - Cost Estimate'!$B$24:$C$29,2,FALSE),0)</f>
        <v>0</v>
      </c>
      <c r="E27" s="158">
        <f>$D27/(1+disc2)^($B27-'A - Inputs'!$C$6)</f>
        <v>0</v>
      </c>
      <c r="F27" s="21"/>
      <c r="G27" s="21">
        <f t="shared" si="3"/>
        <v>2036</v>
      </c>
      <c r="H27" s="21">
        <f t="shared" si="4"/>
        <v>15</v>
      </c>
      <c r="I27" s="158">
        <f>IF($H27='A - Inputs'!$C$11,G$8,0)</f>
        <v>0</v>
      </c>
      <c r="J27" s="158">
        <f>IF($H27='A - Inputs'!$C$11,H$8,0)</f>
        <v>0</v>
      </c>
      <c r="K27" s="163">
        <f>IF($H27='A - Inputs'!$C$11,I$8,0)</f>
        <v>0</v>
      </c>
      <c r="L27" s="158">
        <f t="shared" si="0"/>
        <v>0</v>
      </c>
      <c r="M27" s="158">
        <f>$L27/(1+disc2)^($B27-'A - Inputs'!$C$6)</f>
        <v>0</v>
      </c>
    </row>
    <row r="28" spans="2:13" x14ac:dyDescent="0.25">
      <c r="B28" s="21">
        <f t="shared" si="1"/>
        <v>2037</v>
      </c>
      <c r="C28" s="21">
        <f t="shared" si="2"/>
        <v>16</v>
      </c>
      <c r="D28" s="162">
        <f>IFERROR(VLOOKUP(B28,'D - Cost Estimate'!$B$24:$C$29,2,FALSE),0)</f>
        <v>0</v>
      </c>
      <c r="E28" s="158">
        <f>$D28/(1+disc2)^($B28-'A - Inputs'!$C$6)</f>
        <v>0</v>
      </c>
      <c r="F28" s="21"/>
      <c r="G28" s="21">
        <f t="shared" si="3"/>
        <v>2037</v>
      </c>
      <c r="H28" s="21">
        <f t="shared" si="4"/>
        <v>16</v>
      </c>
      <c r="I28" s="158">
        <f>IF($H28='A - Inputs'!$C$11,G$8,0)</f>
        <v>0</v>
      </c>
      <c r="J28" s="158">
        <f>IF($H28='A - Inputs'!$C$11,H$8,0)</f>
        <v>0</v>
      </c>
      <c r="K28" s="163">
        <f>IF($H28='A - Inputs'!$C$11,I$8,0)</f>
        <v>0</v>
      </c>
      <c r="L28" s="158">
        <f t="shared" si="0"/>
        <v>0</v>
      </c>
      <c r="M28" s="158">
        <f>$L28/(1+disc2)^($B28-'A - Inputs'!$C$6)</f>
        <v>0</v>
      </c>
    </row>
    <row r="29" spans="2:13" x14ac:dyDescent="0.25">
      <c r="B29" s="21">
        <f t="shared" si="1"/>
        <v>2038</v>
      </c>
      <c r="C29" s="21">
        <f t="shared" si="2"/>
        <v>17</v>
      </c>
      <c r="D29" s="162">
        <f>IFERROR(VLOOKUP(B29,'D - Cost Estimate'!$B$24:$C$29,2,FALSE),0)</f>
        <v>0</v>
      </c>
      <c r="E29" s="158">
        <f>$D29/(1+disc2)^($B29-'A - Inputs'!$C$6)</f>
        <v>0</v>
      </c>
      <c r="F29" s="21"/>
      <c r="G29" s="21">
        <f t="shared" si="3"/>
        <v>2038</v>
      </c>
      <c r="H29" s="21">
        <f t="shared" si="4"/>
        <v>17</v>
      </c>
      <c r="I29" s="158">
        <f>IF($H29='A - Inputs'!$C$11,G$8,0)</f>
        <v>0</v>
      </c>
      <c r="J29" s="158">
        <f>IF($H29='A - Inputs'!$C$11,H$8,0)</f>
        <v>0</v>
      </c>
      <c r="K29" s="163">
        <f>IF($H29='A - Inputs'!$C$11,I$8,0)</f>
        <v>0</v>
      </c>
      <c r="L29" s="158">
        <f t="shared" si="0"/>
        <v>0</v>
      </c>
      <c r="M29" s="158">
        <f>$L29/(1+disc2)^($B29-'A - Inputs'!$C$6)</f>
        <v>0</v>
      </c>
    </row>
    <row r="30" spans="2:13" x14ac:dyDescent="0.25">
      <c r="B30" s="21">
        <f t="shared" si="1"/>
        <v>2039</v>
      </c>
      <c r="C30" s="21">
        <f t="shared" si="2"/>
        <v>18</v>
      </c>
      <c r="D30" s="162">
        <f>IFERROR(VLOOKUP(B30,'D - Cost Estimate'!$B$24:$C$29,2,FALSE),0)</f>
        <v>0</v>
      </c>
      <c r="E30" s="158">
        <f>$D30/(1+disc2)^($B30-'A - Inputs'!$C$6)</f>
        <v>0</v>
      </c>
      <c r="F30" s="21"/>
      <c r="G30" s="21">
        <f t="shared" si="3"/>
        <v>2039</v>
      </c>
      <c r="H30" s="21">
        <f t="shared" si="4"/>
        <v>18</v>
      </c>
      <c r="I30" s="158">
        <f>IF($H30='A - Inputs'!$C$11,G$8,0)</f>
        <v>0</v>
      </c>
      <c r="J30" s="158">
        <f>IF($H30='A - Inputs'!$C$11,H$8,0)</f>
        <v>0</v>
      </c>
      <c r="K30" s="163">
        <f>IF($H30='A - Inputs'!$C$11,I$8,0)</f>
        <v>0</v>
      </c>
      <c r="L30" s="158">
        <f t="shared" si="0"/>
        <v>0</v>
      </c>
      <c r="M30" s="158">
        <f>$L30/(1+disc2)^($B30-'A - Inputs'!$C$6)</f>
        <v>0</v>
      </c>
    </row>
    <row r="31" spans="2:13" x14ac:dyDescent="0.25">
      <c r="B31" s="21">
        <f t="shared" si="1"/>
        <v>2040</v>
      </c>
      <c r="C31" s="21">
        <f t="shared" si="2"/>
        <v>19</v>
      </c>
      <c r="D31" s="162">
        <f>IFERROR(VLOOKUP(B31,'D - Cost Estimate'!$B$24:$C$29,2,FALSE),0)</f>
        <v>0</v>
      </c>
      <c r="E31" s="158">
        <f>$D31/(1+disc2)^($B31-'A - Inputs'!$C$6)</f>
        <v>0</v>
      </c>
      <c r="F31" s="21"/>
      <c r="G31" s="21">
        <f t="shared" si="3"/>
        <v>2040</v>
      </c>
      <c r="H31" s="21">
        <f t="shared" si="4"/>
        <v>19</v>
      </c>
      <c r="I31" s="158">
        <f>IF($H31='A - Inputs'!$C$11,G$8,0)</f>
        <v>0</v>
      </c>
      <c r="J31" s="158">
        <f>IF($H31='A - Inputs'!$C$11,H$8,0)</f>
        <v>0</v>
      </c>
      <c r="K31" s="163">
        <f>IF($H31='A - Inputs'!$C$11,I$8,0)</f>
        <v>0</v>
      </c>
      <c r="L31" s="158">
        <f t="shared" si="0"/>
        <v>0</v>
      </c>
      <c r="M31" s="158">
        <f>$L31/(1+disc2)^($B31-'A - Inputs'!$C$6)</f>
        <v>0</v>
      </c>
    </row>
    <row r="32" spans="2:13" x14ac:dyDescent="0.25">
      <c r="B32" s="21">
        <f t="shared" si="1"/>
        <v>2041</v>
      </c>
      <c r="C32" s="21">
        <f t="shared" si="2"/>
        <v>20</v>
      </c>
      <c r="D32" s="162">
        <f>IFERROR(VLOOKUP(B32,'D - Cost Estimate'!$B$24:$C$29,2,FALSE),0)</f>
        <v>0</v>
      </c>
      <c r="E32" s="158">
        <f>$D32/(1+disc2)^($B32-'A - Inputs'!$C$6)</f>
        <v>0</v>
      </c>
      <c r="F32" s="21"/>
      <c r="G32" s="21">
        <f t="shared" si="3"/>
        <v>2041</v>
      </c>
      <c r="H32" s="21">
        <f t="shared" si="4"/>
        <v>20</v>
      </c>
      <c r="I32" s="158">
        <f>IF($H32='A - Inputs'!$C$11,G$8,0)</f>
        <v>0</v>
      </c>
      <c r="J32" s="158">
        <f>IF($H32='A - Inputs'!$C$11,H$8,0)</f>
        <v>0</v>
      </c>
      <c r="K32" s="163">
        <f>IF($H32='A - Inputs'!$C$11,I$8,0)</f>
        <v>0</v>
      </c>
      <c r="L32" s="158">
        <f t="shared" si="0"/>
        <v>0</v>
      </c>
      <c r="M32" s="158">
        <f>$L32/(1+disc2)^($B32-'A - Inputs'!$C$6)</f>
        <v>0</v>
      </c>
    </row>
    <row r="33" spans="2:13" x14ac:dyDescent="0.25">
      <c r="B33" s="21">
        <f t="shared" si="1"/>
        <v>2042</v>
      </c>
      <c r="C33" s="21">
        <f t="shared" si="2"/>
        <v>21</v>
      </c>
      <c r="D33" s="162">
        <f>IFERROR(VLOOKUP(B33,'D - Cost Estimate'!$B$24:$C$29,2,FALSE),0)</f>
        <v>0</v>
      </c>
      <c r="E33" s="158">
        <f>$D33/(1+disc2)^($B33-'A - Inputs'!$C$6)</f>
        <v>0</v>
      </c>
      <c r="F33" s="21"/>
      <c r="G33" s="21">
        <f t="shared" si="3"/>
        <v>2042</v>
      </c>
      <c r="H33" s="21">
        <f t="shared" si="4"/>
        <v>21</v>
      </c>
      <c r="I33" s="158">
        <f>IF($H33='A - Inputs'!$C$11,G$8,0)</f>
        <v>0</v>
      </c>
      <c r="J33" s="158">
        <f>IF($H33='A - Inputs'!$C$11,H$8,0)</f>
        <v>0</v>
      </c>
      <c r="K33" s="163">
        <f>IF($H33='A - Inputs'!$C$11,I$8,0)</f>
        <v>0</v>
      </c>
      <c r="L33" s="158">
        <f t="shared" si="0"/>
        <v>0</v>
      </c>
      <c r="M33" s="158">
        <f>$L33/(1+disc2)^($B33-'A - Inputs'!$C$6)</f>
        <v>0</v>
      </c>
    </row>
    <row r="34" spans="2:13" x14ac:dyDescent="0.25">
      <c r="B34" s="21">
        <f t="shared" si="1"/>
        <v>2043</v>
      </c>
      <c r="C34" s="21">
        <f t="shared" si="2"/>
        <v>22</v>
      </c>
      <c r="D34" s="162">
        <f>IFERROR(VLOOKUP(B34,'D - Cost Estimate'!$B$24:$C$29,2,FALSE),0)</f>
        <v>0</v>
      </c>
      <c r="E34" s="158">
        <f>$D34/(1+disc2)^($B34-'A - Inputs'!$C$6)</f>
        <v>0</v>
      </c>
      <c r="F34" s="21"/>
      <c r="G34" s="21">
        <f t="shared" si="3"/>
        <v>2043</v>
      </c>
      <c r="H34" s="21">
        <f t="shared" si="4"/>
        <v>22</v>
      </c>
      <c r="I34" s="158">
        <f>IF($H34='A - Inputs'!$C$11,G$8,0)</f>
        <v>0</v>
      </c>
      <c r="J34" s="158">
        <f>IF($H34='A - Inputs'!$C$11,H$8,0)</f>
        <v>0</v>
      </c>
      <c r="K34" s="163">
        <f>IF($H34='A - Inputs'!$C$11,I$8,0)</f>
        <v>0</v>
      </c>
      <c r="L34" s="158">
        <f t="shared" si="0"/>
        <v>0</v>
      </c>
      <c r="M34" s="158">
        <f>$L34/(1+disc2)^($B34-'A - Inputs'!$C$6)</f>
        <v>0</v>
      </c>
    </row>
    <row r="35" spans="2:13" x14ac:dyDescent="0.25">
      <c r="B35" s="21">
        <f t="shared" si="1"/>
        <v>2044</v>
      </c>
      <c r="C35" s="21">
        <f t="shared" si="2"/>
        <v>23</v>
      </c>
      <c r="D35" s="162">
        <f>IFERROR(VLOOKUP(B35,'D - Cost Estimate'!$B$24:$C$29,2,FALSE),0)</f>
        <v>0</v>
      </c>
      <c r="E35" s="158">
        <f>$D35/(1+disc2)^($B35-'A - Inputs'!$C$6)</f>
        <v>0</v>
      </c>
      <c r="F35" s="21"/>
      <c r="G35" s="21">
        <f t="shared" si="3"/>
        <v>2044</v>
      </c>
      <c r="H35" s="21">
        <f t="shared" si="4"/>
        <v>23</v>
      </c>
      <c r="I35" s="158">
        <f>IF($H35='A - Inputs'!$C$11,G$8,0)</f>
        <v>0</v>
      </c>
      <c r="J35" s="158">
        <f>IF($H35='A - Inputs'!$C$11,H$8,0)</f>
        <v>0</v>
      </c>
      <c r="K35" s="163">
        <f>IF($H35='A - Inputs'!$C$11,I$8,0)</f>
        <v>0</v>
      </c>
      <c r="L35" s="158">
        <f t="shared" si="0"/>
        <v>0</v>
      </c>
      <c r="M35" s="158">
        <f>$L35/(1+disc2)^($B35-'A - Inputs'!$C$6)</f>
        <v>0</v>
      </c>
    </row>
    <row r="36" spans="2:13" x14ac:dyDescent="0.25">
      <c r="B36" s="21">
        <f t="shared" si="1"/>
        <v>2045</v>
      </c>
      <c r="C36" s="21">
        <f t="shared" si="2"/>
        <v>24</v>
      </c>
      <c r="D36" s="162">
        <f>IFERROR(VLOOKUP(B36,'D - Cost Estimate'!$B$24:$C$29,2,FALSE),0)</f>
        <v>0</v>
      </c>
      <c r="E36" s="158">
        <f>$D36/(1+disc2)^($B36-'A - Inputs'!$C$6)</f>
        <v>0</v>
      </c>
      <c r="F36" s="21"/>
      <c r="G36" s="21">
        <f t="shared" si="3"/>
        <v>2045</v>
      </c>
      <c r="H36" s="21">
        <f t="shared" si="4"/>
        <v>24</v>
      </c>
      <c r="I36" s="158">
        <f>IF($H36='A - Inputs'!$C$11,G$8,0)</f>
        <v>0</v>
      </c>
      <c r="J36" s="158">
        <f>IF($H36='A - Inputs'!$C$11,H$8,0)</f>
        <v>0</v>
      </c>
      <c r="K36" s="163">
        <f>IF($H36='A - Inputs'!$C$11,I$8,0)</f>
        <v>0</v>
      </c>
      <c r="L36" s="158">
        <f t="shared" si="0"/>
        <v>0</v>
      </c>
      <c r="M36" s="158">
        <f>$L36/(1+disc2)^($B36-'A - Inputs'!$C$6)</f>
        <v>0</v>
      </c>
    </row>
    <row r="37" spans="2:13" x14ac:dyDescent="0.25">
      <c r="B37" s="21">
        <f t="shared" si="1"/>
        <v>2046</v>
      </c>
      <c r="C37" s="21">
        <f t="shared" si="2"/>
        <v>25</v>
      </c>
      <c r="D37" s="162">
        <f>IFERROR(VLOOKUP(B37,'D - Cost Estimate'!$B$24:$C$29,2,FALSE),0)</f>
        <v>0</v>
      </c>
      <c r="E37" s="158">
        <f>$D37/(1+disc2)^($B37-'A - Inputs'!$C$6)</f>
        <v>0</v>
      </c>
      <c r="F37" s="21"/>
      <c r="G37" s="21">
        <f t="shared" si="3"/>
        <v>2046</v>
      </c>
      <c r="H37" s="21">
        <f t="shared" si="4"/>
        <v>25</v>
      </c>
      <c r="I37" s="158">
        <f>IF($H37='A - Inputs'!$C$11,G$8,0)</f>
        <v>0</v>
      </c>
      <c r="J37" s="158">
        <f>IF($H37='A - Inputs'!$C$11,H$8,0)</f>
        <v>0</v>
      </c>
      <c r="K37" s="163">
        <f>IF($H37='A - Inputs'!$C$11,I$8,0)</f>
        <v>0</v>
      </c>
      <c r="L37" s="158">
        <f t="shared" si="0"/>
        <v>0</v>
      </c>
      <c r="M37" s="158">
        <f>$L37/(1+disc2)^($B37-'A - Inputs'!$C$6)</f>
        <v>0</v>
      </c>
    </row>
    <row r="38" spans="2:13" x14ac:dyDescent="0.25">
      <c r="B38" s="21">
        <f t="shared" si="1"/>
        <v>2047</v>
      </c>
      <c r="C38" s="21">
        <f t="shared" si="2"/>
        <v>26</v>
      </c>
      <c r="D38" s="162">
        <f>IFERROR(VLOOKUP(B38,'D - Cost Estimate'!$B$24:$C$29,2,FALSE),0)</f>
        <v>0</v>
      </c>
      <c r="E38" s="158">
        <f>$D38/(1+disc2)^($B38-'A - Inputs'!$C$6)</f>
        <v>0</v>
      </c>
      <c r="F38" s="21"/>
      <c r="G38" s="21">
        <f t="shared" si="3"/>
        <v>2047</v>
      </c>
      <c r="H38" s="21">
        <f t="shared" si="4"/>
        <v>26</v>
      </c>
      <c r="I38" s="158">
        <f>IF($H38='A - Inputs'!$C$11,G$8,0)</f>
        <v>0</v>
      </c>
      <c r="J38" s="158">
        <f>IF($H38='A - Inputs'!$C$11,H$8,0)</f>
        <v>0</v>
      </c>
      <c r="K38" s="163">
        <f>IF($H38='A - Inputs'!$C$11,I$8,0)</f>
        <v>0</v>
      </c>
      <c r="L38" s="158">
        <f t="shared" ref="L38:L42" si="5">SUM(I38:K38)</f>
        <v>0</v>
      </c>
      <c r="M38" s="158">
        <f>$L38/(1+disc2)^($B38-'A - Inputs'!$C$6)</f>
        <v>0</v>
      </c>
    </row>
    <row r="39" spans="2:13" x14ac:dyDescent="0.25">
      <c r="B39" s="21">
        <f t="shared" si="1"/>
        <v>2048</v>
      </c>
      <c r="C39" s="21">
        <f t="shared" si="2"/>
        <v>27</v>
      </c>
      <c r="D39" s="162">
        <f>IFERROR(VLOOKUP(B39,'D - Cost Estimate'!$B$24:$C$29,2,FALSE),0)</f>
        <v>0</v>
      </c>
      <c r="E39" s="158">
        <f>$D39/(1+disc2)^($B39-'A - Inputs'!$C$6)</f>
        <v>0</v>
      </c>
      <c r="F39" s="21"/>
      <c r="G39" s="21">
        <f t="shared" si="3"/>
        <v>2048</v>
      </c>
      <c r="H39" s="21">
        <f t="shared" si="4"/>
        <v>27</v>
      </c>
      <c r="I39" s="158">
        <f>IF($H39='A - Inputs'!$C$11,G$8,0)</f>
        <v>0</v>
      </c>
      <c r="J39" s="158">
        <f>IF($H39='A - Inputs'!$C$11,H$8,0)</f>
        <v>0</v>
      </c>
      <c r="K39" s="163">
        <f>IF($H39='A - Inputs'!$C$11,I$8,0)</f>
        <v>0</v>
      </c>
      <c r="L39" s="158">
        <f t="shared" si="5"/>
        <v>0</v>
      </c>
      <c r="M39" s="158">
        <f>$L39/(1+disc2)^($B39-'A - Inputs'!$C$6)</f>
        <v>0</v>
      </c>
    </row>
    <row r="40" spans="2:13" x14ac:dyDescent="0.25">
      <c r="B40" s="21">
        <f t="shared" si="1"/>
        <v>2049</v>
      </c>
      <c r="C40" s="21">
        <f t="shared" si="2"/>
        <v>28</v>
      </c>
      <c r="D40" s="162">
        <f>IFERROR(VLOOKUP(B40,'D - Cost Estimate'!$B$24:$C$29,2,FALSE),0)</f>
        <v>0</v>
      </c>
      <c r="E40" s="158">
        <f>$D40/(1+disc2)^($B40-'A - Inputs'!$C$6)</f>
        <v>0</v>
      </c>
      <c r="F40" s="21"/>
      <c r="G40" s="21">
        <f t="shared" si="3"/>
        <v>2049</v>
      </c>
      <c r="H40" s="21">
        <f t="shared" si="4"/>
        <v>28</v>
      </c>
      <c r="I40" s="158">
        <f>IF($H40='A - Inputs'!$C$11,G$8,0)</f>
        <v>0</v>
      </c>
      <c r="J40" s="158">
        <f>IF($H40='A - Inputs'!$C$11,H$8,0)</f>
        <v>0</v>
      </c>
      <c r="K40" s="163">
        <f>IF($H40='A - Inputs'!$C$11,I$8,0)</f>
        <v>0</v>
      </c>
      <c r="L40" s="158">
        <f t="shared" si="5"/>
        <v>0</v>
      </c>
      <c r="M40" s="158">
        <f>$L40/(1+disc2)^($B40-'A - Inputs'!$C$6)</f>
        <v>0</v>
      </c>
    </row>
    <row r="41" spans="2:13" x14ac:dyDescent="0.25">
      <c r="B41" s="21">
        <f t="shared" si="1"/>
        <v>2050</v>
      </c>
      <c r="C41" s="21">
        <f t="shared" si="2"/>
        <v>29</v>
      </c>
      <c r="D41" s="162">
        <f>IFERROR(VLOOKUP(B41,'D - Cost Estimate'!$B$24:$C$29,2,FALSE),0)</f>
        <v>0</v>
      </c>
      <c r="E41" s="158">
        <f>$D41/(1+disc2)^($B41-'A - Inputs'!$C$6)</f>
        <v>0</v>
      </c>
      <c r="F41" s="21"/>
      <c r="G41" s="21">
        <f t="shared" si="3"/>
        <v>2050</v>
      </c>
      <c r="H41" s="21">
        <f t="shared" si="4"/>
        <v>29</v>
      </c>
      <c r="I41" s="158">
        <f>IF($H41='A - Inputs'!$C$11,G$8,0)</f>
        <v>0</v>
      </c>
      <c r="J41" s="158">
        <f>IF($H41='A - Inputs'!$C$11,H$8,0)</f>
        <v>0</v>
      </c>
      <c r="K41" s="163">
        <f>IF($H41='A - Inputs'!$C$11,I$8,0)</f>
        <v>0</v>
      </c>
      <c r="L41" s="158">
        <f t="shared" si="5"/>
        <v>0</v>
      </c>
      <c r="M41" s="158">
        <f>$L41/(1+disc2)^($B41-'A - Inputs'!$C$6)</f>
        <v>0</v>
      </c>
    </row>
    <row r="42" spans="2:13" x14ac:dyDescent="0.25">
      <c r="B42" s="21">
        <f t="shared" si="1"/>
        <v>2051</v>
      </c>
      <c r="C42" s="21">
        <f t="shared" si="2"/>
        <v>30</v>
      </c>
      <c r="D42" s="162">
        <f>IFERROR(VLOOKUP(B42,'D - Cost Estimate'!$B$24:$C$29,2,FALSE),0)</f>
        <v>0</v>
      </c>
      <c r="E42" s="158">
        <f>$D42/(1+disc2)^($B42-'A - Inputs'!$C$6)</f>
        <v>0</v>
      </c>
      <c r="F42" s="21"/>
      <c r="G42" s="21">
        <f t="shared" si="3"/>
        <v>2051</v>
      </c>
      <c r="H42" s="21">
        <f t="shared" si="4"/>
        <v>30</v>
      </c>
      <c r="I42" s="158">
        <f>IF($H42='A - Inputs'!$C$11,G$8,0)</f>
        <v>1161942.8786879063</v>
      </c>
      <c r="J42" s="158">
        <f>IF($H42='A - Inputs'!$C$11,H$8,0)</f>
        <v>0</v>
      </c>
      <c r="K42" s="163">
        <f>IF($H42='A - Inputs'!$C$11,I$8,0)</f>
        <v>0</v>
      </c>
      <c r="L42" s="158">
        <f t="shared" si="5"/>
        <v>1161942.8786879063</v>
      </c>
      <c r="M42" s="158">
        <f>$L42/(1+disc2)^($B42-'A - Inputs'!$C$6)</f>
        <v>142655.22081451915</v>
      </c>
    </row>
    <row r="43" spans="2:13" s="11" customFormat="1" x14ac:dyDescent="0.25">
      <c r="B43" s="160" t="s">
        <v>81</v>
      </c>
      <c r="C43" s="160"/>
      <c r="D43" s="164">
        <f>SUM(D13:D42)</f>
        <v>10407219.342068056</v>
      </c>
      <c r="E43" s="164">
        <f t="shared" ref="E43:M43" si="6">SUM(E13:E42)</f>
        <v>7773589.3154117782</v>
      </c>
      <c r="F43" s="160"/>
      <c r="G43" s="160"/>
      <c r="H43" s="160"/>
      <c r="I43" s="164">
        <f t="shared" si="6"/>
        <v>1161942.8786879063</v>
      </c>
      <c r="J43" s="164">
        <f>SUM(J13:J42)</f>
        <v>0</v>
      </c>
      <c r="K43" s="165">
        <f t="shared" si="6"/>
        <v>0</v>
      </c>
      <c r="L43" s="164">
        <f t="shared" si="6"/>
        <v>1161942.8786879063</v>
      </c>
      <c r="M43" s="164">
        <f t="shared" si="6"/>
        <v>142655.22081451915</v>
      </c>
    </row>
  </sheetData>
  <pageMargins left="0.7" right="0.70416666666666705" top="0.75" bottom="0.75" header="0.3" footer="0.3"/>
  <pageSetup scale="46" orientation="landscape" r:id="rId1"/>
  <headerFooter>
    <oddHeader>&amp;L&amp;"Arial,Bold"Post and McDuff Innovative Rail Crossing
CRISI 2022 BCA&amp;C
&amp;R&amp;"Arial,Bold"&amp;A</oddHeader>
    <oddFooter>&amp;CPage E-&amp;P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0B12C-E7DF-41C5-9CE5-FD2738328141}">
  <sheetPr codeName="Sheet6">
    <tabColor theme="6" tint="0.59999389629810485"/>
  </sheetPr>
  <dimension ref="A1:R73"/>
  <sheetViews>
    <sheetView workbookViewId="0">
      <selection activeCell="E20" sqref="B20:E20"/>
    </sheetView>
  </sheetViews>
  <sheetFormatPr defaultColWidth="8.7109375" defaultRowHeight="15" x14ac:dyDescent="0.25"/>
  <cols>
    <col min="1" max="1" width="3.42578125" style="1" customWidth="1"/>
    <col min="2" max="2" width="22.85546875" style="1" customWidth="1"/>
    <col min="3" max="3" width="11" style="1" customWidth="1"/>
    <col min="4" max="4" width="12.28515625" style="1" customWidth="1"/>
    <col min="5" max="9" width="11.42578125" style="1" customWidth="1"/>
    <col min="10" max="10" width="14.28515625" style="1" customWidth="1"/>
    <col min="11" max="12" width="17.5703125" style="1" customWidth="1"/>
    <col min="13" max="13" width="11.42578125" style="1" customWidth="1"/>
    <col min="14" max="15" width="8.7109375" style="1"/>
    <col min="16" max="16" width="18.42578125" style="1" customWidth="1"/>
    <col min="17" max="17" width="18.28515625" style="1" customWidth="1"/>
    <col min="18" max="16384" width="8.7109375" style="1"/>
  </cols>
  <sheetData>
    <row r="1" spans="1:14" x14ac:dyDescent="0.25">
      <c r="A1" s="124" t="str" cm="1">
        <f t="array" aca="1" ref="A1" ca="1">MID(CELL("filename",A1),FIND("]",CELL("filename",A1))+1,255)</f>
        <v>F - Maintenance &amp; SOGR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</row>
    <row r="2" spans="1:14" customFormat="1" ht="12.75" x14ac:dyDescent="0.2">
      <c r="B2" s="192"/>
      <c r="C2" s="192"/>
      <c r="D2" s="192"/>
      <c r="E2" s="192"/>
      <c r="F2" s="493" t="s">
        <v>35</v>
      </c>
      <c r="G2" s="493"/>
      <c r="H2" s="192"/>
    </row>
    <row r="3" spans="1:14" customFormat="1" ht="12.75" x14ac:dyDescent="0.2">
      <c r="B3" s="230" t="s">
        <v>309</v>
      </c>
      <c r="C3" s="192"/>
      <c r="D3" s="192"/>
      <c r="E3" s="192"/>
      <c r="F3" s="493"/>
      <c r="G3" s="493"/>
      <c r="H3" s="192"/>
    </row>
    <row r="4" spans="1:14" s="4" customFormat="1" ht="12.75" x14ac:dyDescent="0.2">
      <c r="A4" s="192"/>
      <c r="B4" s="639" t="s">
        <v>325</v>
      </c>
      <c r="C4" s="629"/>
      <c r="D4" s="628">
        <v>750</v>
      </c>
      <c r="E4" s="192" t="s">
        <v>329</v>
      </c>
      <c r="F4" s="494"/>
      <c r="G4" s="494"/>
      <c r="H4" s="192"/>
      <c r="I4" s="192"/>
      <c r="J4" s="495"/>
      <c r="K4" s="192"/>
      <c r="L4" s="192"/>
      <c r="M4" s="192"/>
      <c r="N4" s="192"/>
    </row>
    <row r="5" spans="1:14" s="4" customFormat="1" ht="12.75" x14ac:dyDescent="0.2">
      <c r="A5" s="192"/>
      <c r="B5" s="639" t="s">
        <v>326</v>
      </c>
      <c r="C5" s="629"/>
      <c r="D5" s="628">
        <v>1750</v>
      </c>
      <c r="E5" s="192" t="s">
        <v>329</v>
      </c>
      <c r="F5" s="494"/>
      <c r="G5" s="494"/>
      <c r="H5" s="192"/>
      <c r="I5" s="192"/>
      <c r="J5" s="495"/>
      <c r="K5" s="192"/>
      <c r="L5" s="192"/>
      <c r="M5" s="192"/>
      <c r="N5" s="192"/>
    </row>
    <row r="6" spans="1:14" x14ac:dyDescent="0.25">
      <c r="A6" s="192"/>
      <c r="B6" s="639" t="s">
        <v>330</v>
      </c>
      <c r="C6" s="243"/>
      <c r="D6" s="641">
        <f>(110+85)*2</f>
        <v>390</v>
      </c>
      <c r="E6" s="192" t="s">
        <v>238</v>
      </c>
      <c r="F6" s="244"/>
      <c r="G6" s="244"/>
      <c r="H6" s="365"/>
      <c r="I6" s="366"/>
      <c r="J6" s="497"/>
      <c r="K6" s="229"/>
      <c r="L6" s="229"/>
      <c r="M6" s="192"/>
      <c r="N6" s="192"/>
    </row>
    <row r="7" spans="1:14" s="13" customFormat="1" x14ac:dyDescent="0.25">
      <c r="A7" s="228"/>
      <c r="B7" s="639" t="s">
        <v>327</v>
      </c>
      <c r="C7" s="369"/>
      <c r="D7" s="640">
        <f>D4*$D$6</f>
        <v>292500</v>
      </c>
      <c r="E7" s="228"/>
      <c r="F7" s="191"/>
      <c r="G7" s="191"/>
      <c r="H7" s="228"/>
      <c r="I7" s="228"/>
      <c r="J7" s="496"/>
      <c r="K7" s="362"/>
      <c r="L7" s="228"/>
      <c r="M7" s="228"/>
      <c r="N7" s="228"/>
    </row>
    <row r="8" spans="1:14" x14ac:dyDescent="0.25">
      <c r="A8" s="192"/>
      <c r="B8" s="639" t="s">
        <v>328</v>
      </c>
      <c r="C8" s="243"/>
      <c r="D8" s="640">
        <f>D5*$D$6</f>
        <v>682500</v>
      </c>
      <c r="E8" s="192"/>
      <c r="F8" s="244"/>
      <c r="G8" s="244"/>
      <c r="H8" s="365"/>
      <c r="I8" s="366"/>
      <c r="J8" s="497"/>
      <c r="K8" s="229"/>
      <c r="L8" s="229"/>
      <c r="M8" s="192"/>
      <c r="N8" s="192"/>
    </row>
    <row r="9" spans="1:14" x14ac:dyDescent="0.25">
      <c r="A9" s="192"/>
      <c r="B9" s="242" t="s">
        <v>318</v>
      </c>
      <c r="C9" s="243"/>
      <c r="D9" s="638">
        <v>15</v>
      </c>
      <c r="E9" s="192" t="s">
        <v>12</v>
      </c>
      <c r="F9" s="494"/>
      <c r="G9" s="494"/>
      <c r="H9" s="365"/>
      <c r="I9" s="366"/>
      <c r="J9" s="366"/>
      <c r="K9" s="229"/>
      <c r="L9" s="229"/>
      <c r="M9" s="192"/>
      <c r="N9" s="192"/>
    </row>
    <row r="10" spans="1:14" x14ac:dyDescent="0.25">
      <c r="A10" s="192"/>
      <c r="B10" s="631" t="s">
        <v>308</v>
      </c>
      <c r="C10" s="243"/>
      <c r="D10" s="638"/>
      <c r="E10" s="192"/>
      <c r="F10" s="494"/>
      <c r="G10" s="494"/>
      <c r="H10" s="365"/>
      <c r="I10" s="366"/>
      <c r="J10" s="366"/>
      <c r="K10" s="229"/>
      <c r="L10" s="229"/>
      <c r="M10" s="192"/>
      <c r="N10" s="192"/>
    </row>
    <row r="11" spans="1:14" x14ac:dyDescent="0.25">
      <c r="A11" s="192"/>
      <c r="B11" s="242" t="s">
        <v>312</v>
      </c>
      <c r="C11" s="243"/>
      <c r="D11" s="632">
        <v>4000</v>
      </c>
      <c r="E11" s="192" t="s">
        <v>310</v>
      </c>
      <c r="F11" s="494" t="s">
        <v>317</v>
      </c>
      <c r="G11" s="494"/>
      <c r="H11" s="365"/>
      <c r="I11" s="366"/>
      <c r="J11" s="366"/>
      <c r="K11" s="229"/>
      <c r="L11" s="229"/>
      <c r="M11" s="192"/>
      <c r="N11" s="192"/>
    </row>
    <row r="12" spans="1:14" x14ac:dyDescent="0.25">
      <c r="A12" s="192"/>
      <c r="B12" s="242" t="s">
        <v>311</v>
      </c>
      <c r="C12" s="243"/>
      <c r="D12" s="633">
        <v>3</v>
      </c>
      <c r="E12" s="192"/>
      <c r="F12" s="494"/>
      <c r="G12" s="494"/>
      <c r="H12" s="365"/>
      <c r="I12" s="366"/>
      <c r="J12" s="366"/>
      <c r="K12" s="229"/>
      <c r="L12" s="229"/>
      <c r="M12" s="192"/>
      <c r="N12" s="192"/>
    </row>
    <row r="13" spans="1:14" x14ac:dyDescent="0.25">
      <c r="A13" s="192"/>
      <c r="B13" s="647" t="s">
        <v>313</v>
      </c>
      <c r="C13" s="648"/>
      <c r="D13" s="632">
        <f>D11*D12</f>
        <v>12000</v>
      </c>
      <c r="E13" s="639" t="s">
        <v>331</v>
      </c>
      <c r="F13" s="494"/>
      <c r="G13" s="494"/>
      <c r="H13" s="365"/>
      <c r="I13" s="366"/>
      <c r="J13" s="366"/>
      <c r="K13" s="229"/>
      <c r="L13" s="229"/>
      <c r="M13" s="192"/>
      <c r="N13" s="192"/>
    </row>
    <row r="14" spans="1:14" x14ac:dyDescent="0.25">
      <c r="A14" s="639"/>
      <c r="B14" s="647" t="s">
        <v>314</v>
      </c>
      <c r="C14" s="648"/>
      <c r="D14" s="632">
        <v>1800</v>
      </c>
      <c r="E14" s="639"/>
      <c r="F14" s="494"/>
      <c r="G14" s="494"/>
      <c r="H14" s="365"/>
      <c r="I14" s="366"/>
      <c r="J14" s="366"/>
      <c r="K14" s="229"/>
      <c r="L14" s="229"/>
      <c r="M14" s="192"/>
      <c r="N14" s="192"/>
    </row>
    <row r="15" spans="1:14" x14ac:dyDescent="0.25">
      <c r="A15" s="639"/>
      <c r="B15" s="647" t="s">
        <v>315</v>
      </c>
      <c r="C15" s="648"/>
      <c r="D15" s="633">
        <v>3</v>
      </c>
      <c r="E15" s="639"/>
      <c r="F15" s="494"/>
      <c r="G15" s="494"/>
      <c r="H15" s="365"/>
      <c r="I15" s="366"/>
      <c r="J15" s="366"/>
      <c r="K15" s="229"/>
      <c r="L15" s="229"/>
      <c r="M15" s="192"/>
      <c r="N15" s="192"/>
    </row>
    <row r="16" spans="1:14" x14ac:dyDescent="0.25">
      <c r="A16" s="639"/>
      <c r="B16" s="647" t="s">
        <v>316</v>
      </c>
      <c r="C16" s="648"/>
      <c r="D16" s="632">
        <f>D14*D15</f>
        <v>5400</v>
      </c>
      <c r="E16" s="639"/>
      <c r="F16" s="494"/>
      <c r="G16" s="494"/>
      <c r="H16" s="365"/>
      <c r="I16" s="366"/>
      <c r="J16" s="366"/>
      <c r="K16" s="229"/>
      <c r="L16" s="229"/>
      <c r="M16" s="192"/>
      <c r="N16" s="192"/>
    </row>
    <row r="17" spans="1:18" x14ac:dyDescent="0.25">
      <c r="A17" s="639"/>
      <c r="B17" s="647" t="s">
        <v>332</v>
      </c>
      <c r="C17" s="648"/>
      <c r="D17" s="632">
        <f>D13+D16</f>
        <v>17400</v>
      </c>
      <c r="E17" s="639"/>
      <c r="F17" s="494"/>
      <c r="G17" s="494"/>
      <c r="H17" s="365"/>
      <c r="I17" s="366"/>
      <c r="J17" s="366"/>
      <c r="K17" s="229"/>
      <c r="L17" s="229"/>
      <c r="M17" s="192"/>
      <c r="N17" s="192"/>
    </row>
    <row r="18" spans="1:18" x14ac:dyDescent="0.25">
      <c r="A18" s="639"/>
      <c r="B18" s="647" t="s">
        <v>307</v>
      </c>
      <c r="C18" s="653"/>
      <c r="D18" s="639">
        <v>20</v>
      </c>
      <c r="E18" s="639" t="s">
        <v>12</v>
      </c>
      <c r="G18" s="494"/>
      <c r="H18" s="365"/>
      <c r="I18" s="366"/>
      <c r="J18" s="366"/>
      <c r="K18" s="229"/>
      <c r="L18" s="229"/>
      <c r="M18" s="192"/>
      <c r="N18" s="192"/>
    </row>
    <row r="19" spans="1:18" x14ac:dyDescent="0.25">
      <c r="A19" s="639"/>
      <c r="B19" s="647" t="s">
        <v>305</v>
      </c>
      <c r="C19" s="648"/>
      <c r="D19" s="654">
        <v>250000</v>
      </c>
      <c r="E19" s="639"/>
      <c r="F19" s="630" t="s">
        <v>306</v>
      </c>
      <c r="G19" s="191"/>
      <c r="H19" s="365"/>
      <c r="I19" s="366"/>
      <c r="J19" s="367"/>
      <c r="K19" s="191"/>
      <c r="N19" s="192"/>
      <c r="Q19" s="363"/>
    </row>
    <row r="20" spans="1:18" x14ac:dyDescent="0.25">
      <c r="A20" s="639"/>
      <c r="B20" s="639" t="s">
        <v>334</v>
      </c>
      <c r="C20" s="653"/>
      <c r="D20" s="654">
        <v>500000</v>
      </c>
      <c r="E20" s="653"/>
      <c r="F20" s="656" t="s">
        <v>341</v>
      </c>
      <c r="G20" s="191"/>
      <c r="H20" s="365"/>
      <c r="I20" s="366"/>
      <c r="J20" s="367"/>
      <c r="K20" s="191"/>
      <c r="N20" s="192"/>
      <c r="Q20" s="363"/>
    </row>
    <row r="21" spans="1:18" x14ac:dyDescent="0.25">
      <c r="A21" s="639"/>
      <c r="B21" s="639" t="s">
        <v>335</v>
      </c>
      <c r="C21" s="653"/>
      <c r="D21" s="655">
        <f>D20*D12</f>
        <v>1500000</v>
      </c>
      <c r="E21" s="653"/>
      <c r="G21" s="191"/>
      <c r="H21" s="365"/>
      <c r="I21" s="366"/>
      <c r="J21" s="367"/>
      <c r="K21" s="191"/>
      <c r="N21" s="192"/>
      <c r="Q21" s="363"/>
    </row>
    <row r="22" spans="1:18" x14ac:dyDescent="0.25">
      <c r="A22" s="192"/>
      <c r="B22" s="367"/>
      <c r="C22" s="368"/>
      <c r="D22" s="364"/>
      <c r="E22" s="244"/>
      <c r="F22" s="244"/>
      <c r="G22" s="244"/>
      <c r="H22" s="92"/>
      <c r="I22" s="366"/>
      <c r="J22" s="366"/>
      <c r="K22" s="229"/>
      <c r="L22" s="229"/>
      <c r="M22" s="192"/>
      <c r="N22" s="192"/>
    </row>
    <row r="23" spans="1:18" x14ac:dyDescent="0.25">
      <c r="A23" s="192"/>
      <c r="B23" s="263" t="s">
        <v>127</v>
      </c>
      <c r="C23" s="262"/>
      <c r="D23" s="262"/>
      <c r="E23" s="262"/>
      <c r="F23" s="262"/>
      <c r="G23" s="262"/>
      <c r="H23" s="262"/>
      <c r="I23" s="262"/>
      <c r="J23" s="262"/>
      <c r="K23" s="262"/>
      <c r="L23" s="262"/>
      <c r="M23" s="192"/>
      <c r="N23" s="192"/>
      <c r="P23" s="13"/>
      <c r="Q23" s="363"/>
    </row>
    <row r="24" spans="1:18" x14ac:dyDescent="0.25">
      <c r="A24" s="192"/>
      <c r="B24" s="230"/>
      <c r="C24" s="230"/>
      <c r="D24" s="231"/>
      <c r="E24" s="246" t="s">
        <v>128</v>
      </c>
      <c r="F24" s="247"/>
      <c r="G24" s="642"/>
      <c r="H24" s="245" t="s">
        <v>129</v>
      </c>
      <c r="I24" s="245"/>
      <c r="J24" s="245"/>
      <c r="K24" s="662" t="s">
        <v>130</v>
      </c>
      <c r="L24" s="663"/>
      <c r="M24" s="192"/>
      <c r="N24" s="192"/>
    </row>
    <row r="25" spans="1:18" ht="36" x14ac:dyDescent="0.25">
      <c r="A25" s="192"/>
      <c r="B25" s="177" t="s">
        <v>36</v>
      </c>
      <c r="C25" s="177" t="s">
        <v>37</v>
      </c>
      <c r="D25" s="232" t="s">
        <v>38</v>
      </c>
      <c r="E25" s="645" t="s">
        <v>333</v>
      </c>
      <c r="F25" s="645" t="s">
        <v>342</v>
      </c>
      <c r="G25" s="646" t="s">
        <v>246</v>
      </c>
      <c r="H25" s="645" t="s">
        <v>333</v>
      </c>
      <c r="I25" s="177" t="s">
        <v>343</v>
      </c>
      <c r="J25" s="177" t="s">
        <v>246</v>
      </c>
      <c r="K25" s="233" t="s">
        <v>130</v>
      </c>
      <c r="L25" s="177" t="s">
        <v>131</v>
      </c>
      <c r="M25" s="192"/>
      <c r="N25" s="192"/>
      <c r="P25" s="370"/>
      <c r="Q25" s="371"/>
    </row>
    <row r="26" spans="1:18" x14ac:dyDescent="0.25">
      <c r="A26" s="192"/>
      <c r="B26" s="210">
        <f>ProjStartYr</f>
        <v>2022</v>
      </c>
      <c r="C26" s="243">
        <v>1</v>
      </c>
      <c r="D26" s="234">
        <f t="shared" ref="D26:D50" si="0">_xlfn.IFS(B26&lt;BenefitStart,0,B26=BenefitStart,1,B26&gt;BenefitStart,D25+1)</f>
        <v>0</v>
      </c>
      <c r="E26" s="498">
        <f>IF(B26=$B$46,$D$21,0)</f>
        <v>0</v>
      </c>
      <c r="F26" s="498">
        <f t="shared" ref="F26:F55" si="1">$D$17</f>
        <v>17400</v>
      </c>
      <c r="G26" s="643">
        <v>0</v>
      </c>
      <c r="H26" s="498">
        <v>0</v>
      </c>
      <c r="I26" s="498">
        <v>0</v>
      </c>
      <c r="J26" s="498">
        <f t="shared" ref="J26:J55" si="2">IF(B26=BenefitStart,-$D$19,0)</f>
        <v>0</v>
      </c>
      <c r="K26" s="235">
        <f t="shared" ref="K26:K55" si="3">SUM(E26:G26)-SUM(H26:J26)</f>
        <v>17400</v>
      </c>
      <c r="L26" s="206">
        <f>$K26/(1+disc2)^($B26-'A - Inputs'!$C$6)</f>
        <v>15197.833871953882</v>
      </c>
      <c r="M26" s="192"/>
      <c r="N26" s="192"/>
      <c r="P26" s="107"/>
      <c r="Q26" s="110"/>
    </row>
    <row r="27" spans="1:18" x14ac:dyDescent="0.25">
      <c r="A27" s="192"/>
      <c r="B27" s="205">
        <f>B26+1</f>
        <v>2023</v>
      </c>
      <c r="C27" s="236">
        <f t="shared" ref="C27" si="4">C26+1</f>
        <v>2</v>
      </c>
      <c r="D27" s="234">
        <f t="shared" si="0"/>
        <v>0</v>
      </c>
      <c r="E27" s="498">
        <f t="shared" ref="E27:E55" si="5">IF(B27=$B$46,$D$21,0)</f>
        <v>0</v>
      </c>
      <c r="F27" s="498">
        <f t="shared" si="1"/>
        <v>17400</v>
      </c>
      <c r="G27" s="643">
        <v>0</v>
      </c>
      <c r="H27" s="498">
        <v>0</v>
      </c>
      <c r="I27" s="498">
        <v>0</v>
      </c>
      <c r="J27" s="498">
        <f t="shared" si="2"/>
        <v>0</v>
      </c>
      <c r="K27" s="235">
        <f t="shared" si="3"/>
        <v>17400</v>
      </c>
      <c r="L27" s="206">
        <f>$K27/(1+disc2)^($B27-'A - Inputs'!$C$6)</f>
        <v>14203.583057900823</v>
      </c>
      <c r="M27" s="192"/>
      <c r="N27" s="192"/>
      <c r="P27" s="107"/>
      <c r="Q27" s="110"/>
    </row>
    <row r="28" spans="1:18" x14ac:dyDescent="0.25">
      <c r="A28" s="192"/>
      <c r="B28" s="205">
        <f t="shared" ref="B28:C43" si="6">B27+1</f>
        <v>2024</v>
      </c>
      <c r="C28" s="205">
        <f t="shared" si="6"/>
        <v>3</v>
      </c>
      <c r="D28" s="234">
        <f t="shared" si="0"/>
        <v>0</v>
      </c>
      <c r="E28" s="498">
        <f t="shared" si="5"/>
        <v>0</v>
      </c>
      <c r="F28" s="498">
        <f t="shared" si="1"/>
        <v>17400</v>
      </c>
      <c r="G28" s="643">
        <v>0</v>
      </c>
      <c r="H28" s="498">
        <v>0</v>
      </c>
      <c r="I28" s="498">
        <v>0</v>
      </c>
      <c r="J28" s="498">
        <f t="shared" si="2"/>
        <v>0</v>
      </c>
      <c r="K28" s="235">
        <f t="shared" si="3"/>
        <v>17400</v>
      </c>
      <c r="L28" s="206">
        <f>$K28/(1+disc2)^($B28-'A - Inputs'!$C$6)</f>
        <v>13274.376689626939</v>
      </c>
      <c r="M28" s="192"/>
      <c r="N28" s="192"/>
      <c r="P28" s="518"/>
      <c r="Q28" s="110"/>
      <c r="R28" s="110"/>
    </row>
    <row r="29" spans="1:18" x14ac:dyDescent="0.25">
      <c r="A29"/>
      <c r="B29" s="205">
        <f t="shared" si="6"/>
        <v>2025</v>
      </c>
      <c r="C29" s="205">
        <f t="shared" si="6"/>
        <v>4</v>
      </c>
      <c r="D29" s="234">
        <f t="shared" si="0"/>
        <v>0</v>
      </c>
      <c r="E29" s="498">
        <f t="shared" si="5"/>
        <v>0</v>
      </c>
      <c r="F29" s="498">
        <f t="shared" si="1"/>
        <v>17400</v>
      </c>
      <c r="G29" s="643">
        <v>0</v>
      </c>
      <c r="H29" s="498">
        <v>0</v>
      </c>
      <c r="I29" s="498">
        <v>0</v>
      </c>
      <c r="J29" s="498">
        <f t="shared" si="2"/>
        <v>0</v>
      </c>
      <c r="K29" s="235">
        <f t="shared" si="3"/>
        <v>17400</v>
      </c>
      <c r="L29" s="206">
        <f>$K29/(1+disc2)^($B29-'A - Inputs'!$C$6)</f>
        <v>12405.95952301583</v>
      </c>
      <c r="M29" s="192"/>
      <c r="N29" s="192"/>
      <c r="P29" s="519"/>
      <c r="Q29" s="107"/>
      <c r="R29" s="110"/>
    </row>
    <row r="30" spans="1:18" x14ac:dyDescent="0.25">
      <c r="A30" s="205"/>
      <c r="B30" s="205">
        <f t="shared" si="6"/>
        <v>2026</v>
      </c>
      <c r="C30" s="205">
        <f t="shared" si="6"/>
        <v>5</v>
      </c>
      <c r="D30" s="234">
        <f t="shared" si="0"/>
        <v>1</v>
      </c>
      <c r="E30" s="498">
        <f t="shared" si="5"/>
        <v>0</v>
      </c>
      <c r="F30" s="498">
        <f t="shared" si="1"/>
        <v>17400</v>
      </c>
      <c r="G30" s="643">
        <v>0</v>
      </c>
      <c r="H30" s="498">
        <v>0</v>
      </c>
      <c r="I30" s="498">
        <v>0</v>
      </c>
      <c r="J30" s="498">
        <f t="shared" si="2"/>
        <v>-250000</v>
      </c>
      <c r="K30" s="235">
        <f t="shared" si="3"/>
        <v>267400</v>
      </c>
      <c r="L30" s="206">
        <f>$K30/(1+disc2)^($B30-'A - Inputs'!$C$6)</f>
        <v>178179.91064853544</v>
      </c>
      <c r="M30" s="192"/>
      <c r="N30" s="192"/>
    </row>
    <row r="31" spans="1:18" x14ac:dyDescent="0.25">
      <c r="A31" s="205"/>
      <c r="B31" s="205">
        <f t="shared" si="6"/>
        <v>2027</v>
      </c>
      <c r="C31" s="205">
        <f t="shared" si="6"/>
        <v>6</v>
      </c>
      <c r="D31" s="234">
        <f t="shared" si="0"/>
        <v>2</v>
      </c>
      <c r="E31" s="498">
        <f t="shared" si="5"/>
        <v>0</v>
      </c>
      <c r="F31" s="498">
        <f t="shared" si="1"/>
        <v>17400</v>
      </c>
      <c r="G31" s="643">
        <v>0</v>
      </c>
      <c r="H31" s="498">
        <v>0</v>
      </c>
      <c r="I31" s="498">
        <v>0</v>
      </c>
      <c r="J31" s="498">
        <f t="shared" si="2"/>
        <v>0</v>
      </c>
      <c r="K31" s="235">
        <f t="shared" si="3"/>
        <v>17400</v>
      </c>
      <c r="L31" s="206">
        <f>$K31/(1+disc2)^($B31-'A - Inputs'!$C$6)</f>
        <v>10835.845508791885</v>
      </c>
      <c r="M31" s="192"/>
      <c r="N31" s="192"/>
    </row>
    <row r="32" spans="1:18" x14ac:dyDescent="0.25">
      <c r="A32" s="205"/>
      <c r="B32" s="205">
        <f t="shared" si="6"/>
        <v>2028</v>
      </c>
      <c r="C32" s="205">
        <f t="shared" si="6"/>
        <v>7</v>
      </c>
      <c r="D32" s="234">
        <f t="shared" si="0"/>
        <v>3</v>
      </c>
      <c r="E32" s="498">
        <f t="shared" si="5"/>
        <v>0</v>
      </c>
      <c r="F32" s="498">
        <f t="shared" si="1"/>
        <v>17400</v>
      </c>
      <c r="G32" s="643">
        <v>0</v>
      </c>
      <c r="H32" s="498">
        <v>0</v>
      </c>
      <c r="I32" s="498">
        <v>0</v>
      </c>
      <c r="J32" s="498">
        <f t="shared" si="2"/>
        <v>0</v>
      </c>
      <c r="K32" s="235">
        <f t="shared" si="3"/>
        <v>17400</v>
      </c>
      <c r="L32" s="206">
        <f>$K32/(1+disc2)^($B32-'A - Inputs'!$C$6)</f>
        <v>10126.958419431669</v>
      </c>
      <c r="M32" s="192"/>
      <c r="N32" s="192"/>
    </row>
    <row r="33" spans="1:14" customFormat="1" ht="12.75" x14ac:dyDescent="0.2">
      <c r="A33" s="192"/>
      <c r="B33" s="205">
        <f t="shared" si="6"/>
        <v>2029</v>
      </c>
      <c r="C33" s="205">
        <f t="shared" si="6"/>
        <v>8</v>
      </c>
      <c r="D33" s="234">
        <f t="shared" si="0"/>
        <v>4</v>
      </c>
      <c r="E33" s="498">
        <f t="shared" si="5"/>
        <v>0</v>
      </c>
      <c r="F33" s="498">
        <f t="shared" si="1"/>
        <v>17400</v>
      </c>
      <c r="G33" s="643">
        <v>0</v>
      </c>
      <c r="H33" s="498">
        <v>0</v>
      </c>
      <c r="I33" s="498">
        <v>0</v>
      </c>
      <c r="J33" s="498">
        <f t="shared" si="2"/>
        <v>0</v>
      </c>
      <c r="K33" s="235">
        <f t="shared" si="3"/>
        <v>17400</v>
      </c>
      <c r="L33" s="206">
        <f>$K33/(1+disc2)^($B33-'A - Inputs'!$C$6)</f>
        <v>9464.4471209641761</v>
      </c>
      <c r="M33" s="192"/>
      <c r="N33" s="192"/>
    </row>
    <row r="34" spans="1:14" customFormat="1" ht="12.75" x14ac:dyDescent="0.2">
      <c r="A34" s="192"/>
      <c r="B34" s="205">
        <f t="shared" si="6"/>
        <v>2030</v>
      </c>
      <c r="C34" s="205">
        <f t="shared" si="6"/>
        <v>9</v>
      </c>
      <c r="D34" s="234">
        <f t="shared" si="0"/>
        <v>5</v>
      </c>
      <c r="E34" s="498">
        <f t="shared" si="5"/>
        <v>0</v>
      </c>
      <c r="F34" s="498">
        <f t="shared" si="1"/>
        <v>17400</v>
      </c>
      <c r="G34" s="643">
        <v>0</v>
      </c>
      <c r="H34" s="498">
        <v>0</v>
      </c>
      <c r="I34" s="498">
        <v>0</v>
      </c>
      <c r="J34" s="498">
        <f t="shared" si="2"/>
        <v>0</v>
      </c>
      <c r="K34" s="235">
        <f t="shared" si="3"/>
        <v>17400</v>
      </c>
      <c r="L34" s="206">
        <f>$K34/(1+disc2)^($B34-'A - Inputs'!$C$6)</f>
        <v>8845.2776831440897</v>
      </c>
      <c r="M34" s="192"/>
      <c r="N34" s="192"/>
    </row>
    <row r="35" spans="1:14" customFormat="1" ht="12.75" x14ac:dyDescent="0.2">
      <c r="A35" s="192"/>
      <c r="B35" s="205">
        <f t="shared" si="6"/>
        <v>2031</v>
      </c>
      <c r="C35" s="205">
        <f t="shared" si="6"/>
        <v>10</v>
      </c>
      <c r="D35" s="234">
        <f t="shared" si="0"/>
        <v>6</v>
      </c>
      <c r="E35" s="498">
        <f t="shared" si="5"/>
        <v>0</v>
      </c>
      <c r="F35" s="498">
        <f t="shared" si="1"/>
        <v>17400</v>
      </c>
      <c r="G35" s="643">
        <v>0</v>
      </c>
      <c r="H35" s="498">
        <v>0</v>
      </c>
      <c r="I35" s="498">
        <v>0</v>
      </c>
      <c r="J35" s="498">
        <f t="shared" si="2"/>
        <v>0</v>
      </c>
      <c r="K35" s="235">
        <f t="shared" si="3"/>
        <v>17400</v>
      </c>
      <c r="L35" s="206">
        <f>$K35/(1+disc2)^($B35-'A - Inputs'!$C$6)</f>
        <v>8266.6146571440077</v>
      </c>
      <c r="M35" s="192"/>
      <c r="N35" s="192"/>
    </row>
    <row r="36" spans="1:14" ht="14.45" customHeight="1" x14ac:dyDescent="0.25">
      <c r="A36" s="192"/>
      <c r="B36" s="205">
        <f t="shared" si="6"/>
        <v>2032</v>
      </c>
      <c r="C36" s="205">
        <f t="shared" si="6"/>
        <v>11</v>
      </c>
      <c r="D36" s="234">
        <f t="shared" si="0"/>
        <v>7</v>
      </c>
      <c r="E36" s="498">
        <f t="shared" si="5"/>
        <v>0</v>
      </c>
      <c r="F36" s="498">
        <f t="shared" si="1"/>
        <v>17400</v>
      </c>
      <c r="G36" s="643">
        <v>0</v>
      </c>
      <c r="H36" s="498">
        <v>0</v>
      </c>
      <c r="I36" s="498">
        <v>0</v>
      </c>
      <c r="J36" s="498">
        <f t="shared" si="2"/>
        <v>0</v>
      </c>
      <c r="K36" s="235">
        <f t="shared" si="3"/>
        <v>17400</v>
      </c>
      <c r="L36" s="206">
        <f>$K36/(1+disc2)^($B36-'A - Inputs'!$C$6)</f>
        <v>7725.8080907887943</v>
      </c>
      <c r="N36" s="192"/>
    </row>
    <row r="37" spans="1:14" x14ac:dyDescent="0.25">
      <c r="A37" s="192"/>
      <c r="B37" s="205">
        <f t="shared" si="6"/>
        <v>2033</v>
      </c>
      <c r="C37" s="205">
        <f t="shared" si="6"/>
        <v>12</v>
      </c>
      <c r="D37" s="234">
        <f t="shared" si="0"/>
        <v>8</v>
      </c>
      <c r="E37" s="498">
        <f t="shared" si="5"/>
        <v>0</v>
      </c>
      <c r="F37" s="498">
        <f t="shared" si="1"/>
        <v>17400</v>
      </c>
      <c r="G37" s="643">
        <v>0</v>
      </c>
      <c r="H37" s="498">
        <v>0</v>
      </c>
      <c r="I37" s="498">
        <v>0</v>
      </c>
      <c r="J37" s="498">
        <f t="shared" si="2"/>
        <v>0</v>
      </c>
      <c r="K37" s="235">
        <f t="shared" si="3"/>
        <v>17400</v>
      </c>
      <c r="L37" s="206">
        <f>$K37/(1+disc2)^($B37-'A - Inputs'!$C$6)</f>
        <v>7220.3813932605544</v>
      </c>
      <c r="N37" s="192"/>
    </row>
    <row r="38" spans="1:14" x14ac:dyDescent="0.25">
      <c r="A38" s="192"/>
      <c r="B38" s="205">
        <f t="shared" si="6"/>
        <v>2034</v>
      </c>
      <c r="C38" s="205">
        <f t="shared" si="6"/>
        <v>13</v>
      </c>
      <c r="D38" s="234">
        <f t="shared" si="0"/>
        <v>9</v>
      </c>
      <c r="E38" s="498">
        <f t="shared" si="5"/>
        <v>0</v>
      </c>
      <c r="F38" s="498">
        <f t="shared" si="1"/>
        <v>17400</v>
      </c>
      <c r="G38" s="643">
        <v>0</v>
      </c>
      <c r="H38" s="498">
        <v>0</v>
      </c>
      <c r="I38" s="498">
        <v>0</v>
      </c>
      <c r="J38" s="498">
        <f t="shared" si="2"/>
        <v>0</v>
      </c>
      <c r="K38" s="235">
        <f t="shared" si="3"/>
        <v>17400</v>
      </c>
      <c r="L38" s="206">
        <f>$K38/(1+disc2)^($B38-'A - Inputs'!$C$6)</f>
        <v>6748.0199937014531</v>
      </c>
      <c r="N38" s="192"/>
    </row>
    <row r="39" spans="1:14" x14ac:dyDescent="0.25">
      <c r="A39" s="192"/>
      <c r="B39" s="205">
        <f t="shared" si="6"/>
        <v>2035</v>
      </c>
      <c r="C39" s="205">
        <f t="shared" si="6"/>
        <v>14</v>
      </c>
      <c r="D39" s="234">
        <f t="shared" si="0"/>
        <v>10</v>
      </c>
      <c r="E39" s="498">
        <f t="shared" si="5"/>
        <v>0</v>
      </c>
      <c r="F39" s="498">
        <f t="shared" si="1"/>
        <v>17400</v>
      </c>
      <c r="G39" s="643">
        <v>0</v>
      </c>
      <c r="H39" s="498">
        <v>0</v>
      </c>
      <c r="I39" s="498">
        <v>0</v>
      </c>
      <c r="J39" s="498">
        <f t="shared" si="2"/>
        <v>0</v>
      </c>
      <c r="K39" s="235">
        <f t="shared" si="3"/>
        <v>17400</v>
      </c>
      <c r="L39" s="206">
        <f>$K39/(1+disc2)^($B39-'A - Inputs'!$C$6)</f>
        <v>6306.560741777058</v>
      </c>
      <c r="N39" s="192"/>
    </row>
    <row r="40" spans="1:14" x14ac:dyDescent="0.25">
      <c r="A40" s="192"/>
      <c r="B40" s="205">
        <f t="shared" si="6"/>
        <v>2036</v>
      </c>
      <c r="C40" s="205">
        <f t="shared" si="6"/>
        <v>15</v>
      </c>
      <c r="D40" s="234">
        <f t="shared" si="0"/>
        <v>11</v>
      </c>
      <c r="E40" s="498">
        <f t="shared" si="5"/>
        <v>0</v>
      </c>
      <c r="F40" s="498">
        <f t="shared" si="1"/>
        <v>17400</v>
      </c>
      <c r="G40" s="643">
        <v>0</v>
      </c>
      <c r="H40" s="498">
        <v>0</v>
      </c>
      <c r="I40" s="498">
        <v>0</v>
      </c>
      <c r="J40" s="498">
        <f t="shared" si="2"/>
        <v>0</v>
      </c>
      <c r="K40" s="235">
        <f t="shared" si="3"/>
        <v>17400</v>
      </c>
      <c r="L40" s="206">
        <f>$K40/(1+disc2)^($B40-'A - Inputs'!$C$6)</f>
        <v>5893.9820016608028</v>
      </c>
      <c r="N40" s="192"/>
    </row>
    <row r="41" spans="1:14" x14ac:dyDescent="0.25">
      <c r="A41" s="192"/>
      <c r="B41" s="205">
        <f t="shared" si="6"/>
        <v>2037</v>
      </c>
      <c r="C41" s="205">
        <f t="shared" si="6"/>
        <v>16</v>
      </c>
      <c r="D41" s="234">
        <f t="shared" si="0"/>
        <v>12</v>
      </c>
      <c r="E41" s="498">
        <f t="shared" si="5"/>
        <v>0</v>
      </c>
      <c r="F41" s="498">
        <f t="shared" si="1"/>
        <v>17400</v>
      </c>
      <c r="G41" s="643">
        <v>0</v>
      </c>
      <c r="H41" s="498">
        <v>0</v>
      </c>
      <c r="I41" s="498">
        <v>0</v>
      </c>
      <c r="J41" s="498">
        <f t="shared" si="2"/>
        <v>0</v>
      </c>
      <c r="K41" s="235">
        <f t="shared" si="3"/>
        <v>17400</v>
      </c>
      <c r="L41" s="206">
        <f>$K41/(1+disc2)^($B41-'A - Inputs'!$C$6)</f>
        <v>5508.3943940755171</v>
      </c>
      <c r="N41" s="192"/>
    </row>
    <row r="42" spans="1:14" x14ac:dyDescent="0.25">
      <c r="A42" s="192"/>
      <c r="B42" s="205">
        <f t="shared" si="6"/>
        <v>2038</v>
      </c>
      <c r="C42" s="205">
        <f t="shared" si="6"/>
        <v>17</v>
      </c>
      <c r="D42" s="234">
        <f t="shared" si="0"/>
        <v>13</v>
      </c>
      <c r="E42" s="498">
        <f t="shared" si="5"/>
        <v>0</v>
      </c>
      <c r="F42" s="498">
        <f t="shared" si="1"/>
        <v>17400</v>
      </c>
      <c r="G42" s="643">
        <v>0</v>
      </c>
      <c r="H42" s="498">
        <v>0</v>
      </c>
      <c r="I42" s="498">
        <v>0</v>
      </c>
      <c r="J42" s="498">
        <f t="shared" si="2"/>
        <v>0</v>
      </c>
      <c r="K42" s="235">
        <f t="shared" si="3"/>
        <v>17400</v>
      </c>
      <c r="L42" s="206">
        <f>$K42/(1+disc2)^($B42-'A - Inputs'!$C$6)</f>
        <v>5148.0321439958097</v>
      </c>
      <c r="N42" s="192"/>
    </row>
    <row r="43" spans="1:14" x14ac:dyDescent="0.25">
      <c r="A43" s="192"/>
      <c r="B43" s="205">
        <f t="shared" si="6"/>
        <v>2039</v>
      </c>
      <c r="C43" s="205">
        <f t="shared" si="6"/>
        <v>18</v>
      </c>
      <c r="D43" s="234">
        <f t="shared" si="0"/>
        <v>14</v>
      </c>
      <c r="E43" s="498">
        <f t="shared" si="5"/>
        <v>0</v>
      </c>
      <c r="F43" s="498">
        <f t="shared" si="1"/>
        <v>17400</v>
      </c>
      <c r="G43" s="643">
        <v>0</v>
      </c>
      <c r="H43" s="498">
        <v>0</v>
      </c>
      <c r="I43" s="498">
        <v>0</v>
      </c>
      <c r="J43" s="498">
        <f t="shared" si="2"/>
        <v>0</v>
      </c>
      <c r="K43" s="235">
        <f t="shared" si="3"/>
        <v>17400</v>
      </c>
      <c r="L43" s="206">
        <f>$K43/(1+disc2)^($B43-'A - Inputs'!$C$6)</f>
        <v>4811.2449943886068</v>
      </c>
      <c r="N43" s="192"/>
    </row>
    <row r="44" spans="1:14" x14ac:dyDescent="0.25">
      <c r="A44" s="192"/>
      <c r="B44" s="205">
        <f t="shared" ref="B44:C50" si="7">B43+1</f>
        <v>2040</v>
      </c>
      <c r="C44" s="205">
        <f t="shared" si="7"/>
        <v>19</v>
      </c>
      <c r="D44" s="234">
        <f t="shared" si="0"/>
        <v>15</v>
      </c>
      <c r="E44" s="498">
        <f t="shared" si="5"/>
        <v>0</v>
      </c>
      <c r="F44" s="498">
        <f t="shared" si="1"/>
        <v>17400</v>
      </c>
      <c r="G44" s="643">
        <v>0</v>
      </c>
      <c r="H44" s="498">
        <v>0</v>
      </c>
      <c r="I44" s="498">
        <v>0</v>
      </c>
      <c r="J44" s="498">
        <f t="shared" si="2"/>
        <v>0</v>
      </c>
      <c r="K44" s="235">
        <f t="shared" si="3"/>
        <v>17400</v>
      </c>
      <c r="L44" s="206">
        <f>$K44/(1+disc2)^($B44-'A - Inputs'!$C$6)</f>
        <v>4496.4906489613149</v>
      </c>
      <c r="N44" s="192"/>
    </row>
    <row r="45" spans="1:14" x14ac:dyDescent="0.25">
      <c r="A45" s="192"/>
      <c r="B45" s="205">
        <f t="shared" si="7"/>
        <v>2041</v>
      </c>
      <c r="C45" s="205">
        <f t="shared" si="7"/>
        <v>20</v>
      </c>
      <c r="D45" s="234">
        <f t="shared" si="0"/>
        <v>16</v>
      </c>
      <c r="E45" s="498">
        <f t="shared" si="5"/>
        <v>0</v>
      </c>
      <c r="F45" s="498">
        <f t="shared" si="1"/>
        <v>17400</v>
      </c>
      <c r="G45" s="643">
        <v>0</v>
      </c>
      <c r="H45" s="498">
        <v>0</v>
      </c>
      <c r="I45" s="498">
        <v>0</v>
      </c>
      <c r="J45" s="498">
        <f t="shared" si="2"/>
        <v>0</v>
      </c>
      <c r="K45" s="235">
        <f t="shared" si="3"/>
        <v>17400</v>
      </c>
      <c r="L45" s="206">
        <f>$K45/(1+disc2)^($B45-'A - Inputs'!$C$6)</f>
        <v>4202.3277093096403</v>
      </c>
      <c r="N45" s="192"/>
    </row>
    <row r="46" spans="1:14" x14ac:dyDescent="0.25">
      <c r="A46" s="192"/>
      <c r="B46" s="205">
        <f t="shared" si="7"/>
        <v>2042</v>
      </c>
      <c r="C46" s="205">
        <f t="shared" si="7"/>
        <v>21</v>
      </c>
      <c r="D46" s="234">
        <f t="shared" si="0"/>
        <v>17</v>
      </c>
      <c r="E46" s="498">
        <f t="shared" si="5"/>
        <v>1500000</v>
      </c>
      <c r="F46" s="498">
        <f t="shared" si="1"/>
        <v>17400</v>
      </c>
      <c r="G46" s="643">
        <v>0</v>
      </c>
      <c r="H46" s="498">
        <v>0</v>
      </c>
      <c r="I46" s="498">
        <v>0</v>
      </c>
      <c r="J46" s="498">
        <f t="shared" si="2"/>
        <v>0</v>
      </c>
      <c r="K46" s="235">
        <f t="shared" si="3"/>
        <v>1517400</v>
      </c>
      <c r="L46" s="206">
        <f>$K46/(1+disc2)^($B46-'A - Inputs'!$C$6)</f>
        <v>342497.15684318659</v>
      </c>
      <c r="N46" s="192"/>
    </row>
    <row r="47" spans="1:14" x14ac:dyDescent="0.25">
      <c r="A47" s="192"/>
      <c r="B47" s="205">
        <f t="shared" si="7"/>
        <v>2043</v>
      </c>
      <c r="C47" s="205">
        <f t="shared" si="7"/>
        <v>22</v>
      </c>
      <c r="D47" s="234">
        <f t="shared" si="0"/>
        <v>18</v>
      </c>
      <c r="E47" s="498">
        <f t="shared" si="5"/>
        <v>0</v>
      </c>
      <c r="F47" s="498">
        <f t="shared" si="1"/>
        <v>17400</v>
      </c>
      <c r="G47" s="643">
        <v>0</v>
      </c>
      <c r="H47" s="498">
        <v>0</v>
      </c>
      <c r="I47" s="498">
        <v>0</v>
      </c>
      <c r="J47" s="498">
        <f t="shared" si="2"/>
        <v>0</v>
      </c>
      <c r="K47" s="235">
        <f t="shared" si="3"/>
        <v>17400</v>
      </c>
      <c r="L47" s="206">
        <f>$K47/(1+disc2)^($B47-'A - Inputs'!$C$6)</f>
        <v>3670.4757702066909</v>
      </c>
      <c r="N47" s="192"/>
    </row>
    <row r="48" spans="1:14" x14ac:dyDescent="0.25">
      <c r="A48" s="192"/>
      <c r="B48" s="205">
        <f t="shared" si="7"/>
        <v>2044</v>
      </c>
      <c r="C48" s="205">
        <f t="shared" si="7"/>
        <v>23</v>
      </c>
      <c r="D48" s="234">
        <f t="shared" si="0"/>
        <v>19</v>
      </c>
      <c r="E48" s="498">
        <f t="shared" si="5"/>
        <v>0</v>
      </c>
      <c r="F48" s="498">
        <f t="shared" si="1"/>
        <v>17400</v>
      </c>
      <c r="G48" s="643">
        <v>0</v>
      </c>
      <c r="H48" s="498">
        <v>0</v>
      </c>
      <c r="I48" s="498">
        <v>0</v>
      </c>
      <c r="J48" s="498">
        <f t="shared" si="2"/>
        <v>0</v>
      </c>
      <c r="K48" s="235">
        <f t="shared" si="3"/>
        <v>17400</v>
      </c>
      <c r="L48" s="206">
        <f>$K48/(1+disc2)^($B48-'A - Inputs'!$C$6)</f>
        <v>3430.3511871090568</v>
      </c>
      <c r="N48" s="192"/>
    </row>
    <row r="49" spans="1:14" x14ac:dyDescent="0.25">
      <c r="A49" s="192"/>
      <c r="B49" s="205">
        <f t="shared" si="7"/>
        <v>2045</v>
      </c>
      <c r="C49" s="205">
        <f t="shared" si="7"/>
        <v>24</v>
      </c>
      <c r="D49" s="234">
        <f t="shared" si="0"/>
        <v>20</v>
      </c>
      <c r="E49" s="498">
        <f t="shared" si="5"/>
        <v>0</v>
      </c>
      <c r="F49" s="498">
        <f t="shared" si="1"/>
        <v>17400</v>
      </c>
      <c r="G49" s="643">
        <v>0</v>
      </c>
      <c r="H49" s="498">
        <v>0</v>
      </c>
      <c r="I49" s="498">
        <v>0</v>
      </c>
      <c r="J49" s="498">
        <f t="shared" si="2"/>
        <v>0</v>
      </c>
      <c r="K49" s="235">
        <f t="shared" si="3"/>
        <v>17400</v>
      </c>
      <c r="L49" s="206">
        <f>$K49/(1+disc2)^($B49-'A - Inputs'!$C$6)</f>
        <v>3205.9356888869688</v>
      </c>
      <c r="N49" s="192"/>
    </row>
    <row r="50" spans="1:14" x14ac:dyDescent="0.25">
      <c r="A50" s="192"/>
      <c r="B50" s="205">
        <f t="shared" si="7"/>
        <v>2046</v>
      </c>
      <c r="C50" s="205">
        <f t="shared" si="7"/>
        <v>25</v>
      </c>
      <c r="D50" s="234">
        <f t="shared" si="0"/>
        <v>21</v>
      </c>
      <c r="E50" s="498">
        <f t="shared" si="5"/>
        <v>0</v>
      </c>
      <c r="F50" s="498">
        <f t="shared" si="1"/>
        <v>17400</v>
      </c>
      <c r="G50" s="643">
        <v>0</v>
      </c>
      <c r="H50" s="498">
        <v>0</v>
      </c>
      <c r="I50" s="498">
        <v>0</v>
      </c>
      <c r="J50" s="498">
        <f t="shared" si="2"/>
        <v>0</v>
      </c>
      <c r="K50" s="235">
        <f t="shared" si="3"/>
        <v>17400</v>
      </c>
      <c r="L50" s="206">
        <f>$K50/(1+disc2)^($B50-'A - Inputs'!$C$6)</f>
        <v>2996.2015783990364</v>
      </c>
      <c r="N50" s="192"/>
    </row>
    <row r="51" spans="1:14" x14ac:dyDescent="0.25">
      <c r="A51" s="192"/>
      <c r="B51" s="205">
        <f t="shared" ref="B51:C51" si="8">B50+1</f>
        <v>2047</v>
      </c>
      <c r="C51" s="205">
        <f t="shared" si="8"/>
        <v>26</v>
      </c>
      <c r="D51" s="234">
        <f t="shared" ref="D51:D55" si="9">_xlfn.IFS(B51&lt;BenefitStart,0,B51=BenefitStart,1,B51&gt;BenefitStart,D50+1)</f>
        <v>22</v>
      </c>
      <c r="E51" s="498">
        <f t="shared" si="5"/>
        <v>0</v>
      </c>
      <c r="F51" s="498">
        <f t="shared" si="1"/>
        <v>17400</v>
      </c>
      <c r="G51" s="643">
        <v>0</v>
      </c>
      <c r="H51" s="498">
        <v>0</v>
      </c>
      <c r="I51" s="498">
        <v>0</v>
      </c>
      <c r="J51" s="498">
        <f t="shared" si="2"/>
        <v>0</v>
      </c>
      <c r="K51" s="235">
        <f t="shared" si="3"/>
        <v>17400</v>
      </c>
      <c r="L51" s="206">
        <f>$K51/(1+disc2)^($B51-'A - Inputs'!$C$6)</f>
        <v>2800.1883910271363</v>
      </c>
      <c r="N51" s="192"/>
    </row>
    <row r="52" spans="1:14" x14ac:dyDescent="0.25">
      <c r="A52" s="192"/>
      <c r="B52" s="205">
        <f t="shared" ref="B52:C52" si="10">B51+1</f>
        <v>2048</v>
      </c>
      <c r="C52" s="205">
        <f t="shared" si="10"/>
        <v>27</v>
      </c>
      <c r="D52" s="234">
        <f t="shared" si="9"/>
        <v>23</v>
      </c>
      <c r="E52" s="498">
        <f t="shared" si="5"/>
        <v>0</v>
      </c>
      <c r="F52" s="498">
        <f t="shared" si="1"/>
        <v>17400</v>
      </c>
      <c r="G52" s="643">
        <v>0</v>
      </c>
      <c r="H52" s="498">
        <v>0</v>
      </c>
      <c r="I52" s="498">
        <v>0</v>
      </c>
      <c r="J52" s="498">
        <f t="shared" si="2"/>
        <v>0</v>
      </c>
      <c r="K52" s="235">
        <f t="shared" si="3"/>
        <v>17400</v>
      </c>
      <c r="L52" s="206">
        <f>$K52/(1+disc2)^($B52-'A - Inputs'!$C$6)</f>
        <v>2616.9984962870435</v>
      </c>
      <c r="N52" s="192"/>
    </row>
    <row r="53" spans="1:14" x14ac:dyDescent="0.25">
      <c r="A53" s="192"/>
      <c r="B53" s="205">
        <f t="shared" ref="B53:C53" si="11">B52+1</f>
        <v>2049</v>
      </c>
      <c r="C53" s="205">
        <f t="shared" si="11"/>
        <v>28</v>
      </c>
      <c r="D53" s="234">
        <f t="shared" si="9"/>
        <v>24</v>
      </c>
      <c r="E53" s="498">
        <f t="shared" si="5"/>
        <v>0</v>
      </c>
      <c r="F53" s="498">
        <f t="shared" si="1"/>
        <v>17400</v>
      </c>
      <c r="G53" s="643">
        <v>0</v>
      </c>
      <c r="H53" s="498">
        <v>0</v>
      </c>
      <c r="I53" s="498">
        <v>0</v>
      </c>
      <c r="J53" s="498">
        <f t="shared" si="2"/>
        <v>0</v>
      </c>
      <c r="K53" s="235">
        <f t="shared" si="3"/>
        <v>17400</v>
      </c>
      <c r="L53" s="206">
        <f>$K53/(1+disc2)^($B53-'A - Inputs'!$C$6)</f>
        <v>2445.7929871841529</v>
      </c>
      <c r="N53" s="192"/>
    </row>
    <row r="54" spans="1:14" x14ac:dyDescent="0.25">
      <c r="A54" s="192"/>
      <c r="B54" s="205">
        <f t="shared" ref="B54:C54" si="12">B53+1</f>
        <v>2050</v>
      </c>
      <c r="C54" s="205">
        <f t="shared" si="12"/>
        <v>29</v>
      </c>
      <c r="D54" s="234">
        <f t="shared" si="9"/>
        <v>25</v>
      </c>
      <c r="E54" s="498">
        <f t="shared" si="5"/>
        <v>0</v>
      </c>
      <c r="F54" s="498">
        <f t="shared" si="1"/>
        <v>17400</v>
      </c>
      <c r="G54" s="643">
        <v>0</v>
      </c>
      <c r="H54" s="498">
        <v>0</v>
      </c>
      <c r="I54" s="498">
        <v>0</v>
      </c>
      <c r="J54" s="498">
        <f t="shared" si="2"/>
        <v>0</v>
      </c>
      <c r="K54" s="235">
        <f t="shared" si="3"/>
        <v>17400</v>
      </c>
      <c r="L54" s="206">
        <f>$K54/(1+disc2)^($B54-'A - Inputs'!$C$6)</f>
        <v>2285.7878384898627</v>
      </c>
      <c r="N54" s="192"/>
    </row>
    <row r="55" spans="1:14" x14ac:dyDescent="0.25">
      <c r="A55" s="192"/>
      <c r="B55" s="205">
        <f t="shared" ref="B55:C55" si="13">B54+1</f>
        <v>2051</v>
      </c>
      <c r="C55" s="205">
        <f t="shared" si="13"/>
        <v>30</v>
      </c>
      <c r="D55" s="234">
        <f t="shared" si="9"/>
        <v>26</v>
      </c>
      <c r="E55" s="498">
        <f t="shared" si="5"/>
        <v>0</v>
      </c>
      <c r="F55" s="498">
        <f t="shared" si="1"/>
        <v>17400</v>
      </c>
      <c r="G55" s="643">
        <v>0</v>
      </c>
      <c r="H55" s="498">
        <v>0</v>
      </c>
      <c r="I55" s="498">
        <v>0</v>
      </c>
      <c r="J55" s="498">
        <f t="shared" si="2"/>
        <v>0</v>
      </c>
      <c r="K55" s="235">
        <f t="shared" si="3"/>
        <v>17400</v>
      </c>
      <c r="L55" s="206">
        <f>$K55/(1+disc2)^($B55-'A - Inputs'!$C$6)</f>
        <v>2136.2503163456654</v>
      </c>
      <c r="N55" s="192"/>
    </row>
    <row r="56" spans="1:14" x14ac:dyDescent="0.25">
      <c r="A56" s="192"/>
      <c r="B56" s="237"/>
      <c r="C56" s="237"/>
      <c r="D56" s="238"/>
      <c r="E56" s="239">
        <f t="shared" ref="E56:L56" si="14">SUM(E26:E55)</f>
        <v>1500000</v>
      </c>
      <c r="F56" s="239">
        <f t="shared" si="14"/>
        <v>522000</v>
      </c>
      <c r="G56" s="644">
        <f t="shared" si="14"/>
        <v>0</v>
      </c>
      <c r="H56" s="239">
        <f t="shared" si="14"/>
        <v>0</v>
      </c>
      <c r="I56" s="239">
        <f t="shared" si="14"/>
        <v>0</v>
      </c>
      <c r="J56" s="239">
        <f t="shared" si="14"/>
        <v>-250000</v>
      </c>
      <c r="K56" s="240">
        <f t="shared" si="14"/>
        <v>2272000</v>
      </c>
      <c r="L56" s="239">
        <f t="shared" si="14"/>
        <v>706947.18838955043</v>
      </c>
      <c r="N56" s="192"/>
    </row>
    <row r="57" spans="1:14" x14ac:dyDescent="0.25">
      <c r="A57" s="192"/>
      <c r="N57" s="192"/>
    </row>
    <row r="58" spans="1:14" x14ac:dyDescent="0.25">
      <c r="A58" s="192"/>
      <c r="N58" s="192"/>
    </row>
    <row r="59" spans="1:14" x14ac:dyDescent="0.25">
      <c r="A59" s="192"/>
      <c r="N59" s="192"/>
    </row>
    <row r="60" spans="1:14" x14ac:dyDescent="0.25">
      <c r="A60" s="192"/>
      <c r="N60" s="192"/>
    </row>
    <row r="61" spans="1:14" x14ac:dyDescent="0.25">
      <c r="A61" s="192"/>
      <c r="N61" s="192"/>
    </row>
    <row r="62" spans="1:14" x14ac:dyDescent="0.25">
      <c r="A62" s="192"/>
      <c r="N62" s="192"/>
    </row>
    <row r="63" spans="1:14" x14ac:dyDescent="0.25">
      <c r="A63" s="192"/>
      <c r="N63" s="192"/>
    </row>
    <row r="64" spans="1:14" x14ac:dyDescent="0.25">
      <c r="A64" s="192"/>
      <c r="N64" s="192"/>
    </row>
    <row r="65" spans="1:14" x14ac:dyDescent="0.25">
      <c r="A65" s="192"/>
      <c r="N65" s="192"/>
    </row>
    <row r="66" spans="1:14" x14ac:dyDescent="0.25">
      <c r="A66" s="192"/>
      <c r="N66" s="192"/>
    </row>
    <row r="67" spans="1:14" x14ac:dyDescent="0.25">
      <c r="A67" s="192"/>
      <c r="N67" s="192"/>
    </row>
    <row r="68" spans="1:14" x14ac:dyDescent="0.25">
      <c r="A68" s="192"/>
      <c r="N68" s="192"/>
    </row>
    <row r="69" spans="1:14" ht="15" customHeight="1" x14ac:dyDescent="0.25">
      <c r="A69" s="192"/>
      <c r="B69" s="192"/>
      <c r="C69" s="192"/>
      <c r="D69" s="192"/>
      <c r="E69" s="192"/>
      <c r="F69" s="192"/>
      <c r="G69" s="192"/>
      <c r="H69" s="192"/>
      <c r="I69" s="192"/>
      <c r="J69" s="192"/>
      <c r="K69" s="192"/>
      <c r="L69" s="192"/>
      <c r="M69" s="192"/>
      <c r="N69" s="192"/>
    </row>
    <row r="70" spans="1:14" s="10" customFormat="1" ht="15" customHeight="1" x14ac:dyDescent="0.25">
      <c r="A70" s="191"/>
      <c r="B70" s="191"/>
      <c r="C70" s="241"/>
      <c r="D70" s="191"/>
      <c r="E70" s="191"/>
      <c r="F70" s="191"/>
      <c r="G70" s="191"/>
      <c r="H70" s="191"/>
      <c r="I70" s="191"/>
      <c r="J70" s="191"/>
      <c r="K70" s="191"/>
      <c r="L70" s="191"/>
      <c r="M70" s="191"/>
      <c r="N70" s="191"/>
    </row>
    <row r="71" spans="1:14" ht="15" customHeight="1" x14ac:dyDescent="0.25">
      <c r="A71" s="192"/>
      <c r="B71" s="192"/>
      <c r="C71" s="192"/>
      <c r="D71" s="192"/>
      <c r="E71" s="192"/>
      <c r="F71" s="192"/>
      <c r="G71" s="192"/>
      <c r="H71" s="192"/>
      <c r="I71" s="192"/>
      <c r="J71" s="192"/>
      <c r="K71" s="192"/>
      <c r="L71" s="192"/>
      <c r="M71" s="192"/>
      <c r="N71" s="192"/>
    </row>
    <row r="72" spans="1:14" ht="15" customHeight="1" x14ac:dyDescent="0.25">
      <c r="A72" s="192"/>
      <c r="B72" s="192"/>
      <c r="C72" s="192"/>
      <c r="D72" s="192"/>
      <c r="E72" s="192"/>
      <c r="F72" s="192"/>
      <c r="G72" s="192"/>
      <c r="H72" s="192"/>
      <c r="I72" s="192"/>
      <c r="J72" s="192"/>
      <c r="K72" s="192"/>
      <c r="L72" s="192"/>
      <c r="M72" s="192"/>
      <c r="N72" s="192"/>
    </row>
    <row r="73" spans="1:14" x14ac:dyDescent="0.25">
      <c r="A73" s="192"/>
      <c r="B73" s="192"/>
      <c r="C73" s="192"/>
      <c r="D73" s="192"/>
      <c r="E73" s="192"/>
      <c r="F73" s="192"/>
      <c r="G73" s="192"/>
      <c r="H73" s="192"/>
      <c r="I73" s="192"/>
      <c r="J73" s="192"/>
      <c r="K73" s="192"/>
      <c r="L73" s="192"/>
      <c r="M73" s="192"/>
      <c r="N73" s="192"/>
    </row>
  </sheetData>
  <mergeCells count="1">
    <mergeCell ref="K24:L24"/>
  </mergeCells>
  <phoneticPr fontId="51" type="noConversion"/>
  <pageMargins left="0.7" right="0.7" top="0.75" bottom="0.75" header="0.3" footer="0.3"/>
  <pageSetup scale="50" orientation="landscape" r:id="rId1"/>
  <headerFooter>
    <oddHeader>&amp;L&amp;"Arial,Bold"Post and McDuff Innovative Rail Crossing
CRISI 2022 BCA&amp;C
&amp;R&amp;"Arial,Bold"&amp;A</oddHeader>
    <oddFooter>&amp;CPage F-&amp;P</oddFooter>
  </headerFooter>
  <rowBreaks count="1" manualBreakCount="1">
    <brk id="22" max="11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DA134-31A7-45F8-95FE-F494DFD1CC81}">
  <sheetPr codeName="Sheet7">
    <tabColor theme="6" tint="0.39997558519241921"/>
  </sheetPr>
  <dimension ref="A1:AU55"/>
  <sheetViews>
    <sheetView topLeftCell="A19" workbookViewId="0">
      <selection activeCell="I25" sqref="I25"/>
    </sheetView>
  </sheetViews>
  <sheetFormatPr defaultColWidth="8.7109375" defaultRowHeight="15" x14ac:dyDescent="0.25"/>
  <cols>
    <col min="1" max="1" width="3.28515625" style="104" customWidth="1"/>
    <col min="2" max="2" width="17.28515625" style="104" customWidth="1"/>
    <col min="3" max="3" width="21.42578125" style="104" customWidth="1"/>
    <col min="4" max="4" width="31.7109375" style="104" customWidth="1"/>
    <col min="5" max="5" width="20.28515625" style="104" customWidth="1"/>
    <col min="6" max="6" width="20" style="104" customWidth="1"/>
    <col min="7" max="7" width="17.5703125" style="104" customWidth="1"/>
    <col min="8" max="8" width="19.85546875" style="104" customWidth="1"/>
    <col min="9" max="9" width="17.5703125" style="104" customWidth="1"/>
    <col min="10" max="10" width="22.140625" style="104" customWidth="1"/>
    <col min="11" max="12" width="17.5703125" style="104" customWidth="1"/>
    <col min="13" max="13" width="19" style="104" customWidth="1"/>
    <col min="14" max="18" width="17.5703125" style="104" customWidth="1"/>
    <col min="19" max="19" width="17.5703125" style="105" customWidth="1"/>
    <col min="20" max="20" width="23" style="104" customWidth="1"/>
    <col min="21" max="21" width="35.5703125" style="104" customWidth="1"/>
    <col min="22" max="22" width="33" style="104" customWidth="1"/>
    <col min="23" max="23" width="28.140625" style="104" customWidth="1"/>
    <col min="24" max="24" width="26.42578125" customWidth="1"/>
    <col min="25" max="25" width="11.140625" customWidth="1"/>
    <col min="26" max="26" width="19.28515625" customWidth="1"/>
    <col min="27" max="27" width="11.140625" customWidth="1"/>
    <col min="28" max="28" width="14.5703125" customWidth="1"/>
    <col min="29" max="29" width="12.5703125" customWidth="1"/>
    <col min="30" max="31" width="11.140625" customWidth="1"/>
    <col min="32" max="33" width="12.42578125" bestFit="1" customWidth="1"/>
    <col min="34" max="34" width="12.85546875" bestFit="1" customWidth="1"/>
    <col min="35" max="35" width="16.85546875" customWidth="1"/>
    <col min="36" max="36" width="21.5703125" customWidth="1"/>
    <col min="37" max="37" width="16.85546875" customWidth="1"/>
    <col min="39" max="39" width="14.42578125" customWidth="1"/>
    <col min="40" max="40" width="18" customWidth="1"/>
    <col min="41" max="41" width="14.140625" customWidth="1"/>
    <col min="42" max="42" width="12.28515625" customWidth="1"/>
    <col min="48" max="16384" width="8.7109375" style="104"/>
  </cols>
  <sheetData>
    <row r="1" spans="1:47" s="1" customFormat="1" x14ac:dyDescent="0.25">
      <c r="A1" s="124" t="str" cm="1">
        <f t="array" aca="1" ref="A1" ca="1">MID(CELL("filename",A1),FIND("]",CELL("filename",A1))+1,255)</f>
        <v>G - Crash Savings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</row>
    <row r="2" spans="1:47" customFormat="1" ht="12.75" x14ac:dyDescent="0.2"/>
    <row r="3" spans="1:47" customFormat="1" ht="12.75" x14ac:dyDescent="0.2">
      <c r="B3" s="277" t="s">
        <v>253</v>
      </c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T3" s="277" t="s">
        <v>132</v>
      </c>
      <c r="U3" s="276"/>
      <c r="V3" s="276"/>
      <c r="W3" s="276"/>
    </row>
    <row r="4" spans="1:47" ht="15" customHeight="1" x14ac:dyDescent="0.25">
      <c r="A4" s="511"/>
      <c r="B4" s="511"/>
      <c r="C4" s="511"/>
      <c r="D4" s="666" t="s">
        <v>250</v>
      </c>
      <c r="E4" s="664"/>
      <c r="F4" s="664"/>
      <c r="G4" s="664"/>
      <c r="H4" s="665"/>
      <c r="I4" s="667" t="s">
        <v>133</v>
      </c>
      <c r="J4" s="668"/>
      <c r="K4" s="668"/>
      <c r="L4" s="668"/>
      <c r="M4" s="669"/>
      <c r="N4" s="664" t="s">
        <v>134</v>
      </c>
      <c r="O4" s="664"/>
      <c r="P4" s="664"/>
      <c r="Q4" s="664"/>
      <c r="R4" s="665"/>
      <c r="S4" s="511"/>
      <c r="T4" s="275"/>
      <c r="U4" s="275"/>
      <c r="V4" s="116"/>
      <c r="W4"/>
      <c r="AT4" s="511"/>
      <c r="AU4" s="511"/>
    </row>
    <row r="5" spans="1:47" s="105" customFormat="1" ht="28.15" customHeight="1" x14ac:dyDescent="0.25">
      <c r="A5" s="517"/>
      <c r="B5" s="264" t="s">
        <v>249</v>
      </c>
      <c r="C5" s="264" t="s">
        <v>254</v>
      </c>
      <c r="D5" s="265" t="str">
        <f>$T$6</f>
        <v>Fatal</v>
      </c>
      <c r="E5" s="266" t="str">
        <f>$T$7</f>
        <v xml:space="preserve">Incapacitating </v>
      </c>
      <c r="F5" s="266" t="str">
        <f>$T$8</f>
        <v>Non-incapacitating</v>
      </c>
      <c r="G5" s="266" t="str">
        <f>$T$9</f>
        <v>Possible Injury</v>
      </c>
      <c r="H5" s="267" t="str">
        <f>$T$10</f>
        <v>Property Damage Only</v>
      </c>
      <c r="I5" s="265" t="str">
        <f>$T$6</f>
        <v>Fatal</v>
      </c>
      <c r="J5" s="266" t="str">
        <f>$T$7</f>
        <v xml:space="preserve">Incapacitating </v>
      </c>
      <c r="K5" s="266" t="str">
        <f>$T$8</f>
        <v>Non-incapacitating</v>
      </c>
      <c r="L5" s="266" t="str">
        <f>$T$9</f>
        <v>Possible Injury</v>
      </c>
      <c r="M5" s="267" t="str">
        <f>$T$10</f>
        <v>Property Damage Only</v>
      </c>
      <c r="N5" s="265" t="str">
        <f>$T$6</f>
        <v>Fatal</v>
      </c>
      <c r="O5" s="266" t="str">
        <f>$T$7</f>
        <v xml:space="preserve">Incapacitating </v>
      </c>
      <c r="P5" s="266" t="str">
        <f>$T$8</f>
        <v>Non-incapacitating</v>
      </c>
      <c r="Q5" s="266" t="str">
        <f>$T$9</f>
        <v>Possible Injury</v>
      </c>
      <c r="R5" s="267" t="str">
        <f>$T$10</f>
        <v>Property Damage Only</v>
      </c>
      <c r="S5" s="517"/>
      <c r="T5" s="19" t="s">
        <v>136</v>
      </c>
      <c r="U5" s="19" t="s">
        <v>137</v>
      </c>
      <c r="V5" s="19" t="s">
        <v>138</v>
      </c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 s="517"/>
      <c r="AU5" s="517"/>
    </row>
    <row r="6" spans="1:47" ht="60" x14ac:dyDescent="0.25">
      <c r="A6" s="511"/>
      <c r="B6" s="269">
        <v>1</v>
      </c>
      <c r="C6" s="268" t="s">
        <v>319</v>
      </c>
      <c r="D6" s="321">
        <f>0+1</f>
        <v>1</v>
      </c>
      <c r="E6" s="110">
        <v>2</v>
      </c>
      <c r="F6" s="110">
        <f>8+1</f>
        <v>9</v>
      </c>
      <c r="G6" s="110">
        <v>29</v>
      </c>
      <c r="H6" s="109">
        <f>85+1</f>
        <v>86</v>
      </c>
      <c r="I6" s="323">
        <f>ROUND(D6/5,2)</f>
        <v>0.2</v>
      </c>
      <c r="J6" s="323">
        <f>ROUND(E6/5,2)</f>
        <v>0.4</v>
      </c>
      <c r="K6" s="323">
        <f>ROUND(F6/5,2)</f>
        <v>1.8</v>
      </c>
      <c r="L6" s="323">
        <f>ROUND(G6/5,2)</f>
        <v>5.8</v>
      </c>
      <c r="M6" s="323">
        <f>ROUND(H6/5,2)</f>
        <v>17.2</v>
      </c>
      <c r="N6" s="325">
        <f>IF(SUM($I6:$M6)=0,0,ROUND(I6/SUM($I6:$M6),2))</f>
        <v>0.01</v>
      </c>
      <c r="O6" s="326">
        <f>IF(SUM($I6:$M6)=0,0,ROUND(J6/SUM($I6:$M6),2))</f>
        <v>0.02</v>
      </c>
      <c r="P6" s="326">
        <f>IF(SUM($I6:$M6)=0,0,ROUND(K6/SUM($I6:$M6),2))</f>
        <v>7.0000000000000007E-2</v>
      </c>
      <c r="Q6" s="326">
        <f>IF(SUM($I6:$M6)=0,0,ROUND(L6/SUM($I6:$M6),2))</f>
        <v>0.23</v>
      </c>
      <c r="R6" s="327">
        <f>IF(SUM($I6:$M6)=0,0,ROUND(M6/SUM($I6:$M6),2))</f>
        <v>0.68</v>
      </c>
      <c r="S6" s="511"/>
      <c r="T6" s="329" t="s">
        <v>139</v>
      </c>
      <c r="U6" s="331">
        <v>11600000</v>
      </c>
      <c r="V6" s="331"/>
      <c r="W6"/>
      <c r="AT6" s="511"/>
      <c r="AU6" s="511"/>
    </row>
    <row r="7" spans="1:47" x14ac:dyDescent="0.25">
      <c r="A7" s="511"/>
      <c r="B7" s="519"/>
      <c r="C7" s="107"/>
      <c r="D7" s="108"/>
      <c r="E7" s="110"/>
      <c r="F7" s="110"/>
      <c r="G7" s="110"/>
      <c r="H7" s="109"/>
      <c r="I7" s="323"/>
      <c r="J7" s="323"/>
      <c r="K7" s="323"/>
      <c r="L7" s="323"/>
      <c r="M7" s="323"/>
      <c r="N7" s="328"/>
      <c r="O7" s="21"/>
      <c r="P7" s="21"/>
      <c r="Q7" s="21"/>
      <c r="R7" s="225"/>
      <c r="S7" s="511"/>
      <c r="T7" s="121" t="s">
        <v>256</v>
      </c>
      <c r="U7" s="331">
        <v>554800</v>
      </c>
      <c r="V7" s="331"/>
      <c r="W7"/>
      <c r="AT7" s="511"/>
      <c r="AU7" s="511"/>
    </row>
    <row r="8" spans="1:47" ht="15" customHeight="1" x14ac:dyDescent="0.25">
      <c r="A8" s="511"/>
      <c r="B8" s="519"/>
      <c r="C8" s="520"/>
      <c r="D8" s="108"/>
      <c r="E8" s="110"/>
      <c r="F8" s="110"/>
      <c r="G8" s="110"/>
      <c r="H8" s="109"/>
      <c r="I8" s="323"/>
      <c r="J8" s="323"/>
      <c r="K8" s="323"/>
      <c r="L8" s="323"/>
      <c r="M8" s="324"/>
      <c r="N8" s="328"/>
      <c r="O8" s="21"/>
      <c r="P8" s="21"/>
      <c r="Q8" s="21"/>
      <c r="R8" s="225"/>
      <c r="S8" s="511"/>
      <c r="T8" s="121" t="s">
        <v>257</v>
      </c>
      <c r="U8" s="331">
        <v>151100</v>
      </c>
      <c r="V8" s="331"/>
      <c r="W8"/>
      <c r="AT8" s="511"/>
      <c r="AU8" s="511"/>
    </row>
    <row r="9" spans="1:47" s="60" customFormat="1" ht="15" customHeight="1" x14ac:dyDescent="0.25">
      <c r="B9" s="519"/>
      <c r="C9" s="107"/>
      <c r="D9" s="108"/>
      <c r="E9" s="110"/>
      <c r="F9" s="110"/>
      <c r="G9" s="110"/>
      <c r="H9" s="109"/>
      <c r="I9" s="323"/>
      <c r="J9" s="323"/>
      <c r="K9" s="323"/>
      <c r="L9" s="323"/>
      <c r="M9" s="324"/>
      <c r="N9" s="328"/>
      <c r="O9" s="21"/>
      <c r="P9" s="21"/>
      <c r="Q9" s="21"/>
      <c r="R9" s="225"/>
      <c r="T9" s="330" t="s">
        <v>140</v>
      </c>
      <c r="U9" s="332">
        <v>77200</v>
      </c>
      <c r="V9" s="332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</row>
    <row r="10" spans="1:47" ht="15" customHeight="1" x14ac:dyDescent="0.25">
      <c r="A10" s="511"/>
      <c r="B10" s="511"/>
      <c r="C10" s="511"/>
      <c r="D10" s="272"/>
      <c r="E10" s="272"/>
      <c r="F10" s="272"/>
      <c r="G10" s="272"/>
      <c r="H10" s="521"/>
      <c r="I10" s="521"/>
      <c r="J10" s="521"/>
      <c r="K10" s="521"/>
      <c r="L10" s="521"/>
      <c r="M10" s="273" t="s">
        <v>137</v>
      </c>
      <c r="N10" s="333">
        <f>$U$6</f>
        <v>11600000</v>
      </c>
      <c r="O10" s="333">
        <f>$U$7</f>
        <v>554800</v>
      </c>
      <c r="P10" s="333">
        <f>$U$8</f>
        <v>151100</v>
      </c>
      <c r="Q10" s="274">
        <f>$U$9</f>
        <v>77200</v>
      </c>
      <c r="R10" s="274">
        <f>$U$10</f>
        <v>4600</v>
      </c>
      <c r="S10" s="511"/>
      <c r="T10" s="329" t="s">
        <v>141</v>
      </c>
      <c r="U10" s="331">
        <v>4600</v>
      </c>
      <c r="V10" s="331" t="s">
        <v>252</v>
      </c>
      <c r="W10"/>
      <c r="AT10" s="511"/>
      <c r="AU10" s="511"/>
    </row>
    <row r="11" spans="1:47" ht="15" customHeight="1" x14ac:dyDescent="0.25">
      <c r="A11" s="511"/>
      <c r="B11" s="511"/>
      <c r="C11" s="60"/>
      <c r="D11" s="512" t="s">
        <v>35</v>
      </c>
      <c r="E11" s="539" t="s">
        <v>251</v>
      </c>
      <c r="F11" s="511"/>
      <c r="G11" s="522"/>
      <c r="H11" s="522"/>
      <c r="I11" s="522"/>
      <c r="J11" s="522"/>
      <c r="K11" s="522"/>
      <c r="L11" s="522"/>
      <c r="M11" s="511"/>
      <c r="N11" s="511"/>
      <c r="O11" s="511"/>
      <c r="P11" s="511"/>
      <c r="Q11" s="511"/>
      <c r="R11" s="517"/>
      <c r="S11" s="511"/>
      <c r="T11" s="329" t="s">
        <v>258</v>
      </c>
      <c r="U11" s="331">
        <v>3900</v>
      </c>
      <c r="AU11" s="511"/>
    </row>
    <row r="12" spans="1:47" ht="15" customHeight="1" x14ac:dyDescent="0.25">
      <c r="A12" s="511"/>
      <c r="B12" s="511"/>
      <c r="C12" s="511"/>
      <c r="D12" s="277" t="s">
        <v>142</v>
      </c>
      <c r="E12" s="277"/>
      <c r="F12" s="277"/>
      <c r="G12" s="276"/>
      <c r="H12" s="276"/>
      <c r="I12" s="276"/>
      <c r="J12" s="276"/>
      <c r="K12"/>
      <c r="L12"/>
      <c r="M12"/>
      <c r="N12"/>
      <c r="O12"/>
      <c r="P12" s="61"/>
      <c r="Q12" s="511"/>
      <c r="R12" s="511"/>
      <c r="S12" s="337"/>
      <c r="T12" s="355" t="s">
        <v>35</v>
      </c>
      <c r="U12" s="356" t="s">
        <v>21</v>
      </c>
      <c r="V12" s="546"/>
      <c r="W12"/>
      <c r="AR12" s="511"/>
      <c r="AS12" s="511"/>
      <c r="AT12" s="511"/>
      <c r="AU12" s="511"/>
    </row>
    <row r="13" spans="1:47" ht="15.6" customHeight="1" x14ac:dyDescent="0.25">
      <c r="A13"/>
      <c r="B13" s="511"/>
      <c r="C13" s="511"/>
      <c r="D13" s="271" t="s">
        <v>135</v>
      </c>
      <c r="E13" s="271"/>
      <c r="F13" s="271"/>
      <c r="G13" s="271">
        <v>1</v>
      </c>
      <c r="H13" s="271"/>
      <c r="I13" s="271"/>
      <c r="J13" s="271"/>
      <c r="K13" s="271"/>
      <c r="L13" s="271"/>
      <c r="M13" s="271"/>
      <c r="N13" s="271"/>
      <c r="O13" s="271"/>
      <c r="P13" s="511"/>
      <c r="Q13" s="511"/>
      <c r="R13" s="511"/>
      <c r="S13" s="511"/>
      <c r="AS13" s="511"/>
      <c r="AT13" s="511"/>
      <c r="AU13" s="511"/>
    </row>
    <row r="14" spans="1:47" ht="49.9" customHeight="1" x14ac:dyDescent="0.25">
      <c r="A14"/>
      <c r="B14" s="523"/>
      <c r="C14" s="523"/>
      <c r="D14" s="523"/>
      <c r="E14" s="523"/>
      <c r="F14" s="523"/>
      <c r="G14" s="18" t="str">
        <f>INDEX($C$6:$C$9,MATCH(G13,$B$6:$B$9,0))</f>
        <v>Post Street at McDuff Avenue (including rail accident report crashes)</v>
      </c>
      <c r="H14" s="18"/>
      <c r="I14" s="18"/>
      <c r="J14" s="18"/>
      <c r="K14" s="319"/>
      <c r="L14" s="649"/>
      <c r="M14" s="319"/>
      <c r="N14" s="319"/>
      <c r="O14" s="319"/>
      <c r="P14" s="523"/>
      <c r="Q14" s="523"/>
      <c r="R14" s="511"/>
      <c r="S14" s="511"/>
      <c r="T14" s="277" t="s">
        <v>143</v>
      </c>
      <c r="U14" s="276"/>
      <c r="V14" s="276"/>
      <c r="W14" s="276"/>
      <c r="X14" s="276"/>
      <c r="Y14" s="276"/>
      <c r="AR14" s="511"/>
      <c r="AS14" s="511"/>
      <c r="AT14" s="511"/>
      <c r="AU14" s="511"/>
    </row>
    <row r="15" spans="1:47" ht="30" customHeight="1" x14ac:dyDescent="0.25">
      <c r="A15"/>
      <c r="B15" s="511"/>
      <c r="C15" s="511"/>
      <c r="D15" s="540" t="s">
        <v>259</v>
      </c>
      <c r="E15" s="524"/>
      <c r="F15" s="524"/>
      <c r="G15" s="287">
        <f>SUMPRODUCT($N$10:$R$10,$N$6:$R$6)</f>
        <v>158557</v>
      </c>
      <c r="H15" s="287"/>
      <c r="I15" s="287"/>
      <c r="J15" s="287"/>
      <c r="K15" s="293"/>
      <c r="L15" s="293"/>
      <c r="M15" s="293"/>
      <c r="N15" s="293"/>
      <c r="O15" s="293"/>
      <c r="P15" s="511"/>
      <c r="Q15" s="511"/>
      <c r="R15" s="511"/>
      <c r="S15" s="64"/>
      <c r="T15" s="351" t="s">
        <v>144</v>
      </c>
      <c r="U15" s="351" t="s">
        <v>23</v>
      </c>
      <c r="V15" s="350" t="s">
        <v>84</v>
      </c>
      <c r="W15" s="351" t="s">
        <v>145</v>
      </c>
      <c r="X15" s="303" t="s">
        <v>146</v>
      </c>
      <c r="Y15" s="303" t="s">
        <v>5</v>
      </c>
      <c r="AR15" s="511"/>
      <c r="AS15" s="511"/>
      <c r="AT15" s="511"/>
      <c r="AU15" s="511"/>
    </row>
    <row r="16" spans="1:47" s="106" customFormat="1" ht="45" x14ac:dyDescent="0.25">
      <c r="A16"/>
      <c r="B16"/>
      <c r="C16"/>
      <c r="D16"/>
      <c r="E16" t="s">
        <v>324</v>
      </c>
      <c r="F16"/>
      <c r="G16" s="511"/>
      <c r="H16" s="511"/>
      <c r="I16" s="511"/>
      <c r="J16" s="511"/>
      <c r="K16" s="511"/>
      <c r="L16" s="511"/>
      <c r="M16" s="511"/>
      <c r="N16" s="511"/>
      <c r="O16" s="511"/>
      <c r="P16" s="511"/>
      <c r="Q16" s="511"/>
      <c r="R16" s="517"/>
      <c r="S16" s="511"/>
      <c r="T16" s="519">
        <v>1</v>
      </c>
      <c r="U16" s="269">
        <v>0.48799999999999999</v>
      </c>
      <c r="V16" s="548" t="s">
        <v>261</v>
      </c>
      <c r="W16" s="547" t="s">
        <v>263</v>
      </c>
      <c r="X16" s="548" t="s">
        <v>147</v>
      </c>
      <c r="Y16" s="39" t="s">
        <v>148</v>
      </c>
      <c r="Z16"/>
      <c r="AA16" s="39" t="s">
        <v>260</v>
      </c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 s="523"/>
      <c r="AU16" s="523"/>
    </row>
    <row r="17" spans="2:47" ht="108" x14ac:dyDescent="0.35">
      <c r="C17" s="276"/>
      <c r="D17" s="276"/>
      <c r="E17" s="670" t="s">
        <v>344</v>
      </c>
      <c r="F17" s="670"/>
      <c r="G17" s="670" t="s">
        <v>153</v>
      </c>
      <c r="H17" s="670"/>
      <c r="J17" s="276"/>
      <c r="K17" s="276"/>
      <c r="L17" s="276"/>
      <c r="M17" s="511"/>
      <c r="N17" s="511"/>
      <c r="O17" s="511"/>
      <c r="P17"/>
      <c r="Q17" s="511"/>
      <c r="R17" s="511"/>
      <c r="S17" s="511"/>
      <c r="T17" s="525">
        <v>2</v>
      </c>
      <c r="U17" s="110">
        <v>0.70399999999999996</v>
      </c>
      <c r="V17" s="634" t="s">
        <v>320</v>
      </c>
      <c r="W17" s="635" t="s">
        <v>263</v>
      </c>
      <c r="X17" s="548" t="s">
        <v>147</v>
      </c>
      <c r="Y17" s="39" t="s">
        <v>321</v>
      </c>
      <c r="AQ17" s="511"/>
      <c r="AR17" s="511"/>
      <c r="AS17" s="511"/>
      <c r="AT17" s="511"/>
      <c r="AU17" s="511"/>
    </row>
    <row r="18" spans="2:47" x14ac:dyDescent="0.25">
      <c r="B18" s="511"/>
      <c r="C18" s="511"/>
      <c r="D18" s="271" t="s">
        <v>135</v>
      </c>
      <c r="E18" s="271">
        <v>1</v>
      </c>
      <c r="F18" s="320">
        <v>1</v>
      </c>
      <c r="G18" s="270"/>
      <c r="H18" s="270"/>
      <c r="J18" s="270"/>
      <c r="K18" s="270"/>
      <c r="L18" s="270"/>
      <c r="M18" s="511"/>
      <c r="N18" s="511"/>
      <c r="O18" s="511"/>
      <c r="P18"/>
      <c r="Q18" s="511"/>
      <c r="R18" s="511"/>
      <c r="S18" s="511"/>
      <c r="T18" s="636" t="s">
        <v>322</v>
      </c>
      <c r="U18" s="110">
        <f>1-((1-U16)+(1-U17))</f>
        <v>0.19199999999999995</v>
      </c>
      <c r="V18" s="523"/>
      <c r="W18" s="526"/>
      <c r="X18" s="526"/>
      <c r="Y18" s="39" t="s">
        <v>323</v>
      </c>
      <c r="AR18" s="511"/>
      <c r="AS18" s="511"/>
      <c r="AT18" s="511"/>
      <c r="AU18" s="511"/>
    </row>
    <row r="19" spans="2:47" ht="30" x14ac:dyDescent="0.25">
      <c r="B19" s="511"/>
      <c r="C19" s="527"/>
      <c r="D19" s="62"/>
      <c r="E19" s="541" t="s">
        <v>149</v>
      </c>
      <c r="F19" s="541" t="s">
        <v>150</v>
      </c>
      <c r="G19" s="543" t="s">
        <v>154</v>
      </c>
      <c r="H19" s="544" t="s">
        <v>155</v>
      </c>
      <c r="I19" s="538" t="s">
        <v>156</v>
      </c>
      <c r="J19" s="537"/>
      <c r="K19" s="542"/>
      <c r="L19" s="542"/>
      <c r="M19" s="511"/>
      <c r="N19" s="511"/>
      <c r="O19" s="511"/>
      <c r="P19"/>
      <c r="Q19"/>
      <c r="R19"/>
      <c r="S19"/>
      <c r="T19" s="330"/>
      <c r="U19" s="352">
        <f>1-U18</f>
        <v>0.80800000000000005</v>
      </c>
      <c r="V19" s="352"/>
      <c r="W19"/>
      <c r="AF19" s="511"/>
      <c r="AG19" s="511"/>
      <c r="AH19" s="511"/>
      <c r="AI19" s="511"/>
      <c r="AJ19" s="511"/>
      <c r="AK19" s="511"/>
      <c r="AL19" s="511"/>
      <c r="AM19" s="511"/>
      <c r="AN19" s="511"/>
      <c r="AO19" s="511"/>
      <c r="AP19" s="511"/>
      <c r="AQ19" s="511"/>
      <c r="AR19" s="511"/>
      <c r="AS19" s="511"/>
      <c r="AT19" s="511"/>
      <c r="AU19" s="511"/>
    </row>
    <row r="20" spans="2:47" ht="48" customHeight="1" x14ac:dyDescent="0.25">
      <c r="B20" s="18" t="s">
        <v>36</v>
      </c>
      <c r="C20" s="278" t="s">
        <v>37</v>
      </c>
      <c r="D20" s="20" t="s">
        <v>38</v>
      </c>
      <c r="E20" s="19" t="str">
        <f t="shared" ref="E20" si="0">INDEX($C$6:$C$9,MATCH(E18,$B$6:$B$9,0))</f>
        <v>Post Street at McDuff Avenue (including rail accident report crashes)</v>
      </c>
      <c r="F20" s="114" t="str">
        <f>INDEX($C$6:$C$9,MATCH(F18,$B$6:$B$9,0))</f>
        <v>Post Street at McDuff Avenue (including rail accident report crashes)</v>
      </c>
      <c r="G20" s="114" t="str">
        <f>E20</f>
        <v>Post Street at McDuff Avenue (including rail accident report crashes)</v>
      </c>
      <c r="H20" s="18" t="str">
        <f>G20</f>
        <v>Post Street at McDuff Avenue (including rail accident report crashes)</v>
      </c>
      <c r="I20" s="19" t="s">
        <v>45</v>
      </c>
      <c r="J20" s="98" t="s">
        <v>131</v>
      </c>
      <c r="K20" s="19"/>
      <c r="L20" s="19"/>
      <c r="M20" s="511"/>
      <c r="N20" s="511"/>
      <c r="O20" s="511"/>
      <c r="P20"/>
      <c r="Q20"/>
      <c r="R20"/>
      <c r="S20"/>
      <c r="T20" s="511"/>
      <c r="U20" s="511"/>
      <c r="V20" s="511"/>
      <c r="W20" s="511"/>
      <c r="AF20" s="511"/>
      <c r="AG20" s="511"/>
      <c r="AH20" s="511"/>
      <c r="AI20" s="511"/>
      <c r="AJ20" s="511"/>
      <c r="AK20" s="511"/>
      <c r="AL20" s="511"/>
      <c r="AM20" s="511"/>
      <c r="AN20" s="511"/>
      <c r="AO20" s="511"/>
      <c r="AP20" s="511"/>
      <c r="AQ20" s="511"/>
      <c r="AR20" s="511"/>
      <c r="AS20" s="511"/>
      <c r="AT20" s="511"/>
      <c r="AU20" s="511"/>
    </row>
    <row r="21" spans="2:47" x14ac:dyDescent="0.25">
      <c r="B21" s="279">
        <f>ProjStartYr</f>
        <v>2022</v>
      </c>
      <c r="C21" s="109">
        <v>1</v>
      </c>
      <c r="D21" s="225">
        <f t="shared" ref="D21:D50" si="1">_xlfn.IFS(B21&lt;BenefitStart,0,B21=BenefitStart,1,B21&gt;BenefitStart,D20+1)</f>
        <v>0</v>
      </c>
      <c r="E21" s="283">
        <f>SUM($I$6:$M$6)*'A - Inputs'!$E108/'A - Inputs'!$E$108</f>
        <v>25.400000000000002</v>
      </c>
      <c r="F21" s="283">
        <f>IF(B21&gt;=BenefitStart,(SUM($I$6:$M$6)*'A - Inputs'!$F108/'A - Inputs'!$F$108)*$U$27,SUM($I$6:$M$6)*'A - Inputs'!$F108/'A - Inputs'!$F$108)</f>
        <v>25.400000000000002</v>
      </c>
      <c r="G21" s="530">
        <f t="shared" ref="G21:G50" si="2">E21*$G$15</f>
        <v>4027347.8000000003</v>
      </c>
      <c r="H21" s="530">
        <f t="shared" ref="H21:H50" si="3">F21*$G$15</f>
        <v>4027347.8000000003</v>
      </c>
      <c r="I21" s="158">
        <f>G21-H21</f>
        <v>0</v>
      </c>
      <c r="J21" s="226">
        <f>$I21/(1+disc2)^($B21-'A - Inputs'!$C$6)</f>
        <v>0</v>
      </c>
      <c r="K21" s="283"/>
      <c r="L21" s="283"/>
      <c r="M21" s="511"/>
      <c r="N21" s="511"/>
      <c r="O21" s="511"/>
      <c r="P21"/>
      <c r="Q21"/>
      <c r="R21"/>
      <c r="S21"/>
      <c r="T21" s="277" t="s">
        <v>151</v>
      </c>
      <c r="U21" s="276"/>
      <c r="V21" s="276"/>
      <c r="W21" s="276"/>
      <c r="X21" s="276"/>
      <c r="AF21" s="511"/>
      <c r="AG21" s="511"/>
      <c r="AH21" s="511"/>
      <c r="AI21" s="511"/>
      <c r="AJ21" s="511"/>
      <c r="AK21" s="511"/>
      <c r="AL21" s="511"/>
      <c r="AM21" s="511"/>
      <c r="AN21" s="511"/>
      <c r="AO21" s="511"/>
      <c r="AP21" s="511"/>
      <c r="AQ21" s="511"/>
      <c r="AR21" s="511"/>
      <c r="AS21" s="511"/>
      <c r="AT21" s="511"/>
      <c r="AU21" s="511"/>
    </row>
    <row r="22" spans="2:47" x14ac:dyDescent="0.25">
      <c r="B22" s="519">
        <f t="shared" ref="B22:C37" si="4">B21+1</f>
        <v>2023</v>
      </c>
      <c r="C22" s="528">
        <f t="shared" si="4"/>
        <v>2</v>
      </c>
      <c r="D22" s="225">
        <f t="shared" si="1"/>
        <v>0</v>
      </c>
      <c r="E22" s="283">
        <f>SUM($I$6:$M$6)*'A - Inputs'!$E109/'A - Inputs'!$E$108</f>
        <v>25.52400187253394</v>
      </c>
      <c r="F22" s="283">
        <f>IF(B22&gt;=BenefitStart,(SUM($I$6:$M$6)*'A - Inputs'!$F109/'A - Inputs'!$F$108)*$U$27,SUM($I$6:$M$6)*'A - Inputs'!$F109/'A - Inputs'!$F$108)</f>
        <v>25.52400187253394</v>
      </c>
      <c r="G22" s="530">
        <f t="shared" si="2"/>
        <v>4047009.1649033641</v>
      </c>
      <c r="H22" s="530">
        <f t="shared" si="3"/>
        <v>4047009.1649033641</v>
      </c>
      <c r="I22" s="158">
        <f t="shared" ref="I22:I50" si="5">G22-H22</f>
        <v>0</v>
      </c>
      <c r="J22" s="163">
        <f>$I22/(1+disc2)^($B22-'A - Inputs'!$C$6)</f>
        <v>0</v>
      </c>
      <c r="K22" s="283"/>
      <c r="L22" s="283"/>
      <c r="M22" s="511"/>
      <c r="N22" s="511"/>
      <c r="O22" s="511"/>
      <c r="P22"/>
      <c r="Q22"/>
      <c r="R22"/>
      <c r="S22" s="511"/>
      <c r="T22" s="18" t="s">
        <v>144</v>
      </c>
      <c r="U22" s="18" t="s">
        <v>262</v>
      </c>
      <c r="V22" s="18"/>
      <c r="W22" s="18"/>
      <c r="X22" s="18"/>
      <c r="AF22" s="511"/>
      <c r="AG22" s="511"/>
      <c r="AH22" s="511"/>
      <c r="AI22" s="511"/>
      <c r="AJ22" s="511"/>
      <c r="AK22" s="511"/>
      <c r="AL22" s="511"/>
      <c r="AM22" s="511"/>
      <c r="AN22" s="511"/>
      <c r="AO22" s="511"/>
      <c r="AP22" s="511"/>
      <c r="AQ22" s="511"/>
      <c r="AR22" s="511"/>
      <c r="AS22" s="511"/>
      <c r="AT22" s="511"/>
      <c r="AU22" s="511"/>
    </row>
    <row r="23" spans="2:47" x14ac:dyDescent="0.25">
      <c r="B23" s="519">
        <f t="shared" si="4"/>
        <v>2024</v>
      </c>
      <c r="C23" s="528">
        <f t="shared" si="4"/>
        <v>3</v>
      </c>
      <c r="D23" s="225">
        <f>_xlfn.IFS(B23&lt;BenefitStart,0,B23=BenefitStart,1,B23&gt;BenefitStart,D22+1)</f>
        <v>0</v>
      </c>
      <c r="E23" s="283">
        <f>SUM($I$6:$M$6)*'A - Inputs'!$E110/'A - Inputs'!$E$108</f>
        <v>25.648003745067879</v>
      </c>
      <c r="F23" s="283">
        <f>IF(B23&gt;=BenefitStart,(SUM($I$6:$M$6)*'A - Inputs'!$F110/'A - Inputs'!$F$108)*$U$27,SUM($I$6:$M$6)*'A - Inputs'!$F110/'A - Inputs'!$F$108)</f>
        <v>25.648003745067879</v>
      </c>
      <c r="G23" s="530">
        <f t="shared" si="2"/>
        <v>4066670.5298067275</v>
      </c>
      <c r="H23" s="530">
        <f t="shared" si="3"/>
        <v>4066670.5298067275</v>
      </c>
      <c r="I23" s="158">
        <f t="shared" si="5"/>
        <v>0</v>
      </c>
      <c r="J23" s="163">
        <f>$I23/(1+disc2)^($B23-'A - Inputs'!$C$6)</f>
        <v>0</v>
      </c>
      <c r="K23" s="283"/>
      <c r="L23" s="283"/>
      <c r="M23" s="511"/>
      <c r="N23" s="511"/>
      <c r="O23" s="511"/>
      <c r="P23"/>
      <c r="Q23"/>
      <c r="R23"/>
      <c r="S23" s="511"/>
      <c r="T23" s="330">
        <v>1</v>
      </c>
      <c r="U23" s="353">
        <v>1</v>
      </c>
      <c r="V23" s="353"/>
      <c r="W23" s="354"/>
      <c r="X23" s="354"/>
      <c r="AF23" s="511"/>
      <c r="AG23" s="511"/>
      <c r="AH23" s="511"/>
      <c r="AI23" s="511"/>
      <c r="AJ23" s="511"/>
      <c r="AK23" s="511"/>
      <c r="AL23" s="511"/>
      <c r="AM23" s="511"/>
      <c r="AN23" s="511"/>
      <c r="AO23" s="511"/>
      <c r="AP23" s="511"/>
      <c r="AQ23" s="511"/>
      <c r="AR23" s="511"/>
      <c r="AS23" s="511"/>
      <c r="AT23" s="511"/>
      <c r="AU23" s="511"/>
    </row>
    <row r="24" spans="2:47" x14ac:dyDescent="0.25">
      <c r="B24" s="519">
        <f t="shared" si="4"/>
        <v>2025</v>
      </c>
      <c r="C24" s="528">
        <f t="shared" si="4"/>
        <v>4</v>
      </c>
      <c r="D24" s="225">
        <f t="shared" si="1"/>
        <v>0</v>
      </c>
      <c r="E24" s="283">
        <f>SUM($I$6:$M$6)*'A - Inputs'!$E111/'A - Inputs'!$E$108</f>
        <v>25.77200561760182</v>
      </c>
      <c r="F24" s="283">
        <f>IF(B24&gt;=BenefitStart,(SUM($I$6:$M$6)*'A - Inputs'!$F111/'A - Inputs'!$F$108)*$U$27,SUM($I$6:$M$6)*'A - Inputs'!$F111/'A - Inputs'!$F$108)</f>
        <v>25.77200561760182</v>
      </c>
      <c r="G24" s="530">
        <f t="shared" si="2"/>
        <v>4086331.8947100919</v>
      </c>
      <c r="H24" s="530">
        <f t="shared" si="3"/>
        <v>4086331.8947100919</v>
      </c>
      <c r="I24" s="158">
        <f t="shared" si="5"/>
        <v>0</v>
      </c>
      <c r="J24" s="163">
        <f>$I24/(1+disc2)^($B24-'A - Inputs'!$C$6)</f>
        <v>0</v>
      </c>
      <c r="K24" s="283"/>
      <c r="L24" s="283"/>
      <c r="M24" s="511"/>
      <c r="N24" s="511"/>
      <c r="O24" s="511"/>
      <c r="P24"/>
      <c r="Q24"/>
      <c r="R24"/>
      <c r="S24"/>
      <c r="T24" s="330">
        <v>2</v>
      </c>
      <c r="U24" s="353"/>
      <c r="V24" s="353"/>
      <c r="W24" s="354"/>
      <c r="X24" s="354"/>
      <c r="AF24" s="511"/>
      <c r="AG24" s="511"/>
      <c r="AH24" s="511"/>
      <c r="AI24" s="511"/>
      <c r="AJ24" s="511"/>
      <c r="AK24" s="511"/>
      <c r="AL24" s="511"/>
      <c r="AM24" s="511"/>
      <c r="AN24" s="511"/>
      <c r="AO24" s="511"/>
      <c r="AP24" s="511"/>
      <c r="AQ24" s="511"/>
      <c r="AR24" s="511"/>
      <c r="AS24" s="511"/>
      <c r="AT24" s="511"/>
      <c r="AU24" s="511"/>
    </row>
    <row r="25" spans="2:47" x14ac:dyDescent="0.25">
      <c r="B25" s="519">
        <f t="shared" si="4"/>
        <v>2026</v>
      </c>
      <c r="C25" s="528">
        <f t="shared" si="4"/>
        <v>5</v>
      </c>
      <c r="D25" s="225">
        <f t="shared" si="1"/>
        <v>1</v>
      </c>
      <c r="E25" s="283">
        <f>SUM($I$6:$M$6)*'A - Inputs'!$E112/'A - Inputs'!$E$108</f>
        <v>25.896007490135759</v>
      </c>
      <c r="F25" s="283">
        <f>IF(B25&gt;=BenefitStart,(SUM($I$6:$M$6)*'A - Inputs'!$F112/'A - Inputs'!$F$108)*$U$27,SUM($I$6:$M$6)*'A - Inputs'!$F112/'A - Inputs'!$F$108)</f>
        <v>4.972033438106064</v>
      </c>
      <c r="G25" s="530">
        <f t="shared" si="2"/>
        <v>4105993.2596134553</v>
      </c>
      <c r="H25" s="530">
        <f t="shared" si="3"/>
        <v>788350.70584578323</v>
      </c>
      <c r="I25" s="158">
        <f t="shared" si="5"/>
        <v>3317642.5537676718</v>
      </c>
      <c r="J25" s="163">
        <f>$I25/(1+disc2)^($B25-'A - Inputs'!$C$6)</f>
        <v>2210685.3171058442</v>
      </c>
      <c r="K25" s="283"/>
      <c r="L25" s="283"/>
      <c r="M25" s="511"/>
      <c r="N25" s="511"/>
      <c r="O25" s="511"/>
      <c r="P25"/>
      <c r="Q25"/>
      <c r="R25"/>
      <c r="S25"/>
      <c r="T25" s="330"/>
      <c r="U25" s="353"/>
      <c r="V25" s="353"/>
      <c r="W25" s="354"/>
      <c r="X25" s="354"/>
      <c r="AF25" s="511"/>
      <c r="AG25" s="511"/>
      <c r="AH25" s="511"/>
      <c r="AI25" s="511"/>
      <c r="AJ25" s="511"/>
      <c r="AK25" s="511"/>
      <c r="AL25" s="511"/>
      <c r="AM25" s="511"/>
      <c r="AN25" s="511"/>
      <c r="AO25" s="511"/>
      <c r="AP25" s="511"/>
      <c r="AQ25" s="511"/>
      <c r="AR25" s="511"/>
      <c r="AS25" s="511"/>
      <c r="AT25" s="511"/>
      <c r="AU25" s="511"/>
    </row>
    <row r="26" spans="2:47" x14ac:dyDescent="0.25">
      <c r="B26" s="519">
        <f t="shared" si="4"/>
        <v>2027</v>
      </c>
      <c r="C26" s="528">
        <f t="shared" si="4"/>
        <v>6</v>
      </c>
      <c r="D26" s="225">
        <f t="shared" si="1"/>
        <v>2</v>
      </c>
      <c r="E26" s="283">
        <f>SUM($I$6:$M$6)*'A - Inputs'!$E113/'A - Inputs'!$E$108</f>
        <v>26.020009362669697</v>
      </c>
      <c r="F26" s="283">
        <f>IF(B26&gt;=BenefitStart,(SUM($I$6:$M$6)*'A - Inputs'!$F113/'A - Inputs'!$F$108)*$U$27,SUM($I$6:$M$6)*'A - Inputs'!$F113/'A - Inputs'!$F$108)</f>
        <v>4.9958417976325808</v>
      </c>
      <c r="G26" s="530">
        <f t="shared" si="2"/>
        <v>4125654.6245168191</v>
      </c>
      <c r="H26" s="530">
        <f t="shared" si="3"/>
        <v>792125.68790722918</v>
      </c>
      <c r="I26" s="158">
        <f t="shared" si="5"/>
        <v>3333528.93660959</v>
      </c>
      <c r="J26" s="163">
        <f>$I26/(1+disc2)^($B26-'A - Inputs'!$C$6)</f>
        <v>2075954.2848384376</v>
      </c>
      <c r="K26" s="283"/>
      <c r="L26" s="283"/>
      <c r="M26" s="511"/>
      <c r="N26" s="511"/>
      <c r="O26" s="511"/>
      <c r="P26"/>
      <c r="Q26"/>
      <c r="R26"/>
      <c r="S26"/>
      <c r="T26" s="277" t="s">
        <v>152</v>
      </c>
      <c r="U26" s="276"/>
      <c r="V26" s="276"/>
      <c r="W26" s="276"/>
      <c r="X26" s="276"/>
      <c r="AF26" s="511"/>
      <c r="AG26" s="511"/>
      <c r="AH26" s="511"/>
      <c r="AI26" s="511"/>
      <c r="AJ26" s="511"/>
      <c r="AK26" s="511"/>
      <c r="AL26" s="511"/>
      <c r="AM26" s="511"/>
      <c r="AN26" s="511"/>
      <c r="AO26" s="511"/>
      <c r="AP26" s="511"/>
      <c r="AQ26" s="511"/>
      <c r="AR26" s="511"/>
      <c r="AS26" s="511"/>
      <c r="AT26" s="511"/>
      <c r="AU26" s="511"/>
    </row>
    <row r="27" spans="2:47" x14ac:dyDescent="0.25">
      <c r="B27" s="519">
        <f t="shared" si="4"/>
        <v>2028</v>
      </c>
      <c r="C27" s="528">
        <f t="shared" si="4"/>
        <v>7</v>
      </c>
      <c r="D27" s="225">
        <f t="shared" si="1"/>
        <v>3</v>
      </c>
      <c r="E27" s="283">
        <f>SUM($I$6:$M$6)*'A - Inputs'!$E114/'A - Inputs'!$E$108</f>
        <v>26.144011235203639</v>
      </c>
      <c r="F27" s="283">
        <f>IF(B27&gt;=BenefitStart,(SUM($I$6:$M$6)*'A - Inputs'!$F114/'A - Inputs'!$F$108)*$U$27,SUM($I$6:$M$6)*'A - Inputs'!$F114/'A - Inputs'!$F$108)</f>
        <v>5.0196501571590977</v>
      </c>
      <c r="G27" s="530">
        <f t="shared" si="2"/>
        <v>4145315.9894201835</v>
      </c>
      <c r="H27" s="530">
        <f t="shared" si="3"/>
        <v>795900.66996867501</v>
      </c>
      <c r="I27" s="158">
        <f t="shared" si="5"/>
        <v>3349415.3194515086</v>
      </c>
      <c r="J27" s="163">
        <f>$I27/(1+disc2)^($B27-'A - Inputs'!$C$6)</f>
        <v>1949390.2108903946</v>
      </c>
      <c r="K27" s="283"/>
      <c r="L27" s="283"/>
      <c r="M27" s="511"/>
      <c r="N27" s="511"/>
      <c r="O27" s="511"/>
      <c r="P27"/>
      <c r="Q27"/>
      <c r="R27"/>
      <c r="S27"/>
      <c r="T27">
        <v>1</v>
      </c>
      <c r="U27" s="549">
        <f>U18</f>
        <v>0.19199999999999995</v>
      </c>
      <c r="V27" s="357"/>
      <c r="W27" s="357"/>
      <c r="X27" s="357"/>
      <c r="AF27" s="511"/>
      <c r="AG27" s="511"/>
      <c r="AH27" s="511"/>
      <c r="AI27" s="511"/>
      <c r="AJ27" s="511"/>
      <c r="AK27" s="511"/>
      <c r="AL27" s="511"/>
      <c r="AM27" s="511"/>
      <c r="AN27" s="511"/>
      <c r="AO27" s="511"/>
      <c r="AP27" s="511"/>
      <c r="AQ27" s="511"/>
      <c r="AR27" s="511"/>
      <c r="AS27" s="511"/>
      <c r="AT27" s="511"/>
      <c r="AU27" s="511"/>
    </row>
    <row r="28" spans="2:47" x14ac:dyDescent="0.25">
      <c r="B28" s="519">
        <f t="shared" si="4"/>
        <v>2029</v>
      </c>
      <c r="C28" s="528">
        <f t="shared" si="4"/>
        <v>8</v>
      </c>
      <c r="D28" s="225">
        <f t="shared" si="1"/>
        <v>4</v>
      </c>
      <c r="E28" s="283">
        <f>SUM($I$6:$M$6)*'A - Inputs'!$E115/'A - Inputs'!$E$108</f>
        <v>26.268013107737577</v>
      </c>
      <c r="F28" s="283">
        <f>IF(B28&gt;=BenefitStart,(SUM($I$6:$M$6)*'A - Inputs'!$F115/'A - Inputs'!$F$108)*$U$27,SUM($I$6:$M$6)*'A - Inputs'!$F115/'A - Inputs'!$F$108)</f>
        <v>5.0434585166856136</v>
      </c>
      <c r="G28" s="530">
        <f t="shared" si="2"/>
        <v>4164977.3543235469</v>
      </c>
      <c r="H28" s="530">
        <f t="shared" si="3"/>
        <v>799675.65203012084</v>
      </c>
      <c r="I28" s="158">
        <f t="shared" si="5"/>
        <v>3365301.7022934258</v>
      </c>
      <c r="J28" s="163">
        <f>$I28/(1+disc2)^($B28-'A - Inputs'!$C$6)</f>
        <v>1830501.1498532675</v>
      </c>
      <c r="K28" s="283"/>
      <c r="L28" s="283"/>
      <c r="M28" s="511"/>
      <c r="N28" s="511"/>
      <c r="O28" s="511"/>
      <c r="P28"/>
      <c r="Q28"/>
      <c r="R28"/>
      <c r="S28"/>
      <c r="T28"/>
      <c r="U28"/>
      <c r="V28"/>
      <c r="W28"/>
      <c r="AF28" s="511"/>
      <c r="AG28" s="511"/>
      <c r="AH28" s="511"/>
      <c r="AI28" s="511"/>
      <c r="AJ28" s="511"/>
      <c r="AK28" s="511"/>
      <c r="AL28" s="511"/>
      <c r="AM28" s="511"/>
      <c r="AN28" s="511"/>
      <c r="AO28" s="511"/>
      <c r="AP28" s="511"/>
      <c r="AQ28" s="511"/>
      <c r="AR28" s="511"/>
      <c r="AS28" s="511"/>
      <c r="AT28" s="511"/>
      <c r="AU28" s="511"/>
    </row>
    <row r="29" spans="2:47" x14ac:dyDescent="0.25">
      <c r="B29" s="519">
        <f t="shared" si="4"/>
        <v>2030</v>
      </c>
      <c r="C29" s="528">
        <f t="shared" si="4"/>
        <v>9</v>
      </c>
      <c r="D29" s="225">
        <f t="shared" si="1"/>
        <v>5</v>
      </c>
      <c r="E29" s="283">
        <f>SUM($I$6:$M$6)*'A - Inputs'!$E116/'A - Inputs'!$E$108</f>
        <v>26.392014980271515</v>
      </c>
      <c r="F29" s="283">
        <f>IF(B29&gt;=BenefitStart,(SUM($I$6:$M$6)*'A - Inputs'!$F116/'A - Inputs'!$F$108)*$U$27,SUM($I$6:$M$6)*'A - Inputs'!$F116/'A - Inputs'!$F$108)</f>
        <v>5.0672668762121296</v>
      </c>
      <c r="G29" s="530">
        <f t="shared" si="2"/>
        <v>4184638.7192269107</v>
      </c>
      <c r="H29" s="530">
        <f t="shared" si="3"/>
        <v>803450.63409156667</v>
      </c>
      <c r="I29" s="158">
        <f t="shared" si="5"/>
        <v>3381188.085135344</v>
      </c>
      <c r="J29" s="163">
        <f>$I29/(1+disc2)^($B29-'A - Inputs'!$C$6)</f>
        <v>1718824.569652894</v>
      </c>
      <c r="K29" s="283"/>
      <c r="L29" s="283"/>
      <c r="M29" s="511"/>
      <c r="N29" s="511"/>
      <c r="O29" s="511"/>
      <c r="P29"/>
      <c r="Q29"/>
      <c r="R29"/>
      <c r="S29"/>
      <c r="T29"/>
      <c r="U29"/>
      <c r="V29"/>
      <c r="W29"/>
      <c r="AF29" s="511"/>
      <c r="AG29" s="511"/>
      <c r="AH29" s="511"/>
      <c r="AI29" s="511"/>
      <c r="AJ29" s="511"/>
      <c r="AK29" s="511"/>
      <c r="AL29" s="511"/>
      <c r="AM29" s="511"/>
      <c r="AN29" s="511"/>
      <c r="AO29" s="511"/>
      <c r="AP29" s="511"/>
      <c r="AQ29" s="511"/>
      <c r="AR29" s="511"/>
      <c r="AS29" s="511"/>
      <c r="AT29" s="511"/>
      <c r="AU29" s="511"/>
    </row>
    <row r="30" spans="2:47" x14ac:dyDescent="0.25">
      <c r="B30" s="519">
        <f t="shared" si="4"/>
        <v>2031</v>
      </c>
      <c r="C30" s="528">
        <f t="shared" si="4"/>
        <v>10</v>
      </c>
      <c r="D30" s="225">
        <f t="shared" si="1"/>
        <v>6</v>
      </c>
      <c r="E30" s="283">
        <f>SUM($I$6:$M$6)*'A - Inputs'!$E117/'A - Inputs'!$E$108</f>
        <v>26.516016852805457</v>
      </c>
      <c r="F30" s="283">
        <f>IF(B30&gt;=BenefitStart,(SUM($I$6:$M$6)*'A - Inputs'!$F117/'A - Inputs'!$F$108)*$U$27,SUM($I$6:$M$6)*'A - Inputs'!$F117/'A - Inputs'!$F$108)</f>
        <v>5.0910752357386464</v>
      </c>
      <c r="G30" s="530">
        <f t="shared" si="2"/>
        <v>4204300.0841302751</v>
      </c>
      <c r="H30" s="530">
        <f t="shared" si="3"/>
        <v>807225.61615301261</v>
      </c>
      <c r="I30" s="158">
        <f t="shared" si="5"/>
        <v>3397074.4679772626</v>
      </c>
      <c r="J30" s="163">
        <f>$I30/(1+disc2)^($B30-'A - Inputs'!$C$6)</f>
        <v>1613925.608528191</v>
      </c>
      <c r="K30" s="283"/>
      <c r="L30" s="283"/>
      <c r="M30" s="511"/>
      <c r="N30" s="511"/>
      <c r="O30" s="511"/>
      <c r="P30"/>
      <c r="Q30"/>
      <c r="R30"/>
      <c r="S30"/>
      <c r="T30"/>
      <c r="U30"/>
      <c r="V30"/>
      <c r="W30"/>
      <c r="AF30" s="511"/>
      <c r="AG30" s="511"/>
      <c r="AH30" s="511"/>
      <c r="AI30" s="511"/>
      <c r="AJ30" s="511"/>
      <c r="AK30" s="511"/>
      <c r="AL30" s="511"/>
      <c r="AM30" s="511"/>
      <c r="AN30" s="511"/>
      <c r="AO30" s="511"/>
      <c r="AP30" s="511"/>
      <c r="AQ30" s="511"/>
      <c r="AR30" s="511"/>
      <c r="AS30" s="511"/>
      <c r="AT30" s="511"/>
      <c r="AU30" s="511"/>
    </row>
    <row r="31" spans="2:47" x14ac:dyDescent="0.25">
      <c r="B31" s="519">
        <f t="shared" si="4"/>
        <v>2032</v>
      </c>
      <c r="C31" s="528">
        <f t="shared" si="4"/>
        <v>11</v>
      </c>
      <c r="D31" s="225">
        <f t="shared" si="1"/>
        <v>7</v>
      </c>
      <c r="E31" s="283">
        <f>SUM($I$6:$M$6)*'A - Inputs'!$E118/'A - Inputs'!$E$108</f>
        <v>26.640018725339395</v>
      </c>
      <c r="F31" s="283">
        <f>IF(B31&gt;=BenefitStart,(SUM($I$6:$M$6)*'A - Inputs'!$F118/'A - Inputs'!$F$108)*$U$27,SUM($I$6:$M$6)*'A - Inputs'!$F118/'A - Inputs'!$F$108)</f>
        <v>5.1148835952651623</v>
      </c>
      <c r="G31" s="530">
        <f t="shared" si="2"/>
        <v>4223961.4490336385</v>
      </c>
      <c r="H31" s="530">
        <f t="shared" si="3"/>
        <v>811000.59821445832</v>
      </c>
      <c r="I31" s="158">
        <f t="shared" si="5"/>
        <v>3412960.8508191803</v>
      </c>
      <c r="J31" s="163">
        <f>$I31/(1+disc2)^($B31-'A - Inputs'!$C$6)</f>
        <v>1515395.434184151</v>
      </c>
      <c r="K31" s="283"/>
      <c r="L31" s="283"/>
      <c r="M31" s="511"/>
      <c r="N31" s="511"/>
      <c r="O31" s="511"/>
      <c r="P31"/>
      <c r="Q31"/>
      <c r="R31"/>
      <c r="S31"/>
      <c r="T31"/>
      <c r="U31"/>
      <c r="V31"/>
      <c r="W31"/>
      <c r="AF31" s="511"/>
      <c r="AG31" s="511"/>
      <c r="AH31" s="511"/>
      <c r="AI31" s="511"/>
      <c r="AJ31" s="511"/>
      <c r="AK31" s="511"/>
      <c r="AL31" s="511"/>
      <c r="AM31" s="511"/>
      <c r="AN31" s="511"/>
      <c r="AO31" s="511"/>
      <c r="AP31" s="511"/>
      <c r="AQ31" s="511"/>
      <c r="AR31" s="511"/>
      <c r="AS31" s="511"/>
      <c r="AT31" s="511"/>
      <c r="AU31" s="511"/>
    </row>
    <row r="32" spans="2:47" x14ac:dyDescent="0.25">
      <c r="B32" s="519">
        <f t="shared" si="4"/>
        <v>2033</v>
      </c>
      <c r="C32" s="528">
        <f t="shared" si="4"/>
        <v>12</v>
      </c>
      <c r="D32" s="225">
        <f t="shared" si="1"/>
        <v>8</v>
      </c>
      <c r="E32" s="283">
        <f>SUM($I$6:$M$6)*'A - Inputs'!$E119/'A - Inputs'!$E$108</f>
        <v>26.764020597873333</v>
      </c>
      <c r="F32" s="283">
        <f>IF(B32&gt;=BenefitStart,(SUM($I$6:$M$6)*'A - Inputs'!$F119/'A - Inputs'!$F$108)*$U$27,SUM($I$6:$M$6)*'A - Inputs'!$F119/'A - Inputs'!$F$108)</f>
        <v>5.1386919547916783</v>
      </c>
      <c r="G32" s="530">
        <f t="shared" si="2"/>
        <v>4243622.8139370019</v>
      </c>
      <c r="H32" s="530">
        <f t="shared" si="3"/>
        <v>814775.58027590415</v>
      </c>
      <c r="I32" s="158">
        <f t="shared" si="5"/>
        <v>3428847.2336610975</v>
      </c>
      <c r="J32" s="163">
        <f>$I32/(1+disc2)^($B32-'A - Inputs'!$C$6)</f>
        <v>1422849.6992103169</v>
      </c>
      <c r="K32" s="283"/>
      <c r="L32" s="283"/>
      <c r="M32" s="511"/>
      <c r="N32" s="511"/>
      <c r="O32" s="511"/>
      <c r="P32"/>
      <c r="Q32"/>
      <c r="R32"/>
      <c r="S32"/>
      <c r="T32"/>
      <c r="U32"/>
      <c r="V32"/>
      <c r="W32"/>
      <c r="AF32" s="511"/>
      <c r="AG32" s="511"/>
      <c r="AH32" s="511"/>
      <c r="AI32" s="511"/>
      <c r="AJ32" s="511"/>
      <c r="AK32" s="511"/>
      <c r="AL32" s="511"/>
      <c r="AM32" s="511"/>
      <c r="AN32" s="511"/>
      <c r="AO32" s="511"/>
      <c r="AP32" s="511"/>
      <c r="AQ32" s="511"/>
      <c r="AR32" s="511"/>
      <c r="AS32" s="511"/>
      <c r="AT32" s="511"/>
      <c r="AU32" s="511"/>
    </row>
    <row r="33" spans="2:47" x14ac:dyDescent="0.25">
      <c r="B33" s="519">
        <f t="shared" si="4"/>
        <v>2034</v>
      </c>
      <c r="C33" s="528">
        <f t="shared" si="4"/>
        <v>13</v>
      </c>
      <c r="D33" s="225">
        <f t="shared" si="1"/>
        <v>9</v>
      </c>
      <c r="E33" s="283">
        <f>SUM($I$6:$M$6)*'A - Inputs'!$E120/'A - Inputs'!$E$108</f>
        <v>26.888022470407272</v>
      </c>
      <c r="F33" s="283">
        <f>IF(B33&gt;=BenefitStart,(SUM($I$6:$M$6)*'A - Inputs'!$F120/'A - Inputs'!$F$108)*$U$27,SUM($I$6:$M$6)*'A - Inputs'!$F120/'A - Inputs'!$F$108)</f>
        <v>5.1625003143181951</v>
      </c>
      <c r="G33" s="530">
        <f t="shared" si="2"/>
        <v>4263284.1788403662</v>
      </c>
      <c r="H33" s="530">
        <f t="shared" si="3"/>
        <v>818550.5623373501</v>
      </c>
      <c r="I33" s="158">
        <f t="shared" si="5"/>
        <v>3444733.6165030161</v>
      </c>
      <c r="J33" s="163">
        <f>$I33/(1+disc2)^($B33-'A - Inputs'!$C$6)</f>
        <v>1335927.0871918313</v>
      </c>
      <c r="K33" s="283"/>
      <c r="L33" s="283"/>
      <c r="M33" s="511"/>
      <c r="N33" s="511"/>
      <c r="O33" s="511"/>
      <c r="P33"/>
      <c r="Q33"/>
      <c r="R33"/>
      <c r="S33"/>
      <c r="T33"/>
      <c r="U33"/>
      <c r="V33"/>
      <c r="W33"/>
      <c r="AF33" s="511"/>
      <c r="AG33" s="511"/>
      <c r="AH33" s="511"/>
      <c r="AI33" s="511"/>
      <c r="AJ33" s="511"/>
      <c r="AK33" s="511"/>
      <c r="AL33" s="511"/>
      <c r="AM33" s="511"/>
      <c r="AN33" s="511"/>
      <c r="AO33" s="511"/>
      <c r="AP33" s="511"/>
      <c r="AQ33" s="511"/>
      <c r="AR33" s="511"/>
      <c r="AS33" s="511"/>
      <c r="AT33" s="511"/>
      <c r="AU33" s="511"/>
    </row>
    <row r="34" spans="2:47" x14ac:dyDescent="0.25">
      <c r="B34" s="519">
        <f t="shared" si="4"/>
        <v>2035</v>
      </c>
      <c r="C34" s="528">
        <f t="shared" si="4"/>
        <v>14</v>
      </c>
      <c r="D34" s="225">
        <f t="shared" si="1"/>
        <v>10</v>
      </c>
      <c r="E34" s="283">
        <f>SUM($I$6:$M$6)*'A - Inputs'!$E121/'A - Inputs'!$E$108</f>
        <v>27.012024342941213</v>
      </c>
      <c r="F34" s="283">
        <f>IF(B34&gt;=BenefitStart,(SUM($I$6:$M$6)*'A - Inputs'!$F121/'A - Inputs'!$F$108)*$U$27,SUM($I$6:$M$6)*'A - Inputs'!$F121/'A - Inputs'!$F$108)</f>
        <v>5.1863086738447119</v>
      </c>
      <c r="G34" s="530">
        <f t="shared" si="2"/>
        <v>4282945.5437437296</v>
      </c>
      <c r="H34" s="530">
        <f t="shared" si="3"/>
        <v>822325.54439879605</v>
      </c>
      <c r="I34" s="158">
        <f t="shared" si="5"/>
        <v>3460619.9993449338</v>
      </c>
      <c r="J34" s="163">
        <f>$I34/(1+disc2)^($B34-'A - Inputs'!$C$6)</f>
        <v>1254287.9442573166</v>
      </c>
      <c r="K34" s="283"/>
      <c r="L34" s="283"/>
      <c r="M34" s="511"/>
      <c r="N34" s="511"/>
      <c r="O34" s="511"/>
      <c r="P34"/>
      <c r="Q34"/>
      <c r="R34"/>
      <c r="S34"/>
      <c r="T34"/>
      <c r="U34"/>
      <c r="V34"/>
      <c r="W34"/>
      <c r="AF34" s="511"/>
      <c r="AG34" s="511"/>
      <c r="AH34" s="511"/>
      <c r="AI34" s="511"/>
      <c r="AJ34" s="511"/>
      <c r="AK34" s="511"/>
      <c r="AL34" s="511"/>
      <c r="AM34" s="511"/>
      <c r="AN34" s="511"/>
      <c r="AO34" s="511"/>
      <c r="AP34" s="511"/>
      <c r="AQ34" s="511"/>
      <c r="AR34" s="511"/>
      <c r="AS34" s="511"/>
      <c r="AT34" s="511"/>
      <c r="AU34" s="511"/>
    </row>
    <row r="35" spans="2:47" x14ac:dyDescent="0.25">
      <c r="B35" s="519">
        <f t="shared" si="4"/>
        <v>2036</v>
      </c>
      <c r="C35" s="528">
        <f t="shared" si="4"/>
        <v>15</v>
      </c>
      <c r="D35" s="225">
        <f t="shared" si="1"/>
        <v>11</v>
      </c>
      <c r="E35" s="283">
        <f>SUM($I$6:$M$6)*'A - Inputs'!$E122/'A - Inputs'!$E$108</f>
        <v>27.136026215475152</v>
      </c>
      <c r="F35" s="283">
        <f>IF(B35&gt;=BenefitStart,(SUM($I$6:$M$6)*'A - Inputs'!$F122/'A - Inputs'!$F$108)*$U$27,SUM($I$6:$M$6)*'A - Inputs'!$F122/'A - Inputs'!$F$108)</f>
        <v>5.2101170333712279</v>
      </c>
      <c r="G35" s="530">
        <f t="shared" si="2"/>
        <v>4302606.9086470939</v>
      </c>
      <c r="H35" s="530">
        <f t="shared" si="3"/>
        <v>826100.52646024176</v>
      </c>
      <c r="I35" s="158">
        <f t="shared" si="5"/>
        <v>3476506.3821868524</v>
      </c>
      <c r="J35" s="163">
        <f>$I35/(1+disc2)^($B35-'A - Inputs'!$C$6)</f>
        <v>1177612.9911073691</v>
      </c>
      <c r="K35" s="283"/>
      <c r="L35" s="283"/>
      <c r="M35" s="511"/>
      <c r="N35" s="511"/>
      <c r="O35" s="511"/>
      <c r="P35"/>
      <c r="Q35"/>
      <c r="R35"/>
      <c r="S35"/>
      <c r="T35"/>
      <c r="U35"/>
      <c r="V35"/>
      <c r="W35"/>
      <c r="AF35" s="511"/>
      <c r="AG35" s="511"/>
      <c r="AH35" s="511"/>
      <c r="AI35" s="511"/>
      <c r="AJ35" s="511"/>
      <c r="AK35" s="511"/>
      <c r="AL35" s="511"/>
      <c r="AM35" s="511"/>
      <c r="AN35" s="511"/>
      <c r="AO35" s="511"/>
      <c r="AP35" s="511"/>
      <c r="AQ35" s="511"/>
      <c r="AR35" s="511"/>
      <c r="AS35" s="511"/>
      <c r="AT35" s="511"/>
      <c r="AU35" s="511"/>
    </row>
    <row r="36" spans="2:47" x14ac:dyDescent="0.25">
      <c r="B36" s="519">
        <f t="shared" si="4"/>
        <v>2037</v>
      </c>
      <c r="C36" s="528">
        <f t="shared" si="4"/>
        <v>16</v>
      </c>
      <c r="D36" s="225">
        <f t="shared" si="1"/>
        <v>12</v>
      </c>
      <c r="E36" s="283">
        <f>SUM($I$6:$M$6)*'A - Inputs'!$E123/'A - Inputs'!$E$108</f>
        <v>27.26002808800909</v>
      </c>
      <c r="F36" s="283">
        <f>IF(B36&gt;=BenefitStart,(SUM($I$6:$M$6)*'A - Inputs'!$F123/'A - Inputs'!$F$108)*$U$27,SUM($I$6:$M$6)*'A - Inputs'!$F123/'A - Inputs'!$F$108)</f>
        <v>5.2339253928977438</v>
      </c>
      <c r="G36" s="530">
        <f t="shared" si="2"/>
        <v>4322268.2735504573</v>
      </c>
      <c r="H36" s="530">
        <f t="shared" si="3"/>
        <v>829875.50852168759</v>
      </c>
      <c r="I36" s="158">
        <f t="shared" si="5"/>
        <v>3492392.7650287696</v>
      </c>
      <c r="J36" s="163">
        <f>$I36/(1+disc2)^($B36-'A - Inputs'!$C$6)</f>
        <v>1105602.110850251</v>
      </c>
      <c r="K36" s="283"/>
      <c r="L36" s="283"/>
      <c r="M36" s="511"/>
      <c r="N36" s="511"/>
      <c r="O36" s="511"/>
      <c r="P36"/>
      <c r="Q36"/>
      <c r="R36"/>
      <c r="S36"/>
      <c r="T36"/>
      <c r="U36"/>
      <c r="V36"/>
      <c r="W36"/>
      <c r="AF36" s="511"/>
      <c r="AG36" s="511"/>
      <c r="AH36" s="511"/>
      <c r="AI36" s="511"/>
      <c r="AJ36" s="511"/>
      <c r="AK36" s="511"/>
      <c r="AL36" s="511"/>
      <c r="AM36" s="511"/>
      <c r="AN36" s="511"/>
      <c r="AO36" s="511"/>
      <c r="AP36" s="511"/>
      <c r="AQ36" s="511"/>
      <c r="AR36" s="511"/>
      <c r="AS36" s="511"/>
      <c r="AT36" s="511"/>
      <c r="AU36" s="511"/>
    </row>
    <row r="37" spans="2:47" x14ac:dyDescent="0.25">
      <c r="B37" s="519">
        <f t="shared" si="4"/>
        <v>2038</v>
      </c>
      <c r="C37" s="528">
        <f t="shared" si="4"/>
        <v>17</v>
      </c>
      <c r="D37" s="225">
        <f t="shared" si="1"/>
        <v>13</v>
      </c>
      <c r="E37" s="283">
        <f>SUM($I$6:$M$6)*'A - Inputs'!$E124/'A - Inputs'!$E$108</f>
        <v>27.384029960543035</v>
      </c>
      <c r="F37" s="283">
        <f>IF(B37&gt;=BenefitStart,(SUM($I$6:$M$6)*'A - Inputs'!$F124/'A - Inputs'!$F$108)*$U$27,SUM($I$6:$M$6)*'A - Inputs'!$F124/'A - Inputs'!$F$108)</f>
        <v>5.2577337524242616</v>
      </c>
      <c r="G37" s="530">
        <f t="shared" si="2"/>
        <v>4341929.6384538217</v>
      </c>
      <c r="H37" s="530">
        <f t="shared" si="3"/>
        <v>833650.49058313365</v>
      </c>
      <c r="I37" s="158">
        <f>G37-H37</f>
        <v>3508279.1478706878</v>
      </c>
      <c r="J37" s="163">
        <f>$I37/(1+disc2)^($B37-'A - Inputs'!$C$6)</f>
        <v>1037973.2082384212</v>
      </c>
      <c r="K37" s="283"/>
      <c r="L37" s="283"/>
      <c r="M37" s="511"/>
      <c r="N37" s="511"/>
      <c r="O37" s="511"/>
      <c r="P37"/>
      <c r="Q37"/>
      <c r="R37"/>
      <c r="S37"/>
      <c r="T37"/>
      <c r="U37"/>
      <c r="V37"/>
      <c r="W37"/>
      <c r="AF37" s="511"/>
      <c r="AG37" s="511"/>
      <c r="AH37" s="511"/>
      <c r="AI37" s="511"/>
      <c r="AJ37" s="511"/>
      <c r="AK37" s="511"/>
      <c r="AL37" s="511"/>
      <c r="AM37" s="511"/>
      <c r="AN37" s="511"/>
      <c r="AO37" s="511"/>
      <c r="AP37" s="511"/>
      <c r="AQ37" s="511"/>
      <c r="AR37" s="511"/>
      <c r="AS37" s="511"/>
      <c r="AT37" s="511"/>
      <c r="AU37" s="511"/>
    </row>
    <row r="38" spans="2:47" x14ac:dyDescent="0.25">
      <c r="B38" s="519">
        <f t="shared" ref="B38:C45" si="6">B37+1</f>
        <v>2039</v>
      </c>
      <c r="C38" s="528">
        <f t="shared" si="6"/>
        <v>18</v>
      </c>
      <c r="D38" s="225">
        <f t="shared" si="1"/>
        <v>14</v>
      </c>
      <c r="E38" s="283">
        <f>SUM($I$6:$M$6)*'A - Inputs'!$E125/'A - Inputs'!$E$108</f>
        <v>27.508031833076974</v>
      </c>
      <c r="F38" s="283">
        <f>IF(B38&gt;=BenefitStart,(SUM($I$6:$M$6)*'A - Inputs'!$F125/'A - Inputs'!$F$108)*$U$27,SUM($I$6:$M$6)*'A - Inputs'!$F125/'A - Inputs'!$F$108)</f>
        <v>5.2815421119507775</v>
      </c>
      <c r="G38" s="530">
        <f t="shared" si="2"/>
        <v>4361591.003357186</v>
      </c>
      <c r="H38" s="530">
        <f t="shared" si="3"/>
        <v>837425.47264457948</v>
      </c>
      <c r="I38" s="158">
        <f t="shared" si="5"/>
        <v>3524165.5307126064</v>
      </c>
      <c r="J38" s="163">
        <f>$I38/(1+disc2)^($B38-'A - Inputs'!$C$6)</f>
        <v>974461.13615160319</v>
      </c>
      <c r="K38" s="283"/>
      <c r="L38" s="283"/>
      <c r="M38" s="511"/>
      <c r="N38" s="511"/>
      <c r="O38" s="511"/>
      <c r="P38"/>
      <c r="Q38"/>
      <c r="R38"/>
      <c r="S38"/>
      <c r="T38"/>
      <c r="U38"/>
      <c r="V38"/>
      <c r="W38"/>
      <c r="AF38" s="511"/>
      <c r="AG38" s="511"/>
      <c r="AH38" s="511"/>
      <c r="AI38" s="511"/>
      <c r="AJ38" s="511"/>
      <c r="AK38" s="511"/>
      <c r="AL38" s="511"/>
      <c r="AM38" s="511"/>
      <c r="AN38" s="511"/>
      <c r="AO38" s="511"/>
      <c r="AP38" s="511"/>
      <c r="AQ38" s="511"/>
      <c r="AR38" s="511"/>
      <c r="AS38" s="511"/>
      <c r="AT38" s="511"/>
      <c r="AU38" s="511"/>
    </row>
    <row r="39" spans="2:47" x14ac:dyDescent="0.25">
      <c r="B39" s="519">
        <f t="shared" si="6"/>
        <v>2040</v>
      </c>
      <c r="C39" s="528">
        <f t="shared" si="6"/>
        <v>19</v>
      </c>
      <c r="D39" s="225">
        <f t="shared" si="1"/>
        <v>15</v>
      </c>
      <c r="E39" s="283">
        <f>SUM($I$6:$M$6)*'A - Inputs'!$E126/'A - Inputs'!$E$108</f>
        <v>27.632033705610912</v>
      </c>
      <c r="F39" s="283">
        <f>IF(B39&gt;=BenefitStart,(SUM($I$6:$M$6)*'A - Inputs'!$F126/'A - Inputs'!$F$108)*$U$27,SUM($I$6:$M$6)*'A - Inputs'!$F126/'A - Inputs'!$F$108)</f>
        <v>5.3053504714772934</v>
      </c>
      <c r="G39" s="530">
        <f t="shared" si="2"/>
        <v>4381252.3682605494</v>
      </c>
      <c r="H39" s="530">
        <f t="shared" si="3"/>
        <v>841200.45470602519</v>
      </c>
      <c r="I39" s="158">
        <f t="shared" si="5"/>
        <v>3540051.9135545241</v>
      </c>
      <c r="J39" s="163">
        <f>$I39/(1+disc2)^($B39-'A - Inputs'!$C$6)</f>
        <v>914816.68541008781</v>
      </c>
      <c r="K39" s="283"/>
      <c r="L39" s="283"/>
      <c r="M39" s="511"/>
      <c r="N39" s="511"/>
      <c r="O39" s="511"/>
      <c r="P39"/>
      <c r="Q39"/>
      <c r="R39"/>
      <c r="S39"/>
      <c r="T39"/>
      <c r="U39"/>
      <c r="V39"/>
      <c r="W39"/>
      <c r="AF39" s="511"/>
      <c r="AG39" s="511"/>
      <c r="AH39" s="511"/>
      <c r="AI39" s="511"/>
      <c r="AJ39" s="511"/>
      <c r="AK39" s="511"/>
      <c r="AL39" s="511"/>
      <c r="AM39" s="511"/>
      <c r="AN39" s="511"/>
      <c r="AO39" s="511"/>
      <c r="AP39" s="511"/>
      <c r="AQ39" s="511"/>
      <c r="AR39" s="511"/>
      <c r="AS39" s="511"/>
      <c r="AT39" s="511"/>
      <c r="AU39" s="511"/>
    </row>
    <row r="40" spans="2:47" x14ac:dyDescent="0.25">
      <c r="B40" s="519">
        <f t="shared" si="6"/>
        <v>2041</v>
      </c>
      <c r="C40" s="528">
        <f t="shared" si="6"/>
        <v>20</v>
      </c>
      <c r="D40" s="225">
        <f t="shared" si="1"/>
        <v>16</v>
      </c>
      <c r="E40" s="283">
        <f>SUM($I$6:$M$6)*'A - Inputs'!$E127/'A - Inputs'!$E$108</f>
        <v>27.756035578144854</v>
      </c>
      <c r="F40" s="283">
        <f>IF(B40&gt;=BenefitStart,(SUM($I$6:$M$6)*'A - Inputs'!$F127/'A - Inputs'!$F$108)*$U$27,SUM($I$6:$M$6)*'A - Inputs'!$F127/'A - Inputs'!$F$108)</f>
        <v>5.3291588310038103</v>
      </c>
      <c r="G40" s="530">
        <f t="shared" si="2"/>
        <v>4400913.7331639137</v>
      </c>
      <c r="H40" s="530">
        <f t="shared" si="3"/>
        <v>844975.43676747114</v>
      </c>
      <c r="I40" s="158">
        <f t="shared" si="5"/>
        <v>3555938.2963964427</v>
      </c>
      <c r="J40" s="163">
        <f>$I40/(1+disc2)^($B40-'A - Inputs'!$C$6)</f>
        <v>858805.63422655675</v>
      </c>
      <c r="K40" s="283"/>
      <c r="L40" s="283"/>
      <c r="M40" s="511"/>
      <c r="N40" s="511"/>
      <c r="O40" s="511"/>
      <c r="P40"/>
      <c r="Q40"/>
      <c r="R40"/>
      <c r="S40"/>
      <c r="T40"/>
      <c r="U40"/>
      <c r="V40"/>
      <c r="W40"/>
      <c r="AF40" s="511"/>
      <c r="AG40" s="511"/>
      <c r="AH40" s="511"/>
      <c r="AI40" s="511"/>
      <c r="AJ40" s="511"/>
      <c r="AK40" s="511"/>
      <c r="AL40" s="511"/>
      <c r="AM40" s="511"/>
      <c r="AN40" s="511"/>
      <c r="AO40" s="511"/>
      <c r="AP40" s="511"/>
      <c r="AQ40" s="511"/>
      <c r="AR40" s="511"/>
      <c r="AS40" s="511"/>
      <c r="AT40" s="511"/>
      <c r="AU40" s="511"/>
    </row>
    <row r="41" spans="2:47" x14ac:dyDescent="0.25">
      <c r="B41" s="519">
        <f t="shared" si="6"/>
        <v>2042</v>
      </c>
      <c r="C41" s="528">
        <f t="shared" si="6"/>
        <v>21</v>
      </c>
      <c r="D41" s="225">
        <f t="shared" si="1"/>
        <v>17</v>
      </c>
      <c r="E41" s="283">
        <f>SUM($I$6:$M$6)*'A - Inputs'!$E128/'A - Inputs'!$E$108</f>
        <v>27.880037450678792</v>
      </c>
      <c r="F41" s="283">
        <f>IF(B41&gt;=BenefitStart,(SUM($I$6:$M$6)*'A - Inputs'!$F128/'A - Inputs'!$F$108)*$U$27,SUM($I$6:$M$6)*'A - Inputs'!$F128/'A - Inputs'!$F$108)</f>
        <v>5.3529671905303262</v>
      </c>
      <c r="G41" s="530">
        <f t="shared" si="2"/>
        <v>4420575.0980672771</v>
      </c>
      <c r="H41" s="530">
        <f t="shared" si="3"/>
        <v>848750.41882891697</v>
      </c>
      <c r="I41" s="158">
        <f t="shared" si="5"/>
        <v>3571824.6792383604</v>
      </c>
      <c r="J41" s="163">
        <f>$I41/(1+disc2)^($B41-'A - Inputs'!$C$6)</f>
        <v>806207.85381670319</v>
      </c>
      <c r="K41" s="283"/>
      <c r="L41" s="283"/>
      <c r="M41" s="511"/>
      <c r="N41" s="511"/>
      <c r="O41" s="511"/>
      <c r="P41"/>
      <c r="Q41"/>
      <c r="R41"/>
      <c r="S41"/>
      <c r="T41"/>
      <c r="U41"/>
      <c r="V41"/>
      <c r="W41"/>
      <c r="AF41" s="511"/>
      <c r="AG41" s="511"/>
      <c r="AH41" s="511"/>
      <c r="AI41" s="511"/>
      <c r="AJ41" s="511"/>
      <c r="AK41" s="511"/>
      <c r="AL41" s="511"/>
      <c r="AM41" s="511"/>
      <c r="AN41" s="511"/>
      <c r="AO41" s="511"/>
      <c r="AP41" s="511"/>
      <c r="AQ41" s="511"/>
      <c r="AR41" s="511"/>
      <c r="AS41" s="511"/>
      <c r="AT41" s="511"/>
      <c r="AU41" s="511"/>
    </row>
    <row r="42" spans="2:47" x14ac:dyDescent="0.25">
      <c r="B42" s="519">
        <f t="shared" si="6"/>
        <v>2043</v>
      </c>
      <c r="C42" s="528">
        <f t="shared" si="6"/>
        <v>22</v>
      </c>
      <c r="D42" s="225">
        <f t="shared" si="1"/>
        <v>18</v>
      </c>
      <c r="E42" s="283">
        <f>SUM($I$6:$M$6)*'A - Inputs'!$E129/'A - Inputs'!$E$108</f>
        <v>28.00403932321273</v>
      </c>
      <c r="F42" s="283">
        <f>IF(B42&gt;=BenefitStart,(SUM($I$6:$M$6)*'A - Inputs'!$F129/'A - Inputs'!$F$108)*$U$27,SUM($I$6:$M$6)*'A - Inputs'!$F129/'A - Inputs'!$F$108)</f>
        <v>5.376775550056843</v>
      </c>
      <c r="G42" s="530">
        <f t="shared" si="2"/>
        <v>4440236.4629706405</v>
      </c>
      <c r="H42" s="530">
        <f t="shared" si="3"/>
        <v>852525.40089036291</v>
      </c>
      <c r="I42" s="158">
        <f t="shared" si="5"/>
        <v>3587711.0620802776</v>
      </c>
      <c r="J42" s="163">
        <f>$I42/(1+disc2)^($B42-'A - Inputs'!$C$6)</f>
        <v>756816.46688897535</v>
      </c>
      <c r="K42" s="283"/>
      <c r="L42" s="283"/>
      <c r="M42" s="511"/>
      <c r="N42" s="511"/>
      <c r="O42" s="511"/>
      <c r="P42"/>
      <c r="Q42"/>
      <c r="R42"/>
      <c r="S42"/>
      <c r="T42"/>
      <c r="U42"/>
      <c r="V42"/>
      <c r="W42"/>
      <c r="AF42" s="511"/>
      <c r="AG42" s="511"/>
      <c r="AH42" s="511"/>
      <c r="AI42" s="511"/>
      <c r="AJ42" s="511"/>
      <c r="AK42" s="511"/>
      <c r="AL42" s="511"/>
      <c r="AM42" s="511"/>
      <c r="AN42" s="511"/>
      <c r="AO42" s="511"/>
      <c r="AP42" s="511"/>
      <c r="AQ42" s="511"/>
      <c r="AR42" s="511"/>
      <c r="AS42" s="511"/>
      <c r="AT42" s="511"/>
      <c r="AU42" s="511"/>
    </row>
    <row r="43" spans="2:47" x14ac:dyDescent="0.25">
      <c r="B43" s="519">
        <f t="shared" si="6"/>
        <v>2044</v>
      </c>
      <c r="C43" s="528">
        <f t="shared" si="6"/>
        <v>23</v>
      </c>
      <c r="D43" s="225">
        <f t="shared" si="1"/>
        <v>19</v>
      </c>
      <c r="E43" s="283">
        <f>SUM($I$6:$M$6)*'A - Inputs'!$E130/'A - Inputs'!$E$108</f>
        <v>28.128041195746672</v>
      </c>
      <c r="F43" s="283">
        <f>IF(B43&gt;=BenefitStart,(SUM($I$6:$M$6)*'A - Inputs'!$F130/'A - Inputs'!$F$108)*$U$27,SUM($I$6:$M$6)*'A - Inputs'!$F130/'A - Inputs'!$F$108)</f>
        <v>5.4005839095833599</v>
      </c>
      <c r="G43" s="530">
        <f t="shared" si="2"/>
        <v>4459897.8278740048</v>
      </c>
      <c r="H43" s="530">
        <f t="shared" si="3"/>
        <v>856300.38295180874</v>
      </c>
      <c r="I43" s="158">
        <f t="shared" si="5"/>
        <v>3603597.4449221962</v>
      </c>
      <c r="J43" s="163">
        <f>$I43/(1+disc2)^($B43-'A - Inputs'!$C$6)</f>
        <v>710437.05592252989</v>
      </c>
      <c r="K43" s="283"/>
      <c r="L43" s="283"/>
      <c r="M43" s="511"/>
      <c r="N43" s="511"/>
      <c r="O43" s="511"/>
      <c r="P43"/>
      <c r="Q43"/>
      <c r="R43"/>
      <c r="S43"/>
      <c r="T43"/>
      <c r="U43"/>
      <c r="V43"/>
      <c r="W43"/>
      <c r="AF43" s="511"/>
      <c r="AG43" s="511"/>
      <c r="AH43" s="511"/>
      <c r="AI43" s="511"/>
      <c r="AJ43" s="511"/>
      <c r="AK43" s="511"/>
      <c r="AL43" s="511"/>
      <c r="AM43" s="511"/>
      <c r="AN43" s="511"/>
      <c r="AO43" s="511"/>
      <c r="AP43" s="511"/>
      <c r="AQ43" s="511"/>
      <c r="AR43" s="511"/>
      <c r="AS43" s="511"/>
      <c r="AT43" s="511"/>
      <c r="AU43" s="511"/>
    </row>
    <row r="44" spans="2:47" x14ac:dyDescent="0.25">
      <c r="B44" s="519">
        <f t="shared" si="6"/>
        <v>2045</v>
      </c>
      <c r="C44" s="528">
        <f t="shared" si="6"/>
        <v>24</v>
      </c>
      <c r="D44" s="225">
        <f t="shared" si="1"/>
        <v>20</v>
      </c>
      <c r="E44" s="283">
        <f>SUM($I$6:$M$6)*'A - Inputs'!$E131/'A - Inputs'!$E$108</f>
        <v>28.25204306828061</v>
      </c>
      <c r="F44" s="283">
        <f>IF(B44&gt;=BenefitStart,(SUM($I$6:$M$6)*'A - Inputs'!$F131/'A - Inputs'!$F$108)*$U$27,SUM($I$6:$M$6)*'A - Inputs'!$F131/'A - Inputs'!$F$108)</f>
        <v>5.4243922691098758</v>
      </c>
      <c r="G44" s="530">
        <f t="shared" si="2"/>
        <v>4479559.1927773682</v>
      </c>
      <c r="H44" s="530">
        <f t="shared" si="3"/>
        <v>860075.36501325457</v>
      </c>
      <c r="I44" s="158">
        <f t="shared" si="5"/>
        <v>3619483.8277641134</v>
      </c>
      <c r="J44" s="163">
        <f>$I44/(1+disc2)^($B44-'A - Inputs'!$C$6)</f>
        <v>666886.91832058539</v>
      </c>
      <c r="K44" s="283"/>
      <c r="L44" s="283"/>
      <c r="M44" s="511"/>
      <c r="N44" s="511"/>
      <c r="O44" s="511"/>
      <c r="P44"/>
      <c r="Q44"/>
      <c r="R44"/>
      <c r="S44"/>
      <c r="T44"/>
      <c r="U44"/>
      <c r="V44"/>
      <c r="W44"/>
      <c r="AF44" s="511"/>
      <c r="AG44" s="511"/>
      <c r="AH44" s="511"/>
      <c r="AI44" s="511"/>
      <c r="AJ44" s="511"/>
      <c r="AK44" s="511"/>
      <c r="AL44" s="511"/>
      <c r="AM44" s="511"/>
      <c r="AN44" s="511"/>
      <c r="AO44" s="511"/>
      <c r="AP44" s="511"/>
      <c r="AQ44" s="511"/>
      <c r="AR44" s="511"/>
      <c r="AS44" s="511"/>
      <c r="AT44" s="511"/>
      <c r="AU44" s="511"/>
    </row>
    <row r="45" spans="2:47" x14ac:dyDescent="0.25">
      <c r="B45" s="519">
        <f t="shared" si="6"/>
        <v>2046</v>
      </c>
      <c r="C45" s="528">
        <f t="shared" si="6"/>
        <v>25</v>
      </c>
      <c r="D45" s="225">
        <f t="shared" si="1"/>
        <v>21</v>
      </c>
      <c r="E45" s="283">
        <f>SUM($I$6:$M$6)*'A - Inputs'!$E132/'A - Inputs'!$E$108</f>
        <v>28.376044940814548</v>
      </c>
      <c r="F45" s="283">
        <f>IF(B45&gt;=BenefitStart,(SUM($I$6:$M$6)*'A - Inputs'!$F132/'A - Inputs'!$F$108)*$U$27,SUM($I$6:$M$6)*'A - Inputs'!$F132/'A - Inputs'!$F$108)</f>
        <v>5.4482006286363918</v>
      </c>
      <c r="G45" s="530">
        <f t="shared" si="2"/>
        <v>4499220.5576807326</v>
      </c>
      <c r="H45" s="530">
        <f t="shared" si="3"/>
        <v>863850.3470747004</v>
      </c>
      <c r="I45" s="158">
        <f t="shared" si="5"/>
        <v>3635370.2106060321</v>
      </c>
      <c r="J45" s="163">
        <f>$I45/(1+disc2)^($B45-'A - Inputs'!$C$6)</f>
        <v>625994.365694404</v>
      </c>
      <c r="K45" s="283"/>
      <c r="L45" s="283"/>
      <c r="M45" s="511"/>
      <c r="N45" s="511"/>
      <c r="O45" s="511"/>
      <c r="P45"/>
      <c r="Q45"/>
      <c r="R45"/>
      <c r="S45"/>
      <c r="T45"/>
      <c r="U45"/>
      <c r="V45"/>
      <c r="W45"/>
      <c r="AF45" s="511"/>
      <c r="AG45" s="511"/>
      <c r="AH45" s="511"/>
      <c r="AI45" s="511"/>
      <c r="AJ45" s="511"/>
      <c r="AK45" s="511"/>
      <c r="AL45" s="511"/>
      <c r="AM45" s="511"/>
      <c r="AN45" s="511"/>
      <c r="AO45" s="511"/>
      <c r="AP45" s="511"/>
      <c r="AQ45" s="511"/>
      <c r="AR45" s="511"/>
      <c r="AS45" s="511"/>
      <c r="AT45" s="511"/>
      <c r="AU45" s="511"/>
    </row>
    <row r="46" spans="2:47" x14ac:dyDescent="0.25">
      <c r="B46" s="519">
        <f t="shared" ref="B46:C46" si="7">B45+1</f>
        <v>2047</v>
      </c>
      <c r="C46" s="528">
        <f t="shared" si="7"/>
        <v>26</v>
      </c>
      <c r="D46" s="225">
        <f t="shared" si="1"/>
        <v>22</v>
      </c>
      <c r="E46" s="283">
        <f>SUM($I$6:$M$6)*'A - Inputs'!$E133/'A - Inputs'!$E$108</f>
        <v>28.50004681334849</v>
      </c>
      <c r="F46" s="283">
        <f>IF(B46&gt;=BenefitStart,(SUM($I$6:$M$6)*'A - Inputs'!$F133/'A - Inputs'!$F$108)*$U$27,SUM($I$6:$M$6)*'A - Inputs'!$F133/'A - Inputs'!$F$108)</f>
        <v>5.4720089881629086</v>
      </c>
      <c r="G46" s="530">
        <f t="shared" si="2"/>
        <v>4518881.9225840969</v>
      </c>
      <c r="H46" s="530">
        <f t="shared" si="3"/>
        <v>867625.32913614635</v>
      </c>
      <c r="I46" s="158">
        <f t="shared" si="5"/>
        <v>3651256.5934479507</v>
      </c>
      <c r="J46" s="163">
        <f>$I46/(1+disc2)^($B46-'A - Inputs'!$C$6)</f>
        <v>587598.06469162297</v>
      </c>
      <c r="K46" s="283"/>
      <c r="L46" s="283"/>
      <c r="M46" s="511"/>
      <c r="N46" s="511"/>
      <c r="O46" s="511"/>
      <c r="P46"/>
      <c r="Q46"/>
      <c r="R46"/>
      <c r="S46"/>
      <c r="T46"/>
      <c r="U46"/>
      <c r="V46"/>
      <c r="W46"/>
      <c r="AF46" s="511"/>
      <c r="AG46" s="511"/>
      <c r="AH46" s="511"/>
      <c r="AI46" s="511"/>
      <c r="AJ46" s="511"/>
      <c r="AK46" s="511"/>
      <c r="AL46" s="511"/>
      <c r="AM46" s="511"/>
      <c r="AN46" s="511"/>
      <c r="AO46" s="511"/>
      <c r="AP46" s="511"/>
      <c r="AQ46" s="511"/>
      <c r="AR46" s="511"/>
      <c r="AS46" s="511"/>
      <c r="AT46" s="511"/>
      <c r="AU46" s="511"/>
    </row>
    <row r="47" spans="2:47" x14ac:dyDescent="0.25">
      <c r="B47" s="519">
        <f t="shared" ref="B47:C47" si="8">B46+1</f>
        <v>2048</v>
      </c>
      <c r="C47" s="528">
        <f t="shared" si="8"/>
        <v>27</v>
      </c>
      <c r="D47" s="225">
        <f t="shared" si="1"/>
        <v>23</v>
      </c>
      <c r="E47" s="283">
        <f>SUM($I$6:$M$6)*'A - Inputs'!$E134/'A - Inputs'!$E$108</f>
        <v>28.624048685882428</v>
      </c>
      <c r="F47" s="283">
        <f>IF(B47&gt;=BenefitStart,(SUM($I$6:$M$6)*'A - Inputs'!$F134/'A - Inputs'!$F$108)*$U$27,SUM($I$6:$M$6)*'A - Inputs'!$F134/'A - Inputs'!$F$108)</f>
        <v>5.4958173476894245</v>
      </c>
      <c r="G47" s="530">
        <f t="shared" si="2"/>
        <v>4538543.2874874603</v>
      </c>
      <c r="H47" s="530">
        <f t="shared" si="3"/>
        <v>871400.31119759206</v>
      </c>
      <c r="I47" s="158">
        <f t="shared" si="5"/>
        <v>3667142.9762898684</v>
      </c>
      <c r="J47" s="163">
        <f>$I47/(1+disc2)^($B47-'A - Inputs'!$C$6)</f>
        <v>551546.41693219426</v>
      </c>
      <c r="K47" s="283"/>
      <c r="L47" s="283"/>
      <c r="M47" s="511"/>
      <c r="N47" s="511"/>
      <c r="O47" s="511"/>
      <c r="P47"/>
      <c r="Q47"/>
      <c r="R47"/>
      <c r="S47"/>
      <c r="T47"/>
      <c r="U47"/>
      <c r="V47"/>
      <c r="W47"/>
      <c r="AF47" s="511"/>
      <c r="AG47" s="511"/>
      <c r="AH47" s="511"/>
      <c r="AI47" s="511"/>
      <c r="AJ47" s="511"/>
      <c r="AK47" s="511"/>
      <c r="AL47" s="511"/>
      <c r="AM47" s="511"/>
      <c r="AN47" s="511"/>
      <c r="AO47" s="511"/>
      <c r="AP47" s="511"/>
      <c r="AQ47" s="511"/>
      <c r="AR47" s="511"/>
      <c r="AS47" s="511"/>
      <c r="AT47" s="511"/>
      <c r="AU47" s="511"/>
    </row>
    <row r="48" spans="2:47" x14ac:dyDescent="0.25">
      <c r="B48" s="519">
        <f t="shared" ref="B48:C50" si="9">B47+1</f>
        <v>2049</v>
      </c>
      <c r="C48" s="528">
        <f t="shared" si="9"/>
        <v>28</v>
      </c>
      <c r="D48" s="225">
        <f t="shared" si="1"/>
        <v>24</v>
      </c>
      <c r="E48" s="283">
        <f>SUM($I$6:$M$6)*'A - Inputs'!$E135/'A - Inputs'!$E$108</f>
        <v>28.748050558416367</v>
      </c>
      <c r="F48" s="283">
        <f>IF(B48&gt;=BenefitStart,(SUM($I$6:$M$6)*'A - Inputs'!$F135/'A - Inputs'!$F$108)*$U$27,SUM($I$6:$M$6)*'A - Inputs'!$F135/'A - Inputs'!$F$108)</f>
        <v>5.5196257072159405</v>
      </c>
      <c r="G48" s="530">
        <f t="shared" si="2"/>
        <v>4558204.6523908237</v>
      </c>
      <c r="H48" s="530">
        <f t="shared" si="3"/>
        <v>875175.29325903789</v>
      </c>
      <c r="I48" s="158">
        <f t="shared" si="5"/>
        <v>3683029.359131786</v>
      </c>
      <c r="J48" s="163">
        <f>$I48/(1+disc2)^($B48-'A - Inputs'!$C$6)</f>
        <v>517696.97575619927</v>
      </c>
      <c r="K48" s="283"/>
      <c r="L48" s="283"/>
      <c r="M48" s="511"/>
      <c r="N48" s="511"/>
      <c r="O48" s="511"/>
      <c r="P48"/>
      <c r="Q48"/>
      <c r="R48"/>
      <c r="S48"/>
      <c r="T48"/>
      <c r="U48"/>
      <c r="V48"/>
      <c r="W48"/>
      <c r="AF48" s="511"/>
      <c r="AG48" s="511"/>
      <c r="AH48" s="511"/>
      <c r="AI48" s="511"/>
      <c r="AJ48" s="511"/>
      <c r="AK48" s="511"/>
      <c r="AL48" s="511"/>
      <c r="AM48" s="511"/>
      <c r="AN48" s="511"/>
      <c r="AO48" s="511"/>
      <c r="AP48" s="511"/>
      <c r="AQ48" s="511"/>
      <c r="AR48" s="511"/>
      <c r="AS48" s="511"/>
      <c r="AT48" s="511"/>
      <c r="AU48" s="511"/>
    </row>
    <row r="49" spans="2:47" x14ac:dyDescent="0.25">
      <c r="B49" s="519">
        <f t="shared" si="9"/>
        <v>2050</v>
      </c>
      <c r="C49" s="528">
        <f t="shared" si="9"/>
        <v>29</v>
      </c>
      <c r="D49" s="225">
        <f t="shared" si="1"/>
        <v>25</v>
      </c>
      <c r="E49" s="283">
        <f>SUM($I$6:$M$6)*'A - Inputs'!$E136/'A - Inputs'!$E$108</f>
        <v>28.872052430950308</v>
      </c>
      <c r="F49" s="283">
        <f>IF(B49&gt;=BenefitStart,(SUM($I$6:$M$6)*'A - Inputs'!$F136/'A - Inputs'!$F$108)*$U$27,SUM($I$6:$M$6)*'A - Inputs'!$F136/'A - Inputs'!$F$108)</f>
        <v>5.5434340667424573</v>
      </c>
      <c r="G49" s="530">
        <f t="shared" si="2"/>
        <v>4577866.017294188</v>
      </c>
      <c r="H49" s="530">
        <f t="shared" si="3"/>
        <v>878950.27532048384</v>
      </c>
      <c r="I49" s="158">
        <f t="shared" si="5"/>
        <v>3698915.7419737042</v>
      </c>
      <c r="J49" s="163">
        <f>$I49/(1+disc2)^($B49-'A - Inputs'!$C$6)</f>
        <v>485915.89762081607</v>
      </c>
      <c r="K49" s="283"/>
      <c r="L49" s="283"/>
      <c r="M49" s="511"/>
      <c r="N49" s="511"/>
      <c r="O49" s="511"/>
      <c r="P49"/>
      <c r="Q49"/>
      <c r="R49"/>
      <c r="S49"/>
      <c r="T49"/>
      <c r="U49"/>
      <c r="V49"/>
      <c r="W49"/>
      <c r="AF49" s="511"/>
      <c r="AG49" s="511"/>
      <c r="AH49" s="511"/>
      <c r="AI49" s="511"/>
      <c r="AJ49" s="511"/>
      <c r="AK49" s="511"/>
      <c r="AL49" s="511"/>
      <c r="AM49" s="511"/>
      <c r="AN49" s="511"/>
      <c r="AO49" s="511"/>
      <c r="AP49" s="511"/>
      <c r="AQ49" s="511"/>
      <c r="AR49" s="511"/>
      <c r="AS49" s="511"/>
      <c r="AT49" s="511"/>
      <c r="AU49" s="511"/>
    </row>
    <row r="50" spans="2:47" x14ac:dyDescent="0.25">
      <c r="B50" s="519">
        <f t="shared" si="9"/>
        <v>2051</v>
      </c>
      <c r="C50" s="528">
        <f t="shared" si="9"/>
        <v>30</v>
      </c>
      <c r="D50" s="225">
        <f t="shared" si="1"/>
        <v>26</v>
      </c>
      <c r="E50" s="283">
        <f>SUM($I$6:$M$6)*'A - Inputs'!$E137/'A - Inputs'!$E$108</f>
        <v>28.996054303484247</v>
      </c>
      <c r="F50" s="283">
        <f>IF(B50&gt;=BenefitStart,(SUM($I$6:$M$6)*'A - Inputs'!$F137/'A - Inputs'!$F$108)*$U$27,SUM($I$6:$M$6)*'A - Inputs'!$F137/'A - Inputs'!$F$108)</f>
        <v>5.5672424262689741</v>
      </c>
      <c r="G50" s="530">
        <f t="shared" si="2"/>
        <v>4597527.3821975514</v>
      </c>
      <c r="H50" s="530">
        <f t="shared" si="3"/>
        <v>882725.25738192978</v>
      </c>
      <c r="I50" s="158">
        <f t="shared" si="5"/>
        <v>3714802.1248156214</v>
      </c>
      <c r="J50" s="163">
        <f>$I50/(1+disc2)^($B50-'A - Inputs'!$C$6)</f>
        <v>456077.42610913346</v>
      </c>
      <c r="K50" s="283"/>
      <c r="L50" s="283"/>
      <c r="M50" s="511"/>
      <c r="N50" s="511"/>
      <c r="O50" s="511"/>
      <c r="P50"/>
      <c r="Q50"/>
      <c r="R50"/>
      <c r="S50"/>
      <c r="T50"/>
      <c r="U50"/>
      <c r="V50"/>
      <c r="W50"/>
      <c r="AF50" s="511"/>
      <c r="AG50" s="511"/>
      <c r="AH50" s="511"/>
      <c r="AI50" s="511"/>
      <c r="AJ50" s="511"/>
      <c r="AK50" s="511"/>
      <c r="AL50" s="511"/>
      <c r="AM50" s="511"/>
      <c r="AN50" s="511"/>
      <c r="AO50" s="511"/>
      <c r="AP50" s="511"/>
      <c r="AQ50" s="511"/>
      <c r="AR50" s="511"/>
      <c r="AS50" s="511"/>
      <c r="AT50" s="511"/>
      <c r="AU50" s="511"/>
    </row>
    <row r="51" spans="2:47" x14ac:dyDescent="0.25">
      <c r="B51" s="280" t="s">
        <v>81</v>
      </c>
      <c r="C51" s="281"/>
      <c r="D51" s="282"/>
      <c r="E51" s="322"/>
      <c r="F51" s="306"/>
      <c r="G51" s="280"/>
      <c r="H51" s="280"/>
      <c r="I51" s="286">
        <f>SUM(I21:I50)</f>
        <v>91421780.821582824</v>
      </c>
      <c r="J51" s="285">
        <f>SUM(J21:J50)</f>
        <v>29162190.513450101</v>
      </c>
      <c r="K51" s="280"/>
      <c r="L51" s="280"/>
      <c r="M51" s="511"/>
      <c r="N51" s="511"/>
      <c r="O51" s="511"/>
      <c r="P51"/>
      <c r="Q51"/>
      <c r="R51"/>
      <c r="S51"/>
      <c r="T51"/>
      <c r="U51"/>
      <c r="V51"/>
      <c r="W51"/>
      <c r="AF51" s="511"/>
      <c r="AG51" s="511"/>
      <c r="AH51" s="511"/>
      <c r="AI51" s="511"/>
      <c r="AJ51" s="511"/>
      <c r="AK51" s="511"/>
      <c r="AL51" s="511"/>
      <c r="AM51" s="511"/>
      <c r="AN51" s="511"/>
      <c r="AO51" s="511"/>
      <c r="AP51" s="511"/>
      <c r="AQ51" s="511"/>
      <c r="AR51" s="511"/>
      <c r="AS51" s="511"/>
      <c r="AT51" s="511"/>
      <c r="AU51" s="511"/>
    </row>
    <row r="52" spans="2:47" x14ac:dyDescent="0.25">
      <c r="B52" s="511"/>
      <c r="C52" s="511"/>
      <c r="D52" s="511"/>
      <c r="E52" s="511"/>
      <c r="F52" s="511"/>
      <c r="G52" s="63"/>
      <c r="H52" s="511"/>
      <c r="I52" s="511"/>
      <c r="J52" s="511"/>
      <c r="K52" s="511"/>
      <c r="L52" s="511"/>
      <c r="M52" s="511"/>
      <c r="N52" s="511"/>
      <c r="O52" s="511"/>
      <c r="P52" s="511"/>
      <c r="Q52" s="529"/>
      <c r="R52" s="511"/>
      <c r="S52" s="511"/>
      <c r="T52"/>
      <c r="U52"/>
      <c r="V52"/>
      <c r="W52"/>
      <c r="AI52" s="511"/>
      <c r="AJ52" s="511"/>
      <c r="AK52" s="511"/>
      <c r="AL52" s="511"/>
      <c r="AM52" s="511"/>
      <c r="AN52" s="511"/>
      <c r="AO52" s="511"/>
      <c r="AP52" s="511"/>
      <c r="AQ52" s="511"/>
      <c r="AR52" s="511"/>
      <c r="AS52" s="511"/>
      <c r="AT52" s="511"/>
      <c r="AU52" s="511"/>
    </row>
    <row r="53" spans="2:47" ht="43.15" customHeight="1" x14ac:dyDescent="0.25">
      <c r="B53" s="525"/>
      <c r="C53" s="525"/>
      <c r="D53" s="525"/>
      <c r="F53" s="106"/>
      <c r="H53" s="545"/>
      <c r="Q53"/>
      <c r="R53" s="511"/>
      <c r="S53" s="522"/>
      <c r="T53" s="511"/>
      <c r="U53"/>
      <c r="V53"/>
      <c r="W53"/>
      <c r="AK53" s="511"/>
      <c r="AL53" s="511"/>
      <c r="AM53" s="511"/>
      <c r="AN53" s="511"/>
      <c r="AO53" s="511"/>
      <c r="AP53" s="511"/>
      <c r="AQ53" s="511"/>
      <c r="AR53" s="511"/>
      <c r="AS53" s="511"/>
      <c r="AT53" s="511"/>
      <c r="AU53" s="511"/>
    </row>
    <row r="54" spans="2:47" x14ac:dyDescent="0.25">
      <c r="B54" s="511"/>
      <c r="C54" s="511"/>
      <c r="D54" s="511"/>
      <c r="E54" s="511"/>
      <c r="F54" s="511"/>
      <c r="G54" s="511"/>
      <c r="H54" s="511"/>
      <c r="I54" s="511"/>
      <c r="J54" s="511"/>
      <c r="K54" s="511"/>
      <c r="L54" s="517"/>
      <c r="M54" s="517"/>
      <c r="Q54" s="517"/>
      <c r="R54" s="511"/>
      <c r="S54" s="511"/>
      <c r="T54"/>
      <c r="U54"/>
      <c r="V54"/>
      <c r="W54"/>
      <c r="AI54" s="511"/>
      <c r="AJ54" s="511"/>
      <c r="AK54" s="511"/>
      <c r="AL54" s="511"/>
      <c r="AM54" s="511"/>
      <c r="AN54" s="511"/>
      <c r="AO54" s="511"/>
      <c r="AP54" s="511"/>
      <c r="AQ54" s="511"/>
      <c r="AR54" s="511"/>
      <c r="AS54" s="511"/>
      <c r="AT54" s="511"/>
      <c r="AU54" s="511"/>
    </row>
    <row r="55" spans="2:47" x14ac:dyDescent="0.25">
      <c r="B55" s="511"/>
      <c r="C55" s="511"/>
      <c r="D55" s="511"/>
      <c r="E55" s="511"/>
      <c r="F55" s="511"/>
      <c r="G55" s="511"/>
      <c r="H55" s="511"/>
      <c r="I55" s="511"/>
      <c r="J55" s="511"/>
      <c r="K55" s="511"/>
      <c r="L55" s="511"/>
      <c r="M55" s="511"/>
      <c r="N55" s="511"/>
      <c r="O55" s="517"/>
      <c r="P55" s="517"/>
      <c r="Q55" s="517"/>
      <c r="R55" s="511"/>
      <c r="S55" s="511"/>
      <c r="T55"/>
      <c r="U55"/>
      <c r="V55"/>
      <c r="W55"/>
      <c r="AI55" s="511"/>
      <c r="AJ55" s="511"/>
      <c r="AK55" s="511"/>
      <c r="AL55" s="511"/>
      <c r="AM55" s="511"/>
      <c r="AN55" s="511"/>
      <c r="AO55" s="511"/>
      <c r="AP55" s="511"/>
      <c r="AQ55" s="511"/>
      <c r="AR55" s="511"/>
      <c r="AS55" s="511"/>
      <c r="AT55" s="511"/>
      <c r="AU55" s="511"/>
    </row>
  </sheetData>
  <mergeCells count="5">
    <mergeCell ref="N4:R4"/>
    <mergeCell ref="D4:H4"/>
    <mergeCell ref="I4:M4"/>
    <mergeCell ref="E17:F17"/>
    <mergeCell ref="G17:H17"/>
  </mergeCells>
  <phoneticPr fontId="44" type="noConversion"/>
  <hyperlinks>
    <hyperlink ref="Y16" r:id="rId1" xr:uid="{9B2079E8-8DFB-4FA8-B50F-4E82495C9ABF}"/>
    <hyperlink ref="U12" r:id="rId2" xr:uid="{ADB485AE-09A9-4DE4-AFA4-A04BF3749D00}"/>
    <hyperlink ref="AA16" r:id="rId3" display="https://www.cmfclearinghouse.org/detail.cfm?facid=4870" xr:uid="{5B3B4515-D12C-4FF7-A1F8-C4871F2D9ACC}"/>
    <hyperlink ref="Y17" r:id="rId4" xr:uid="{8B13DCFE-085C-4C70-8F4A-60DB654A116A}"/>
  </hyperlinks>
  <pageMargins left="0.7" right="0.7" top="0.75" bottom="0.75" header="0.3" footer="0.3"/>
  <pageSetup scale="50" fitToWidth="0" fitToHeight="0" orientation="landscape" r:id="rId5"/>
  <headerFooter>
    <oddHeader>&amp;L&amp;"Arial,Bold"Post and McDuff Innovative Rail Crossing
CRISI 2022 BCA&amp;C
&amp;R&amp;"Arial,Bold"&amp;A</oddHeader>
    <oddFooter>&amp;CPage G-&amp;P</oddFooter>
  </headerFooter>
  <colBreaks count="2" manualBreakCount="2">
    <brk id="13" max="15" man="1"/>
    <brk id="19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B80E0-9218-496F-9A84-4FBFBA37AF6F}">
  <sheetPr codeName="Sheet9">
    <tabColor theme="6" tint="0.39997558519241921"/>
  </sheetPr>
  <dimension ref="A1:AP47"/>
  <sheetViews>
    <sheetView topLeftCell="A13" workbookViewId="0">
      <selection activeCell="D15" sqref="D15"/>
    </sheetView>
  </sheetViews>
  <sheetFormatPr defaultColWidth="8.7109375" defaultRowHeight="15" x14ac:dyDescent="0.25"/>
  <cols>
    <col min="1" max="1" width="3.5703125" style="15" customWidth="1"/>
    <col min="2" max="6" width="14.85546875" style="15" customWidth="1"/>
    <col min="7" max="7" width="14.85546875" style="12" customWidth="1"/>
    <col min="8" max="8" width="11.140625" style="12" bestFit="1" customWidth="1"/>
    <col min="9" max="9" width="18.140625" style="15" bestFit="1" customWidth="1"/>
    <col min="10" max="10" width="14" style="15" bestFit="1" customWidth="1"/>
    <col min="11" max="11" width="9.28515625" style="15" bestFit="1" customWidth="1"/>
    <col min="12" max="12" width="14" style="15" bestFit="1" customWidth="1"/>
    <col min="13" max="13" width="9.28515625" style="15" bestFit="1" customWidth="1"/>
    <col min="14" max="14" width="14.5703125" style="15" bestFit="1" customWidth="1"/>
    <col min="15" max="15" width="10.7109375" style="15" bestFit="1" customWidth="1"/>
    <col min="16" max="16" width="14.5703125" style="15" bestFit="1" customWidth="1"/>
    <col min="17" max="17" width="17.85546875" style="15" bestFit="1" customWidth="1"/>
    <col min="18" max="20" width="10.28515625" customWidth="1"/>
    <col min="21" max="23" width="12" bestFit="1" customWidth="1"/>
    <col min="24" max="24" width="13.7109375" customWidth="1"/>
    <col min="43" max="16384" width="8.7109375" style="15"/>
  </cols>
  <sheetData>
    <row r="1" spans="1:42" s="22" customFormat="1" x14ac:dyDescent="0.25">
      <c r="A1" s="124" t="str" cm="1">
        <f t="array" aca="1" ref="A1" ca="1">MID(CELL("filename",A1),FIND("]",CELL("filename",A1))+1,255)</f>
        <v>I - Travel Time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</row>
    <row r="2" spans="1:42" customFormat="1" ht="12.75" x14ac:dyDescent="0.2"/>
    <row r="3" spans="1:42" s="22" customFormat="1" x14ac:dyDescent="0.25">
      <c r="B3" s="289" t="s">
        <v>192</v>
      </c>
      <c r="C3" s="288"/>
      <c r="D3" s="288"/>
      <c r="E3" s="288"/>
      <c r="F3" s="288"/>
      <c r="G3" s="288"/>
      <c r="I3" s="338" t="s">
        <v>274</v>
      </c>
      <c r="J3" s="338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</row>
    <row r="4" spans="1:42" s="14" customFormat="1" ht="30" x14ac:dyDescent="0.25">
      <c r="A4" s="523"/>
      <c r="B4" s="298" t="str">
        <f>'A - Inputs'!B24</f>
        <v>In-Vehicle Travel Time: All</v>
      </c>
      <c r="C4" s="531"/>
      <c r="D4" s="531"/>
      <c r="E4" s="531"/>
      <c r="F4" s="46">
        <f>'A - Inputs'!C24</f>
        <v>17.8</v>
      </c>
      <c r="G4" s="46" t="str">
        <f>'A - Inputs'!D24</f>
        <v>per hour</v>
      </c>
      <c r="H4" s="523"/>
      <c r="I4" s="548" t="s">
        <v>255</v>
      </c>
      <c r="J4" s="339"/>
      <c r="K4" s="523"/>
      <c r="L4" s="523"/>
      <c r="M4"/>
      <c r="N4" s="523"/>
      <c r="O4" s="526"/>
      <c r="P4" s="523"/>
      <c r="Q4" s="523"/>
      <c r="R4" s="100"/>
      <c r="S4" s="511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</row>
    <row r="5" spans="1:42" ht="15.6" customHeight="1" x14ac:dyDescent="0.25">
      <c r="A5" s="511"/>
      <c r="B5" s="298" t="str">
        <f>'A - Inputs'!B25</f>
        <v>Commercial Vehicle Operators Travel Time: Truck Drivers</v>
      </c>
      <c r="C5" s="532"/>
      <c r="D5" s="532"/>
      <c r="E5" s="532"/>
      <c r="F5" s="46">
        <f>'A - Inputs'!C25</f>
        <v>32</v>
      </c>
      <c r="G5" s="46" t="str">
        <f>'A - Inputs'!D25</f>
        <v>per hour</v>
      </c>
      <c r="H5" s="517"/>
      <c r="I5" s="533"/>
      <c r="J5" s="340"/>
      <c r="K5" s="511"/>
      <c r="L5" s="511"/>
      <c r="M5"/>
      <c r="N5" s="511"/>
      <c r="O5" s="517"/>
      <c r="P5" s="511"/>
      <c r="Q5" s="511"/>
      <c r="R5" s="100"/>
      <c r="S5" s="511"/>
    </row>
    <row r="6" spans="1:42" ht="15.6" customHeight="1" x14ac:dyDescent="0.25">
      <c r="A6" s="511"/>
      <c r="B6" s="299" t="str">
        <f>'A - Inputs'!B26</f>
        <v>Non-commercial vehicle occupants</v>
      </c>
      <c r="C6" s="532"/>
      <c r="D6" s="532"/>
      <c r="E6" s="532"/>
      <c r="F6" s="47">
        <f>'A - Inputs'!C26</f>
        <v>1.67</v>
      </c>
      <c r="G6" s="46"/>
      <c r="H6" s="517"/>
      <c r="I6" s="511"/>
      <c r="J6" s="511"/>
      <c r="K6" s="511"/>
      <c r="L6" s="511"/>
      <c r="M6"/>
      <c r="N6" s="511"/>
      <c r="O6" s="511"/>
      <c r="P6" s="511"/>
      <c r="Q6" s="511"/>
      <c r="R6" s="100"/>
    </row>
    <row r="7" spans="1:42" ht="15.6" customHeight="1" x14ac:dyDescent="0.25">
      <c r="A7" s="511"/>
      <c r="B7" s="299" t="str">
        <f>'A - Inputs'!B27</f>
        <v>Commercial vehicle occupants</v>
      </c>
      <c r="C7" s="532"/>
      <c r="D7" s="532"/>
      <c r="E7" s="532"/>
      <c r="F7" s="47">
        <f>'A - Inputs'!C27</f>
        <v>1</v>
      </c>
      <c r="G7" s="46"/>
      <c r="H7" s="517"/>
      <c r="I7" s="511"/>
      <c r="J7" s="511"/>
      <c r="K7" s="511"/>
      <c r="L7" s="511"/>
      <c r="M7"/>
      <c r="N7" s="511"/>
      <c r="O7" s="511"/>
      <c r="P7" s="511"/>
      <c r="Q7" s="511"/>
      <c r="R7" s="100"/>
    </row>
    <row r="8" spans="1:42" ht="15.6" customHeight="1" x14ac:dyDescent="0.25">
      <c r="A8" s="511"/>
      <c r="B8" s="300" t="str">
        <f>'A - Inputs'!B29</f>
        <v xml:space="preserve">Assumed Heavy Vehicle % </v>
      </c>
      <c r="C8" s="532"/>
      <c r="D8" s="532"/>
      <c r="E8" s="532"/>
      <c r="F8" s="48">
        <f>'A - Inputs'!C29</f>
        <v>0.02</v>
      </c>
      <c r="G8" s="49"/>
      <c r="H8" s="517"/>
      <c r="I8" s="511"/>
      <c r="J8" s="511"/>
      <c r="K8" s="511"/>
      <c r="L8" s="511"/>
      <c r="M8"/>
      <c r="N8" s="511"/>
      <c r="O8" s="511"/>
      <c r="P8" s="511"/>
      <c r="Q8" s="511"/>
      <c r="R8" s="100"/>
    </row>
    <row r="9" spans="1:42" ht="15.6" customHeight="1" x14ac:dyDescent="0.25">
      <c r="A9" s="511"/>
      <c r="B9" s="300"/>
      <c r="C9" s="532"/>
      <c r="D9" s="532"/>
      <c r="E9" s="532"/>
      <c r="F9" s="48"/>
      <c r="G9" s="49"/>
      <c r="H9" s="517"/>
      <c r="I9" s="511"/>
      <c r="J9" s="511"/>
      <c r="K9" s="511"/>
      <c r="L9" s="511"/>
      <c r="M9"/>
      <c r="N9" s="511"/>
      <c r="O9" s="511"/>
      <c r="P9" s="511"/>
      <c r="Q9" s="511"/>
      <c r="R9" s="100"/>
    </row>
    <row r="10" spans="1:42" ht="15.6" customHeight="1" x14ac:dyDescent="0.25">
      <c r="A10" s="511"/>
      <c r="B10" s="300"/>
      <c r="C10" s="532"/>
      <c r="D10" s="532"/>
      <c r="E10" s="532"/>
      <c r="F10" s="48"/>
      <c r="G10" s="49"/>
      <c r="H10" s="517"/>
      <c r="I10" s="511"/>
      <c r="J10" s="511"/>
      <c r="K10" s="511"/>
      <c r="L10" s="511"/>
      <c r="M10"/>
      <c r="N10" s="511"/>
      <c r="O10" s="511"/>
      <c r="P10" s="511"/>
      <c r="Q10" s="511"/>
      <c r="R10" s="100"/>
    </row>
    <row r="11" spans="1:42" x14ac:dyDescent="0.25">
      <c r="A11" s="511"/>
      <c r="B11" s="289" t="s">
        <v>79</v>
      </c>
      <c r="C11" s="288"/>
      <c r="D11" s="288"/>
      <c r="E11" s="288"/>
      <c r="F11" s="288"/>
      <c r="G11" s="288"/>
      <c r="H11" s="288"/>
      <c r="I11" s="288"/>
      <c r="J11" s="288"/>
      <c r="K11" s="288"/>
      <c r="L11" s="288"/>
      <c r="M11" s="288"/>
      <c r="N11" s="288"/>
      <c r="O11" s="288"/>
      <c r="P11" s="288"/>
      <c r="Q11" s="288"/>
      <c r="R11" s="100"/>
    </row>
    <row r="12" spans="1:42" s="50" customFormat="1" x14ac:dyDescent="0.25">
      <c r="C12" s="51"/>
      <c r="D12" s="671" t="s">
        <v>339</v>
      </c>
      <c r="E12" s="672"/>
      <c r="F12" s="2" t="s">
        <v>193</v>
      </c>
      <c r="G12" s="2"/>
      <c r="H12" s="2"/>
      <c r="I12" s="3"/>
      <c r="J12" s="2" t="s">
        <v>194</v>
      </c>
      <c r="K12" s="3"/>
      <c r="L12" s="2" t="s">
        <v>195</v>
      </c>
      <c r="M12" s="3"/>
      <c r="N12" s="2" t="s">
        <v>196</v>
      </c>
      <c r="O12" s="3"/>
      <c r="P12"/>
      <c r="Q12" s="97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</row>
    <row r="13" spans="1:42" x14ac:dyDescent="0.25">
      <c r="A13" s="511"/>
      <c r="B13" s="511"/>
      <c r="C13" s="527"/>
      <c r="D13" s="673"/>
      <c r="E13" s="674"/>
      <c r="F13" s="2" t="s">
        <v>197</v>
      </c>
      <c r="G13" s="534"/>
      <c r="H13" s="2" t="s">
        <v>198</v>
      </c>
      <c r="I13" s="535"/>
      <c r="J13" s="2" t="s">
        <v>199</v>
      </c>
      <c r="K13" s="534"/>
      <c r="L13" s="2" t="s">
        <v>200</v>
      </c>
      <c r="M13" s="534"/>
      <c r="N13" s="2" t="s">
        <v>201</v>
      </c>
      <c r="O13" s="535"/>
      <c r="P13" s="2" t="s">
        <v>156</v>
      </c>
      <c r="Q13" s="3"/>
    </row>
    <row r="14" spans="1:42" s="14" customFormat="1" ht="45" customHeight="1" x14ac:dyDescent="0.25">
      <c r="A14" s="523"/>
      <c r="B14" s="18" t="s">
        <v>36</v>
      </c>
      <c r="C14" s="278" t="s">
        <v>37</v>
      </c>
      <c r="D14" s="18" t="s">
        <v>39</v>
      </c>
      <c r="E14" s="291" t="s">
        <v>40</v>
      </c>
      <c r="F14" s="18" t="str">
        <f>D14</f>
        <v>No Build</v>
      </c>
      <c r="G14" s="278" t="str">
        <f t="shared" ref="G14" si="0">E14</f>
        <v>Build</v>
      </c>
      <c r="H14" s="18" t="str">
        <f>F14</f>
        <v>No Build</v>
      </c>
      <c r="I14" s="278" t="str">
        <f>G14</f>
        <v>Build</v>
      </c>
      <c r="J14" s="18" t="str">
        <f>F13</f>
        <v>Passenger Vehicle</v>
      </c>
      <c r="K14" s="113" t="str">
        <f>H13</f>
        <v>Trucks</v>
      </c>
      <c r="L14" s="18" t="str">
        <f>J14</f>
        <v>Passenger Vehicle</v>
      </c>
      <c r="M14" s="113" t="str">
        <f>K14</f>
        <v>Trucks</v>
      </c>
      <c r="N14" s="18" t="str">
        <f>L14</f>
        <v>Passenger Vehicle</v>
      </c>
      <c r="O14" s="113" t="str">
        <f t="shared" ref="O14" si="1">M14</f>
        <v>Trucks</v>
      </c>
      <c r="P14" s="19" t="s">
        <v>81</v>
      </c>
      <c r="Q14" s="20" t="str">
        <f>"Present Value ("&amp;TEXT(disc2,"0%")&amp;" Discount Rate)"</f>
        <v>Present Value (7% Discount Rate)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</row>
    <row r="15" spans="1:42" x14ac:dyDescent="0.25">
      <c r="A15" s="511"/>
      <c r="B15" s="279">
        <f>'A - Inputs'!$C$7</f>
        <v>2022</v>
      </c>
      <c r="C15" s="109">
        <v>1</v>
      </c>
      <c r="D15" s="341">
        <f>(('A - Inputs'!E35*'A - Inputs'!E71)+('A - Inputs'!G35*'A - Inputs'!G71))/3600*2</f>
        <v>45305.888000000006</v>
      </c>
      <c r="E15" s="342">
        <f>IF(B15&gt;=BenefitStart,(('A - Inputs'!F35*'A - Inputs'!F71)+('A - Inputs'!H35*'A - Inputs'!H71))/3600*2, D15)</f>
        <v>45305.888000000006</v>
      </c>
      <c r="F15" s="284">
        <f>D15*(1-$F$8)</f>
        <v>44399.770240000005</v>
      </c>
      <c r="G15" s="292">
        <f>E15*(1-$F$8)</f>
        <v>44399.770240000005</v>
      </c>
      <c r="H15" s="284">
        <f>D15-F15</f>
        <v>906.117760000001</v>
      </c>
      <c r="I15" s="292">
        <f>E15-G15</f>
        <v>906.117760000001</v>
      </c>
      <c r="J15" s="284">
        <f>F15-G15</f>
        <v>0</v>
      </c>
      <c r="K15" s="292">
        <f>H15-I15</f>
        <v>0</v>
      </c>
      <c r="L15" s="284">
        <f>$F$6*J15</f>
        <v>0</v>
      </c>
      <c r="M15" s="292">
        <f t="shared" ref="M15:M44" si="2">$F$7*K15</f>
        <v>0</v>
      </c>
      <c r="N15" s="293">
        <f>$F$4*L15</f>
        <v>0</v>
      </c>
      <c r="O15" s="294">
        <f t="shared" ref="O15:O44" si="3">$F$5*M15</f>
        <v>0</v>
      </c>
      <c r="P15" s="158">
        <f>SUM(N15:O15)</f>
        <v>0</v>
      </c>
      <c r="Q15" s="163">
        <f>P15/(1+disc2)^($B15-'A - Inputs'!$C$6)</f>
        <v>0</v>
      </c>
    </row>
    <row r="16" spans="1:42" x14ac:dyDescent="0.25">
      <c r="A16" s="511"/>
      <c r="B16" s="519">
        <f t="shared" ref="B16:B44" si="4">B15+1</f>
        <v>2023</v>
      </c>
      <c r="C16" s="528">
        <f t="shared" ref="C16:C44" si="5">C15+1</f>
        <v>2</v>
      </c>
      <c r="D16" s="341">
        <f>(('A - Inputs'!E36*'A - Inputs'!E72)+('A - Inputs'!G36*'A - Inputs'!G72))/3600*2</f>
        <v>45980.280532986108</v>
      </c>
      <c r="E16" s="342">
        <f>IF(B16&gt;=BenefitStart,(('A - Inputs'!F36*'A - Inputs'!F72)+('A - Inputs'!H36*'A - Inputs'!H72))/3600*2, D16)</f>
        <v>45980.280532986108</v>
      </c>
      <c r="F16" s="284">
        <f>D16*(1-$F$8)</f>
        <v>45060.674922326383</v>
      </c>
      <c r="G16" s="292">
        <f>E16*(1-$F$8)</f>
        <v>45060.674922326383</v>
      </c>
      <c r="H16" s="284">
        <f t="shared" ref="H16:H44" si="6">D16-F16</f>
        <v>919.60561065972433</v>
      </c>
      <c r="I16" s="292">
        <f t="shared" ref="I16:I44" si="7">E16-G16</f>
        <v>919.60561065972433</v>
      </c>
      <c r="J16" s="284">
        <f>F16-G16</f>
        <v>0</v>
      </c>
      <c r="K16" s="292">
        <f t="shared" ref="K16:K44" si="8">H16-I16</f>
        <v>0</v>
      </c>
      <c r="L16" s="284">
        <f>$F$6*J16</f>
        <v>0</v>
      </c>
      <c r="M16" s="292">
        <f t="shared" si="2"/>
        <v>0</v>
      </c>
      <c r="N16" s="293">
        <f t="shared" ref="N16:N44" si="9">$F$4*L16</f>
        <v>0</v>
      </c>
      <c r="O16" s="294">
        <f t="shared" si="3"/>
        <v>0</v>
      </c>
      <c r="P16" s="158">
        <f t="shared" ref="P16:P44" si="10">SUM(N16:O16)</f>
        <v>0</v>
      </c>
      <c r="Q16" s="163">
        <f>P16/(1+disc2)^($B16-'A - Inputs'!$C$6)</f>
        <v>0</v>
      </c>
    </row>
    <row r="17" spans="1:42" x14ac:dyDescent="0.25">
      <c r="A17" s="511"/>
      <c r="B17" s="519">
        <f t="shared" si="4"/>
        <v>2024</v>
      </c>
      <c r="C17" s="528">
        <f t="shared" si="5"/>
        <v>3</v>
      </c>
      <c r="D17" s="341">
        <f>(('A - Inputs'!E37*'A - Inputs'!E73)+('A - Inputs'!G37*'A - Inputs'!G73))/3600*2</f>
        <v>46659.096673611108</v>
      </c>
      <c r="E17" s="342">
        <f>IF(B17&gt;=BenefitStart,(('A - Inputs'!F37*'A - Inputs'!F73)+('A - Inputs'!H37*'A - Inputs'!H73))/3600*2, D17)</f>
        <v>46659.096673611108</v>
      </c>
      <c r="F17" s="284">
        <f t="shared" ref="F17:F44" si="11">D17*(1-$F$8)</f>
        <v>45725.914740138884</v>
      </c>
      <c r="G17" s="292">
        <f t="shared" ref="G17:G44" si="12">E17*(1-$F$8)</f>
        <v>45725.914740138884</v>
      </c>
      <c r="H17" s="284">
        <f t="shared" si="6"/>
        <v>933.18193347222405</v>
      </c>
      <c r="I17" s="292">
        <f t="shared" si="7"/>
        <v>933.18193347222405</v>
      </c>
      <c r="J17" s="284">
        <f t="shared" ref="J17:J44" si="13">F17-G17</f>
        <v>0</v>
      </c>
      <c r="K17" s="292">
        <f t="shared" si="8"/>
        <v>0</v>
      </c>
      <c r="L17" s="284">
        <f t="shared" ref="L17:L44" si="14">$F$6*J17</f>
        <v>0</v>
      </c>
      <c r="M17" s="292">
        <f t="shared" si="2"/>
        <v>0</v>
      </c>
      <c r="N17" s="293">
        <f t="shared" si="9"/>
        <v>0</v>
      </c>
      <c r="O17" s="294">
        <f t="shared" si="3"/>
        <v>0</v>
      </c>
      <c r="P17" s="158">
        <f t="shared" si="10"/>
        <v>0</v>
      </c>
      <c r="Q17" s="163">
        <f>P17/(1+disc2)^($B17-'A - Inputs'!$C$6)</f>
        <v>0</v>
      </c>
    </row>
    <row r="18" spans="1:42" x14ac:dyDescent="0.25">
      <c r="A18" s="511"/>
      <c r="B18" s="519">
        <f t="shared" si="4"/>
        <v>2025</v>
      </c>
      <c r="C18" s="528">
        <f t="shared" si="5"/>
        <v>4</v>
      </c>
      <c r="D18" s="341">
        <f>(('A - Inputs'!E38*'A - Inputs'!E74)+('A - Inputs'!G38*'A - Inputs'!G74))/3600*2</f>
        <v>47342.336421874999</v>
      </c>
      <c r="E18" s="342">
        <f>IF(B18&gt;=BenefitStart,(('A - Inputs'!F38*'A - Inputs'!F74)+('A - Inputs'!H38*'A - Inputs'!H74))/3600*2, D18)</f>
        <v>47342.336421874999</v>
      </c>
      <c r="F18" s="284">
        <f t="shared" si="11"/>
        <v>46395.489693437499</v>
      </c>
      <c r="G18" s="292">
        <f t="shared" si="12"/>
        <v>46395.489693437499</v>
      </c>
      <c r="H18" s="284">
        <f t="shared" si="6"/>
        <v>946.84672843750013</v>
      </c>
      <c r="I18" s="292">
        <f t="shared" si="7"/>
        <v>946.84672843750013</v>
      </c>
      <c r="J18" s="284">
        <f t="shared" si="13"/>
        <v>0</v>
      </c>
      <c r="K18" s="292">
        <f t="shared" si="8"/>
        <v>0</v>
      </c>
      <c r="L18" s="284">
        <f t="shared" si="14"/>
        <v>0</v>
      </c>
      <c r="M18" s="292">
        <f t="shared" si="2"/>
        <v>0</v>
      </c>
      <c r="N18" s="293">
        <f t="shared" si="9"/>
        <v>0</v>
      </c>
      <c r="O18" s="294">
        <f t="shared" si="3"/>
        <v>0</v>
      </c>
      <c r="P18" s="158">
        <f t="shared" si="10"/>
        <v>0</v>
      </c>
      <c r="Q18" s="163">
        <f>P18/(1+disc2)^($B18-'A - Inputs'!$C$6)</f>
        <v>0</v>
      </c>
    </row>
    <row r="19" spans="1:42" x14ac:dyDescent="0.25">
      <c r="B19" s="519">
        <f t="shared" si="4"/>
        <v>2026</v>
      </c>
      <c r="C19" s="528">
        <f t="shared" si="5"/>
        <v>5</v>
      </c>
      <c r="D19" s="341">
        <f>(('A - Inputs'!E39*'A - Inputs'!E75)+('A - Inputs'!G39*'A - Inputs'!G75))/3600*2</f>
        <v>48029.999777777775</v>
      </c>
      <c r="E19" s="342">
        <f>IF(B19&gt;=BenefitStart,(('A - Inputs'!F39*'A - Inputs'!F75)+('A - Inputs'!H39*'A - Inputs'!H75))/3600*2, D19)</f>
        <v>9794.8402222222212</v>
      </c>
      <c r="F19" s="284">
        <f t="shared" si="11"/>
        <v>47069.399782222215</v>
      </c>
      <c r="G19" s="292">
        <f t="shared" si="12"/>
        <v>9598.9434177777766</v>
      </c>
      <c r="H19" s="284">
        <f t="shared" si="6"/>
        <v>960.59999555555987</v>
      </c>
      <c r="I19" s="292">
        <f t="shared" si="7"/>
        <v>195.89680444444457</v>
      </c>
      <c r="J19" s="284">
        <f t="shared" si="13"/>
        <v>37470.456364444442</v>
      </c>
      <c r="K19" s="292">
        <f t="shared" si="8"/>
        <v>764.7031911111153</v>
      </c>
      <c r="L19" s="284">
        <f t="shared" si="14"/>
        <v>62575.662128622214</v>
      </c>
      <c r="M19" s="292">
        <f>$F$7*K19</f>
        <v>764.7031911111153</v>
      </c>
      <c r="N19" s="293">
        <f t="shared" si="9"/>
        <v>1113846.7858894754</v>
      </c>
      <c r="O19" s="294">
        <f t="shared" si="3"/>
        <v>24470.50211555569</v>
      </c>
      <c r="P19" s="158">
        <f t="shared" si="10"/>
        <v>1138317.2880050312</v>
      </c>
      <c r="Q19" s="163">
        <f>P19/(1+disc2)^($B19-'A - Inputs'!$C$6)</f>
        <v>758508.87309805409</v>
      </c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</row>
    <row r="20" spans="1:42" x14ac:dyDescent="0.25">
      <c r="B20" s="519">
        <f t="shared" si="4"/>
        <v>2027</v>
      </c>
      <c r="C20" s="528">
        <f t="shared" si="5"/>
        <v>6</v>
      </c>
      <c r="D20" s="341">
        <f>(('A - Inputs'!E40*'A - Inputs'!E76)+('A - Inputs'!G40*'A - Inputs'!G76))/3600*2</f>
        <v>48722.08674131945</v>
      </c>
      <c r="E20" s="342">
        <f>IF(B20&gt;=BenefitStart,(('A - Inputs'!F40*'A - Inputs'!F76)+('A - Inputs'!H40*'A - Inputs'!H76))/3600*2, D20)</f>
        <v>10146.420664930554</v>
      </c>
      <c r="F20" s="284">
        <f t="shared" si="11"/>
        <v>47747.645006493061</v>
      </c>
      <c r="G20" s="292">
        <f t="shared" si="12"/>
        <v>9943.4922516319439</v>
      </c>
      <c r="H20" s="284">
        <f t="shared" si="6"/>
        <v>974.44173482638871</v>
      </c>
      <c r="I20" s="292">
        <f t="shared" si="7"/>
        <v>202.92841329861039</v>
      </c>
      <c r="J20" s="284">
        <f t="shared" si="13"/>
        <v>37804.152754861119</v>
      </c>
      <c r="K20" s="292">
        <f t="shared" si="8"/>
        <v>771.51332152777832</v>
      </c>
      <c r="L20" s="284">
        <f>$F$6*J20</f>
        <v>63132.935100618066</v>
      </c>
      <c r="M20" s="292">
        <f t="shared" si="2"/>
        <v>771.51332152777832</v>
      </c>
      <c r="N20" s="293">
        <f t="shared" si="9"/>
        <v>1123766.2447910015</v>
      </c>
      <c r="O20" s="294">
        <f t="shared" si="3"/>
        <v>24688.426288888906</v>
      </c>
      <c r="P20" s="158">
        <f t="shared" si="10"/>
        <v>1148454.6710798903</v>
      </c>
      <c r="Q20" s="163">
        <f>P20/(1+disc2)^($B20-'A - Inputs'!$C$6)</f>
        <v>715199.84998115466</v>
      </c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</row>
    <row r="21" spans="1:42" x14ac:dyDescent="0.25">
      <c r="B21" s="519">
        <f t="shared" si="4"/>
        <v>2028</v>
      </c>
      <c r="C21" s="528">
        <f t="shared" si="5"/>
        <v>7</v>
      </c>
      <c r="D21" s="341">
        <f>(('A - Inputs'!E41*'A - Inputs'!E77)+('A - Inputs'!G41*'A - Inputs'!G77))/3600*2</f>
        <v>49418.597312499995</v>
      </c>
      <c r="E21" s="342">
        <f>IF(B21&gt;=BenefitStart,(('A - Inputs'!F41*'A - Inputs'!F77)+('A - Inputs'!H41*'A - Inputs'!H77))/3600*2, D21)</f>
        <v>10500.923562499998</v>
      </c>
      <c r="F21" s="284">
        <f t="shared" si="11"/>
        <v>48430.225366249993</v>
      </c>
      <c r="G21" s="292">
        <f t="shared" si="12"/>
        <v>10290.905091249999</v>
      </c>
      <c r="H21" s="284">
        <f t="shared" si="6"/>
        <v>988.3719462500012</v>
      </c>
      <c r="I21" s="292">
        <f t="shared" si="7"/>
        <v>210.01847124999949</v>
      </c>
      <c r="J21" s="284">
        <f t="shared" si="13"/>
        <v>38139.320274999991</v>
      </c>
      <c r="K21" s="292">
        <f t="shared" si="8"/>
        <v>778.35347500000171</v>
      </c>
      <c r="L21" s="284">
        <f t="shared" si="14"/>
        <v>63692.664859249984</v>
      </c>
      <c r="M21" s="292">
        <f t="shared" si="2"/>
        <v>778.35347500000171</v>
      </c>
      <c r="N21" s="293">
        <f t="shared" si="9"/>
        <v>1133729.4344946498</v>
      </c>
      <c r="O21" s="294">
        <f t="shared" si="3"/>
        <v>24907.311200000055</v>
      </c>
      <c r="P21" s="158">
        <f t="shared" si="10"/>
        <v>1158636.7456946499</v>
      </c>
      <c r="Q21" s="163">
        <f>P21/(1+disc2)^($B21-'A - Inputs'!$C$6)</f>
        <v>674337.13487789338</v>
      </c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</row>
    <row r="22" spans="1:42" x14ac:dyDescent="0.25">
      <c r="B22" s="519">
        <f t="shared" si="4"/>
        <v>2029</v>
      </c>
      <c r="C22" s="528">
        <f t="shared" si="5"/>
        <v>8</v>
      </c>
      <c r="D22" s="341">
        <f>(('A - Inputs'!E42*'A - Inputs'!E78)+('A - Inputs'!G42*'A - Inputs'!G78))/3600*2</f>
        <v>50119.531491319438</v>
      </c>
      <c r="E22" s="342">
        <f>IF(B22&gt;=BenefitStart,(('A - Inputs'!F42*'A - Inputs'!F78)+('A - Inputs'!H42*'A - Inputs'!H78))/3600*2, D22)</f>
        <v>10858.348914930555</v>
      </c>
      <c r="F22" s="284">
        <f t="shared" si="11"/>
        <v>49117.140861493048</v>
      </c>
      <c r="G22" s="292">
        <f t="shared" si="12"/>
        <v>10641.181936631943</v>
      </c>
      <c r="H22" s="284">
        <f t="shared" si="6"/>
        <v>1002.3906298263901</v>
      </c>
      <c r="I22" s="292">
        <f t="shared" si="7"/>
        <v>217.16697829861187</v>
      </c>
      <c r="J22" s="284">
        <f t="shared" si="13"/>
        <v>38475.958924861101</v>
      </c>
      <c r="K22" s="292">
        <f t="shared" si="8"/>
        <v>785.2236515277782</v>
      </c>
      <c r="L22" s="284">
        <f t="shared" si="14"/>
        <v>64254.851404518035</v>
      </c>
      <c r="M22" s="292">
        <f t="shared" si="2"/>
        <v>785.2236515277782</v>
      </c>
      <c r="N22" s="293">
        <f>$F$4*L22</f>
        <v>1143736.3550004212</v>
      </c>
      <c r="O22" s="294">
        <f>$F$5*M22</f>
        <v>25127.156848888902</v>
      </c>
      <c r="P22" s="158">
        <f t="shared" si="10"/>
        <v>1168863.51184931</v>
      </c>
      <c r="Q22" s="163">
        <f>P22/(1+disc2)^($B22-'A - Inputs'!$C$6)</f>
        <v>635784.30457024579</v>
      </c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</row>
    <row r="23" spans="1:42" x14ac:dyDescent="0.25">
      <c r="B23" s="519">
        <f t="shared" si="4"/>
        <v>2030</v>
      </c>
      <c r="C23" s="528">
        <f t="shared" si="5"/>
        <v>9</v>
      </c>
      <c r="D23" s="341">
        <f>(('A - Inputs'!E43*'A - Inputs'!E79)+('A - Inputs'!G43*'A - Inputs'!G79))/3600*2</f>
        <v>50824.88927777778</v>
      </c>
      <c r="E23" s="342">
        <f>IF(B23&gt;=BenefitStart,(('A - Inputs'!F43*'A - Inputs'!F79)+('A - Inputs'!H43*'A - Inputs'!H79))/3600*2, D23)</f>
        <v>11218.696722222223</v>
      </c>
      <c r="F23" s="284">
        <f t="shared" si="11"/>
        <v>49808.391492222225</v>
      </c>
      <c r="G23" s="292">
        <f t="shared" si="12"/>
        <v>10994.322787777779</v>
      </c>
      <c r="H23" s="284">
        <f t="shared" si="6"/>
        <v>1016.4977855555553</v>
      </c>
      <c r="I23" s="292">
        <f t="shared" si="7"/>
        <v>224.37393444444388</v>
      </c>
      <c r="J23" s="284">
        <f t="shared" si="13"/>
        <v>38814.068704444449</v>
      </c>
      <c r="K23" s="292">
        <f t="shared" si="8"/>
        <v>792.12385111111143</v>
      </c>
      <c r="L23" s="284">
        <f t="shared" si="14"/>
        <v>64819.494736422224</v>
      </c>
      <c r="M23" s="292">
        <f t="shared" si="2"/>
        <v>792.12385111111143</v>
      </c>
      <c r="N23" s="293">
        <f t="shared" si="9"/>
        <v>1153787.0063083156</v>
      </c>
      <c r="O23" s="294">
        <f t="shared" si="3"/>
        <v>25347.963235555566</v>
      </c>
      <c r="P23" s="158">
        <f t="shared" si="10"/>
        <v>1179134.969543871</v>
      </c>
      <c r="Q23" s="163">
        <f>P23/(1+disc2)^($B23-'A - Inputs'!$C$6)</f>
        <v>599412.42709891882</v>
      </c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</row>
    <row r="24" spans="1:42" x14ac:dyDescent="0.25">
      <c r="B24" s="519">
        <f t="shared" si="4"/>
        <v>2031</v>
      </c>
      <c r="C24" s="528">
        <f t="shared" si="5"/>
        <v>10</v>
      </c>
      <c r="D24" s="341">
        <f>(('A - Inputs'!E44*'A - Inputs'!E80)+('A - Inputs'!G44*'A - Inputs'!G80))/3600*2</f>
        <v>51534.670671874999</v>
      </c>
      <c r="E24" s="342">
        <f>IF(B24&gt;=BenefitStart,(('A - Inputs'!F44*'A - Inputs'!F80)+('A - Inputs'!H44*'A - Inputs'!H80))/3600*2, D24)</f>
        <v>11581.966984375</v>
      </c>
      <c r="F24" s="284">
        <f t="shared" si="11"/>
        <v>50503.977258437495</v>
      </c>
      <c r="G24" s="292">
        <f t="shared" si="12"/>
        <v>11350.327644687499</v>
      </c>
      <c r="H24" s="284">
        <f t="shared" si="6"/>
        <v>1030.6934134375042</v>
      </c>
      <c r="I24" s="292">
        <f t="shared" si="7"/>
        <v>231.63933968750098</v>
      </c>
      <c r="J24" s="284">
        <f t="shared" si="13"/>
        <v>39153.649613749993</v>
      </c>
      <c r="K24" s="292">
        <f t="shared" si="8"/>
        <v>799.05407375000323</v>
      </c>
      <c r="L24" s="284">
        <f t="shared" si="14"/>
        <v>65386.594854962488</v>
      </c>
      <c r="M24" s="292">
        <f t="shared" si="2"/>
        <v>799.05407375000323</v>
      </c>
      <c r="N24" s="293">
        <f t="shared" si="9"/>
        <v>1163881.3884183324</v>
      </c>
      <c r="O24" s="294">
        <f t="shared" si="3"/>
        <v>25569.730360000103</v>
      </c>
      <c r="P24" s="158">
        <f t="shared" si="10"/>
        <v>1189451.1187783326</v>
      </c>
      <c r="Q24" s="163">
        <f>P24/(1+disc2)^($B24-'A - Inputs'!$C$6)</f>
        <v>565099.65818674152</v>
      </c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</row>
    <row r="25" spans="1:42" x14ac:dyDescent="0.25">
      <c r="B25" s="519">
        <f t="shared" si="4"/>
        <v>2032</v>
      </c>
      <c r="C25" s="528">
        <f t="shared" si="5"/>
        <v>11</v>
      </c>
      <c r="D25" s="341">
        <f>(('A - Inputs'!E45*'A - Inputs'!E81)+('A - Inputs'!G45*'A - Inputs'!G81))/3600*2</f>
        <v>52248.875673611117</v>
      </c>
      <c r="E25" s="342">
        <f>IF(B25&gt;=BenefitStart,(('A - Inputs'!F45*'A - Inputs'!F81)+('A - Inputs'!H45*'A - Inputs'!H81))/3600*2, D25)</f>
        <v>11948.159701388888</v>
      </c>
      <c r="F25" s="284">
        <f t="shared" si="11"/>
        <v>51203.898160138895</v>
      </c>
      <c r="G25" s="292">
        <f t="shared" si="12"/>
        <v>11709.19650736111</v>
      </c>
      <c r="H25" s="284">
        <f t="shared" si="6"/>
        <v>1044.9775134722222</v>
      </c>
      <c r="I25" s="292">
        <f t="shared" si="7"/>
        <v>238.96319402777772</v>
      </c>
      <c r="J25" s="284">
        <f t="shared" si="13"/>
        <v>39494.701652777789</v>
      </c>
      <c r="K25" s="292">
        <f t="shared" si="8"/>
        <v>806.01431944444448</v>
      </c>
      <c r="L25" s="284">
        <f t="shared" si="14"/>
        <v>65956.151760138906</v>
      </c>
      <c r="M25" s="292">
        <f t="shared" si="2"/>
        <v>806.01431944444448</v>
      </c>
      <c r="N25" s="293">
        <f t="shared" si="9"/>
        <v>1174019.5013304725</v>
      </c>
      <c r="O25" s="294">
        <f t="shared" si="3"/>
        <v>25792.458222222223</v>
      </c>
      <c r="P25" s="158">
        <f t="shared" si="10"/>
        <v>1199811.9595526948</v>
      </c>
      <c r="Q25" s="163">
        <f>P25/(1+disc2)^($B25-'A - Inputs'!$C$6)</f>
        <v>532730.85888145783</v>
      </c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</row>
    <row r="26" spans="1:42" x14ac:dyDescent="0.25">
      <c r="B26" s="519">
        <f t="shared" si="4"/>
        <v>2033</v>
      </c>
      <c r="C26" s="528">
        <f t="shared" si="5"/>
        <v>12</v>
      </c>
      <c r="D26" s="341">
        <f>(('A - Inputs'!E46*'A - Inputs'!E82)+('A - Inputs'!G46*'A - Inputs'!G82))/3600*2</f>
        <v>52967.504282986105</v>
      </c>
      <c r="E26" s="342">
        <f>IF(B26&gt;=BenefitStart,(('A - Inputs'!F46*'A - Inputs'!F82)+('A - Inputs'!H46*'A - Inputs'!H82))/3600*2, D26)</f>
        <v>12317.27487326389</v>
      </c>
      <c r="F26" s="284">
        <f t="shared" si="11"/>
        <v>51908.154197326381</v>
      </c>
      <c r="G26" s="292">
        <f t="shared" si="12"/>
        <v>12070.929375798612</v>
      </c>
      <c r="H26" s="284">
        <f t="shared" si="6"/>
        <v>1059.3500856597238</v>
      </c>
      <c r="I26" s="292">
        <f t="shared" si="7"/>
        <v>246.34549746527773</v>
      </c>
      <c r="J26" s="284">
        <f t="shared" si="13"/>
        <v>39837.224821527765</v>
      </c>
      <c r="K26" s="292">
        <f t="shared" si="8"/>
        <v>813.00458819444611</v>
      </c>
      <c r="L26" s="284">
        <f>$F$6*J26</f>
        <v>66528.165451951369</v>
      </c>
      <c r="M26" s="292">
        <f t="shared" si="2"/>
        <v>813.00458819444611</v>
      </c>
      <c r="N26" s="293">
        <f t="shared" si="9"/>
        <v>1184201.3450447344</v>
      </c>
      <c r="O26" s="294">
        <f t="shared" si="3"/>
        <v>26016.146822222276</v>
      </c>
      <c r="P26" s="158">
        <f t="shared" si="10"/>
        <v>1210217.4918669567</v>
      </c>
      <c r="Q26" s="163">
        <f>P26/(1+disc2)^($B26-'A - Inputs'!$C$6)</f>
        <v>502197.23333762243</v>
      </c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</row>
    <row r="27" spans="1:42" x14ac:dyDescent="0.25">
      <c r="B27" s="519">
        <f t="shared" si="4"/>
        <v>2034</v>
      </c>
      <c r="C27" s="528">
        <f t="shared" si="5"/>
        <v>13</v>
      </c>
      <c r="D27" s="341">
        <f>(('A - Inputs'!E47*'A - Inputs'!E83)+('A - Inputs'!G47*'A - Inputs'!G83))/3600*2</f>
        <v>53690.556499999992</v>
      </c>
      <c r="E27" s="342">
        <f>IF(B27&gt;=BenefitStart,(('A - Inputs'!F47*'A - Inputs'!F83)+('A - Inputs'!H47*'A - Inputs'!H83))/3600*2, D27)</f>
        <v>12689.3125</v>
      </c>
      <c r="F27" s="284">
        <f t="shared" si="11"/>
        <v>52616.74536999999</v>
      </c>
      <c r="G27" s="292">
        <f t="shared" si="12"/>
        <v>12435.526249999999</v>
      </c>
      <c r="H27" s="284">
        <f t="shared" si="6"/>
        <v>1073.8111300000019</v>
      </c>
      <c r="I27" s="292">
        <f t="shared" si="7"/>
        <v>253.78625000000102</v>
      </c>
      <c r="J27" s="284">
        <f t="shared" si="13"/>
        <v>40181.219119999994</v>
      </c>
      <c r="K27" s="292">
        <f t="shared" si="8"/>
        <v>820.02488000000085</v>
      </c>
      <c r="L27" s="284">
        <f t="shared" si="14"/>
        <v>67102.635930399993</v>
      </c>
      <c r="M27" s="292">
        <f t="shared" si="2"/>
        <v>820.02488000000085</v>
      </c>
      <c r="N27" s="293">
        <f t="shared" si="9"/>
        <v>1194426.91956112</v>
      </c>
      <c r="O27" s="294">
        <f t="shared" si="3"/>
        <v>26240.796160000027</v>
      </c>
      <c r="P27" s="158">
        <f t="shared" si="10"/>
        <v>1220667.7157211201</v>
      </c>
      <c r="Q27" s="163">
        <f>P27/(1+disc2)^($B27-'A - Inputs'!$C$6)</f>
        <v>473395.98570988508</v>
      </c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</row>
    <row r="28" spans="1:42" x14ac:dyDescent="0.25">
      <c r="B28" s="519">
        <f t="shared" si="4"/>
        <v>2035</v>
      </c>
      <c r="C28" s="528">
        <f t="shared" si="5"/>
        <v>14</v>
      </c>
      <c r="D28" s="341">
        <f>(('A - Inputs'!E48*'A - Inputs'!E84)+('A - Inputs'!G48*'A - Inputs'!G84))/3600*2</f>
        <v>54418.032324652777</v>
      </c>
      <c r="E28" s="342">
        <f>IF(B28&gt;=BenefitStart,(('A - Inputs'!F48*'A - Inputs'!F84)+('A - Inputs'!H48*'A - Inputs'!H84))/3600*2, D28)</f>
        <v>13064.272581597223</v>
      </c>
      <c r="F28" s="284">
        <f t="shared" si="11"/>
        <v>53329.671678159721</v>
      </c>
      <c r="G28" s="292">
        <f t="shared" si="12"/>
        <v>12802.987129965279</v>
      </c>
      <c r="H28" s="284">
        <f t="shared" si="6"/>
        <v>1088.3606464930563</v>
      </c>
      <c r="I28" s="292">
        <f t="shared" si="7"/>
        <v>261.28545163194394</v>
      </c>
      <c r="J28" s="284">
        <f t="shared" si="13"/>
        <v>40526.68454819444</v>
      </c>
      <c r="K28" s="292">
        <f t="shared" si="8"/>
        <v>827.07519486111232</v>
      </c>
      <c r="L28" s="284">
        <f t="shared" si="14"/>
        <v>67679.563195484705</v>
      </c>
      <c r="M28" s="292">
        <f t="shared" si="2"/>
        <v>827.07519486111232</v>
      </c>
      <c r="N28" s="293">
        <f t="shared" si="9"/>
        <v>1204696.2248796278</v>
      </c>
      <c r="O28" s="294">
        <f t="shared" si="3"/>
        <v>26466.406235555594</v>
      </c>
      <c r="P28" s="158">
        <f t="shared" si="10"/>
        <v>1231162.6311151835</v>
      </c>
      <c r="Q28" s="163">
        <f>P28/(1+disc2)^($B28-'A - Inputs'!$C$6)</f>
        <v>446229.99518011301</v>
      </c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</row>
    <row r="29" spans="1:42" x14ac:dyDescent="0.25">
      <c r="B29" s="519">
        <f t="shared" si="4"/>
        <v>2036</v>
      </c>
      <c r="C29" s="528">
        <f t="shared" si="5"/>
        <v>15</v>
      </c>
      <c r="D29" s="341">
        <f>(('A - Inputs'!E49*'A - Inputs'!E85)+('A - Inputs'!G49*'A - Inputs'!G85))/3600*2</f>
        <v>55149.931756944439</v>
      </c>
      <c r="E29" s="342">
        <f>IF(B29&gt;=BenefitStart,(('A - Inputs'!F49*'A - Inputs'!F85)+('A - Inputs'!H49*'A - Inputs'!H85))/3600*2, D29)</f>
        <v>13442.155118055554</v>
      </c>
      <c r="F29" s="284">
        <f t="shared" si="11"/>
        <v>54046.933121805552</v>
      </c>
      <c r="G29" s="292">
        <f t="shared" si="12"/>
        <v>13173.312015694442</v>
      </c>
      <c r="H29" s="284">
        <f t="shared" si="6"/>
        <v>1102.998635138887</v>
      </c>
      <c r="I29" s="292">
        <f t="shared" si="7"/>
        <v>268.84310236111196</v>
      </c>
      <c r="J29" s="284">
        <f t="shared" si="13"/>
        <v>40873.62110611111</v>
      </c>
      <c r="K29" s="292">
        <f t="shared" si="8"/>
        <v>834.15553277777508</v>
      </c>
      <c r="L29" s="284">
        <f t="shared" si="14"/>
        <v>68258.94724720555</v>
      </c>
      <c r="M29" s="292">
        <f t="shared" si="2"/>
        <v>834.15553277777508</v>
      </c>
      <c r="N29" s="293">
        <f t="shared" si="9"/>
        <v>1215009.2610002588</v>
      </c>
      <c r="O29" s="294">
        <f t="shared" si="3"/>
        <v>26692.977048888803</v>
      </c>
      <c r="P29" s="158">
        <f t="shared" si="10"/>
        <v>1241702.2380491477</v>
      </c>
      <c r="Q29" s="163">
        <f>P29/(1+disc2)^($B29-'A - Inputs'!$C$6)</f>
        <v>420607.50818871346</v>
      </c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</row>
    <row r="30" spans="1:42" x14ac:dyDescent="0.25">
      <c r="B30" s="519">
        <f t="shared" si="4"/>
        <v>2037</v>
      </c>
      <c r="C30" s="528">
        <f t="shared" si="5"/>
        <v>16</v>
      </c>
      <c r="D30" s="341">
        <f>(('A - Inputs'!E50*'A - Inputs'!E86)+('A - Inputs'!G50*'A - Inputs'!G86))/3600*2</f>
        <v>55886.254796875</v>
      </c>
      <c r="E30" s="342">
        <f>IF(B30&gt;=BenefitStart,(('A - Inputs'!F50*'A - Inputs'!F86)+('A - Inputs'!H50*'A - Inputs'!H86))/3600*2, D30)</f>
        <v>13822.960109374999</v>
      </c>
      <c r="F30" s="284">
        <f t="shared" si="11"/>
        <v>54768.529700937499</v>
      </c>
      <c r="G30" s="292">
        <f t="shared" si="12"/>
        <v>13546.500907187499</v>
      </c>
      <c r="H30" s="284">
        <f t="shared" si="6"/>
        <v>1117.7250959375015</v>
      </c>
      <c r="I30" s="292">
        <f t="shared" si="7"/>
        <v>276.45920218749961</v>
      </c>
      <c r="J30" s="284">
        <f t="shared" si="13"/>
        <v>41222.028793749996</v>
      </c>
      <c r="K30" s="292">
        <f t="shared" si="8"/>
        <v>841.26589375000185</v>
      </c>
      <c r="L30" s="284">
        <f t="shared" si="14"/>
        <v>68840.788085562497</v>
      </c>
      <c r="M30" s="292">
        <f t="shared" si="2"/>
        <v>841.26589375000185</v>
      </c>
      <c r="N30" s="293">
        <f t="shared" si="9"/>
        <v>1225366.0279230124</v>
      </c>
      <c r="O30" s="294">
        <f t="shared" si="3"/>
        <v>26920.508600000059</v>
      </c>
      <c r="P30" s="158">
        <f t="shared" si="10"/>
        <v>1252286.5365230124</v>
      </c>
      <c r="Q30" s="163">
        <f>P30/(1+disc2)^($B30-'A - Inputs'!$C$6)</f>
        <v>396441.8469861843</v>
      </c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</row>
    <row r="31" spans="1:42" x14ac:dyDescent="0.25">
      <c r="B31" s="519">
        <f t="shared" si="4"/>
        <v>2038</v>
      </c>
      <c r="C31" s="528">
        <f t="shared" si="5"/>
        <v>17</v>
      </c>
      <c r="D31" s="341">
        <f>(('A - Inputs'!E51*'A - Inputs'!E87)+('A - Inputs'!G51*'A - Inputs'!G87))/3600*2</f>
        <v>56627.001444444439</v>
      </c>
      <c r="E31" s="342">
        <f>IF(B31&gt;=BenefitStart,(('A - Inputs'!F51*'A - Inputs'!F87)+('A - Inputs'!H51*'A - Inputs'!H87))/3600*2, D31)</f>
        <v>14206.687555555554</v>
      </c>
      <c r="F31" s="284">
        <f t="shared" si="11"/>
        <v>55494.461415555546</v>
      </c>
      <c r="G31" s="292">
        <f t="shared" si="12"/>
        <v>13922.553804444444</v>
      </c>
      <c r="H31" s="284">
        <f t="shared" si="6"/>
        <v>1132.5400288888923</v>
      </c>
      <c r="I31" s="292">
        <f t="shared" si="7"/>
        <v>284.13375111111054</v>
      </c>
      <c r="J31" s="284">
        <f t="shared" si="13"/>
        <v>41571.907611111106</v>
      </c>
      <c r="K31" s="292">
        <f t="shared" si="8"/>
        <v>848.40627777778172</v>
      </c>
      <c r="L31" s="284">
        <f t="shared" si="14"/>
        <v>69425.085710555548</v>
      </c>
      <c r="M31" s="292">
        <f t="shared" si="2"/>
        <v>848.40627777778172</v>
      </c>
      <c r="N31" s="293">
        <f t="shared" si="9"/>
        <v>1235766.5256478889</v>
      </c>
      <c r="O31" s="294">
        <f t="shared" si="3"/>
        <v>27149.000888889015</v>
      </c>
      <c r="P31" s="158">
        <f t="shared" si="10"/>
        <v>1262915.5265367778</v>
      </c>
      <c r="Q31" s="163">
        <f>P31/(1+disc2)^($B31-'A - Inputs'!$C$6)</f>
        <v>373651.13366452447</v>
      </c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</row>
    <row r="32" spans="1:42" x14ac:dyDescent="0.25">
      <c r="B32" s="519">
        <f t="shared" si="4"/>
        <v>2039</v>
      </c>
      <c r="C32" s="528">
        <f t="shared" si="5"/>
        <v>18</v>
      </c>
      <c r="D32" s="341">
        <f>(('A - Inputs'!E52*'A - Inputs'!E88)+('A - Inputs'!G52*'A - Inputs'!G88))/3600*2</f>
        <v>57372.171699652768</v>
      </c>
      <c r="E32" s="342">
        <f>IF(B32&gt;=BenefitStart,(('A - Inputs'!F52*'A - Inputs'!F88)+('A - Inputs'!H52*'A - Inputs'!H88))/3600*2, D32)</f>
        <v>14593.337456597223</v>
      </c>
      <c r="F32" s="284">
        <f t="shared" si="11"/>
        <v>56224.728265659709</v>
      </c>
      <c r="G32" s="292">
        <f t="shared" si="12"/>
        <v>14301.470707465278</v>
      </c>
      <c r="H32" s="284">
        <f t="shared" si="6"/>
        <v>1147.4434339930594</v>
      </c>
      <c r="I32" s="292">
        <f t="shared" si="7"/>
        <v>291.86674913194474</v>
      </c>
      <c r="J32" s="284">
        <f t="shared" si="13"/>
        <v>41923.257558194433</v>
      </c>
      <c r="K32" s="292">
        <f t="shared" si="8"/>
        <v>855.5766848611147</v>
      </c>
      <c r="L32" s="284">
        <f t="shared" si="14"/>
        <v>70011.840122184702</v>
      </c>
      <c r="M32" s="292">
        <f t="shared" si="2"/>
        <v>855.5766848611147</v>
      </c>
      <c r="N32" s="293">
        <f t="shared" si="9"/>
        <v>1246210.7541748877</v>
      </c>
      <c r="O32" s="294">
        <f t="shared" si="3"/>
        <v>27378.45391555567</v>
      </c>
      <c r="P32" s="158">
        <f t="shared" si="10"/>
        <v>1273589.2080904434</v>
      </c>
      <c r="Q32" s="163">
        <f>P32/(1+disc2)^($B32-'A - Inputs'!$C$6)</f>
        <v>352158.02886968368</v>
      </c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</row>
    <row r="33" spans="2:42" x14ac:dyDescent="0.25">
      <c r="B33" s="519">
        <f t="shared" si="4"/>
        <v>2040</v>
      </c>
      <c r="C33" s="528">
        <f t="shared" si="5"/>
        <v>19</v>
      </c>
      <c r="D33" s="341">
        <f>(('A - Inputs'!E53*'A - Inputs'!E89)+('A - Inputs'!G53*'A - Inputs'!G89))/3600*2</f>
        <v>58121.76556249999</v>
      </c>
      <c r="E33" s="342">
        <f>IF(B33&gt;=BenefitStart,(('A - Inputs'!F53*'A - Inputs'!F89)+('A - Inputs'!H53*'A - Inputs'!H89))/3600*2, D33)</f>
        <v>14982.909812499998</v>
      </c>
      <c r="F33" s="284">
        <f t="shared" si="11"/>
        <v>56959.330251249987</v>
      </c>
      <c r="G33" s="292">
        <f t="shared" si="12"/>
        <v>14683.251616249998</v>
      </c>
      <c r="H33" s="284">
        <f t="shared" si="6"/>
        <v>1162.435311250003</v>
      </c>
      <c r="I33" s="292">
        <f t="shared" si="7"/>
        <v>299.6581962500004</v>
      </c>
      <c r="J33" s="284">
        <f t="shared" si="13"/>
        <v>42276.078634999991</v>
      </c>
      <c r="K33" s="292">
        <f t="shared" si="8"/>
        <v>862.7771150000026</v>
      </c>
      <c r="L33" s="284">
        <f t="shared" si="14"/>
        <v>70601.051320449988</v>
      </c>
      <c r="M33" s="292">
        <f t="shared" si="2"/>
        <v>862.7771150000026</v>
      </c>
      <c r="N33" s="293">
        <f t="shared" si="9"/>
        <v>1256698.7135040099</v>
      </c>
      <c r="O33" s="294">
        <f t="shared" si="3"/>
        <v>27608.867680000083</v>
      </c>
      <c r="P33" s="158">
        <f t="shared" si="10"/>
        <v>1284307.58118401</v>
      </c>
      <c r="Q33" s="163">
        <f>P33/(1+disc2)^($B33-'A - Inputs'!$C$6)</f>
        <v>331889.48443586356</v>
      </c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</row>
    <row r="34" spans="2:42" x14ac:dyDescent="0.25">
      <c r="B34" s="519">
        <f t="shared" si="4"/>
        <v>2041</v>
      </c>
      <c r="C34" s="528">
        <f t="shared" si="5"/>
        <v>20</v>
      </c>
      <c r="D34" s="341">
        <f>(('A - Inputs'!E54*'A - Inputs'!E90)+('A - Inputs'!G54*'A - Inputs'!G90))/3600*2</f>
        <v>58875.78303298611</v>
      </c>
      <c r="E34" s="342">
        <f>IF(B34&gt;=BenefitStart,(('A - Inputs'!F54*'A - Inputs'!F90)+('A - Inputs'!H54*'A - Inputs'!H90))/3600*2, D34)</f>
        <v>15375.404623263888</v>
      </c>
      <c r="F34" s="284">
        <f t="shared" si="11"/>
        <v>57698.267372326387</v>
      </c>
      <c r="G34" s="292">
        <f t="shared" si="12"/>
        <v>15067.896530798611</v>
      </c>
      <c r="H34" s="284">
        <f t="shared" si="6"/>
        <v>1177.5156606597229</v>
      </c>
      <c r="I34" s="292">
        <f t="shared" si="7"/>
        <v>307.50809246527751</v>
      </c>
      <c r="J34" s="284">
        <f t="shared" si="13"/>
        <v>42630.37084152778</v>
      </c>
      <c r="K34" s="292">
        <f t="shared" si="8"/>
        <v>870.00756819444541</v>
      </c>
      <c r="L34" s="284">
        <f t="shared" si="14"/>
        <v>71192.719305351391</v>
      </c>
      <c r="M34" s="292">
        <f t="shared" si="2"/>
        <v>870.00756819444541</v>
      </c>
      <c r="N34" s="293">
        <f t="shared" si="9"/>
        <v>1267230.4036352548</v>
      </c>
      <c r="O34" s="294">
        <f t="shared" si="3"/>
        <v>27840.242182222253</v>
      </c>
      <c r="P34" s="158">
        <f t="shared" si="10"/>
        <v>1295070.645817477</v>
      </c>
      <c r="Q34" s="163">
        <f>P34/(1+disc2)^($B34-'A - Inputs'!$C$6)</f>
        <v>312776.50922024797</v>
      </c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</row>
    <row r="35" spans="2:42" x14ac:dyDescent="0.25">
      <c r="B35" s="519">
        <f t="shared" si="4"/>
        <v>2042</v>
      </c>
      <c r="C35" s="528">
        <f t="shared" si="5"/>
        <v>21</v>
      </c>
      <c r="D35" s="341">
        <f>(('A - Inputs'!E55*'A - Inputs'!E91)+('A - Inputs'!G55*'A - Inputs'!G91))/3600*2</f>
        <v>59634.224111111107</v>
      </c>
      <c r="E35" s="342">
        <f>IF(B35&gt;=BenefitStart,(('A - Inputs'!F55*'A - Inputs'!F91)+('A - Inputs'!H55*'A - Inputs'!H91))/3600*2, D35)</f>
        <v>15770.821888888888</v>
      </c>
      <c r="F35" s="284">
        <f t="shared" si="11"/>
        <v>58441.539628888881</v>
      </c>
      <c r="G35" s="292">
        <f t="shared" si="12"/>
        <v>15455.40545111111</v>
      </c>
      <c r="H35" s="284">
        <f t="shared" si="6"/>
        <v>1192.6844822222265</v>
      </c>
      <c r="I35" s="292">
        <f t="shared" si="7"/>
        <v>315.4164377777779</v>
      </c>
      <c r="J35" s="284">
        <f t="shared" si="13"/>
        <v>42986.134177777771</v>
      </c>
      <c r="K35" s="292">
        <f t="shared" si="8"/>
        <v>877.26804444444861</v>
      </c>
      <c r="L35" s="284">
        <f t="shared" si="14"/>
        <v>71786.844076888869</v>
      </c>
      <c r="M35" s="292">
        <f t="shared" si="2"/>
        <v>877.26804444444861</v>
      </c>
      <c r="N35" s="293">
        <f t="shared" si="9"/>
        <v>1277805.8245686218</v>
      </c>
      <c r="O35" s="294">
        <f t="shared" si="3"/>
        <v>28072.577422222355</v>
      </c>
      <c r="P35" s="158">
        <f t="shared" si="10"/>
        <v>1305878.4019908442</v>
      </c>
      <c r="Q35" s="163">
        <f>P35/(1+disc2)^($B35-'A - Inputs'!$C$6)</f>
        <v>294753.94745274022</v>
      </c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</row>
    <row r="36" spans="2:42" x14ac:dyDescent="0.25">
      <c r="B36" s="519">
        <f t="shared" si="4"/>
        <v>2043</v>
      </c>
      <c r="C36" s="528">
        <f t="shared" si="5"/>
        <v>22</v>
      </c>
      <c r="D36" s="341">
        <f>(('A - Inputs'!E56*'A - Inputs'!E92)+('A - Inputs'!G56*'A - Inputs'!G92))/3600*2</f>
        <v>60397.088796874996</v>
      </c>
      <c r="E36" s="342">
        <f>IF(B36&gt;=BenefitStart,(('A - Inputs'!F56*'A - Inputs'!F92)+('A - Inputs'!H56*'A - Inputs'!H92))/3600*2, D36)</f>
        <v>16169.161609374998</v>
      </c>
      <c r="F36" s="284">
        <f t="shared" si="11"/>
        <v>59189.147020937497</v>
      </c>
      <c r="G36" s="292">
        <f t="shared" si="12"/>
        <v>15845.778377187498</v>
      </c>
      <c r="H36" s="284">
        <f t="shared" si="6"/>
        <v>1207.9417759374992</v>
      </c>
      <c r="I36" s="292">
        <f t="shared" si="7"/>
        <v>323.38323218749974</v>
      </c>
      <c r="J36" s="284">
        <f t="shared" si="13"/>
        <v>43343.36864375</v>
      </c>
      <c r="K36" s="292">
        <f t="shared" si="8"/>
        <v>884.55854374999944</v>
      </c>
      <c r="L36" s="284">
        <f t="shared" si="14"/>
        <v>72383.425635062493</v>
      </c>
      <c r="M36" s="292">
        <f t="shared" si="2"/>
        <v>884.55854374999944</v>
      </c>
      <c r="N36" s="293">
        <f t="shared" si="9"/>
        <v>1288424.9763041125</v>
      </c>
      <c r="O36" s="294">
        <f t="shared" si="3"/>
        <v>28305.873399999982</v>
      </c>
      <c r="P36" s="158">
        <f t="shared" si="10"/>
        <v>1316730.8497041124</v>
      </c>
      <c r="Q36" s="163">
        <f>P36/(1+disc2)^($B36-'A - Inputs'!$C$6)</f>
        <v>277760.26894957543</v>
      </c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</row>
    <row r="37" spans="2:42" x14ac:dyDescent="0.25">
      <c r="B37" s="519">
        <f t="shared" si="4"/>
        <v>2044</v>
      </c>
      <c r="C37" s="528">
        <f t="shared" si="5"/>
        <v>23</v>
      </c>
      <c r="D37" s="341">
        <f>(('A - Inputs'!E57*'A - Inputs'!E93)+('A - Inputs'!G57*'A - Inputs'!G93))/3600*2</f>
        <v>61164.377090277769</v>
      </c>
      <c r="E37" s="342">
        <f>IF(B37&gt;=BenefitStart,(('A - Inputs'!F57*'A - Inputs'!F93)+('A - Inputs'!H57*'A - Inputs'!H93))/3600*2, D37)</f>
        <v>16570.423784722221</v>
      </c>
      <c r="F37" s="284">
        <f t="shared" si="11"/>
        <v>59941.089548472213</v>
      </c>
      <c r="G37" s="292">
        <f t="shared" si="12"/>
        <v>16239.015309027776</v>
      </c>
      <c r="H37" s="284">
        <f t="shared" si="6"/>
        <v>1223.2875418055555</v>
      </c>
      <c r="I37" s="292">
        <f t="shared" si="7"/>
        <v>331.40847569444486</v>
      </c>
      <c r="J37" s="284">
        <f t="shared" si="13"/>
        <v>43702.074239444439</v>
      </c>
      <c r="K37" s="292">
        <f t="shared" si="8"/>
        <v>891.87906611111066</v>
      </c>
      <c r="L37" s="284">
        <f t="shared" si="14"/>
        <v>72982.463979872206</v>
      </c>
      <c r="M37" s="292">
        <f t="shared" si="2"/>
        <v>891.87906611111066</v>
      </c>
      <c r="N37" s="293">
        <f t="shared" si="9"/>
        <v>1299087.8588417254</v>
      </c>
      <c r="O37" s="294">
        <f t="shared" si="3"/>
        <v>28540.130115555541</v>
      </c>
      <c r="P37" s="158">
        <f t="shared" si="10"/>
        <v>1327627.988957281</v>
      </c>
      <c r="Q37" s="163">
        <f>P37/(1+disc2)^($B37-'A - Inputs'!$C$6)</f>
        <v>261737.37057234588</v>
      </c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</row>
    <row r="38" spans="2:42" x14ac:dyDescent="0.25">
      <c r="B38" s="519">
        <f t="shared" si="4"/>
        <v>2045</v>
      </c>
      <c r="C38" s="528">
        <f t="shared" si="5"/>
        <v>24</v>
      </c>
      <c r="D38" s="341">
        <f>(('A - Inputs'!E58*'A - Inputs'!E94)+('A - Inputs'!G58*'A - Inputs'!G94))/3600*2</f>
        <v>61936.088991319441</v>
      </c>
      <c r="E38" s="342">
        <f>IF(B38&gt;=BenefitStart,(('A - Inputs'!F58*'A - Inputs'!F94)+('A - Inputs'!H58*'A - Inputs'!H94))/3600*2, D38)</f>
        <v>16974.608414930557</v>
      </c>
      <c r="F38" s="284">
        <f t="shared" si="11"/>
        <v>60697.367211493052</v>
      </c>
      <c r="G38" s="292">
        <f t="shared" si="12"/>
        <v>16635.116246631944</v>
      </c>
      <c r="H38" s="284">
        <f t="shared" si="6"/>
        <v>1238.7217798263882</v>
      </c>
      <c r="I38" s="292">
        <f t="shared" si="7"/>
        <v>339.49216829861325</v>
      </c>
      <c r="J38" s="284">
        <f t="shared" si="13"/>
        <v>44062.250964861109</v>
      </c>
      <c r="K38" s="292">
        <f t="shared" si="8"/>
        <v>899.22961152777498</v>
      </c>
      <c r="L38" s="284">
        <f t="shared" si="14"/>
        <v>73583.95911131805</v>
      </c>
      <c r="M38" s="292">
        <f t="shared" si="2"/>
        <v>899.22961152777498</v>
      </c>
      <c r="N38" s="293">
        <f t="shared" si="9"/>
        <v>1309794.4721814613</v>
      </c>
      <c r="O38" s="294">
        <f t="shared" si="3"/>
        <v>28775.347568888799</v>
      </c>
      <c r="P38" s="158">
        <f t="shared" si="10"/>
        <v>1338569.81975035</v>
      </c>
      <c r="Q38" s="163">
        <f>P38/(1+disc2)^($B38-'A - Inputs'!$C$6)</f>
        <v>246630.38834509446</v>
      </c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</row>
    <row r="39" spans="2:42" x14ac:dyDescent="0.25">
      <c r="B39" s="519">
        <f t="shared" si="4"/>
        <v>2046</v>
      </c>
      <c r="C39" s="528">
        <f t="shared" si="5"/>
        <v>25</v>
      </c>
      <c r="D39" s="341">
        <f>(('A - Inputs'!E59*'A - Inputs'!E95)+('A - Inputs'!G59*'A - Inputs'!G95))/3600*2</f>
        <v>62712.224499999997</v>
      </c>
      <c r="E39" s="342">
        <f>IF(B39&gt;=BenefitStart,(('A - Inputs'!F59*'A - Inputs'!F95)+('A - Inputs'!H59*'A - Inputs'!H95))/3600*2, D39)</f>
        <v>17381.715499999998</v>
      </c>
      <c r="F39" s="284">
        <f t="shared" si="11"/>
        <v>61457.980009999992</v>
      </c>
      <c r="G39" s="292">
        <f t="shared" si="12"/>
        <v>17034.081189999997</v>
      </c>
      <c r="H39" s="284">
        <f t="shared" si="6"/>
        <v>1254.2444900000046</v>
      </c>
      <c r="I39" s="292">
        <f t="shared" si="7"/>
        <v>347.63431000000128</v>
      </c>
      <c r="J39" s="284">
        <f t="shared" si="13"/>
        <v>44423.898819999995</v>
      </c>
      <c r="K39" s="292">
        <f t="shared" si="8"/>
        <v>906.61018000000331</v>
      </c>
      <c r="L39" s="284">
        <f t="shared" si="14"/>
        <v>74187.911029399984</v>
      </c>
      <c r="M39" s="292">
        <f t="shared" si="2"/>
        <v>906.61018000000331</v>
      </c>
      <c r="N39" s="293">
        <f t="shared" si="9"/>
        <v>1320544.8163233197</v>
      </c>
      <c r="O39" s="294">
        <f t="shared" si="3"/>
        <v>29011.525760000106</v>
      </c>
      <c r="P39" s="158">
        <f t="shared" si="10"/>
        <v>1349556.3420833198</v>
      </c>
      <c r="Q39" s="163">
        <f>P39/(1+disc2)^($B39-'A - Inputs'!$C$6)</f>
        <v>232387.5196717513</v>
      </c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</row>
    <row r="40" spans="2:42" x14ac:dyDescent="0.25">
      <c r="B40" s="519">
        <f t="shared" si="4"/>
        <v>2047</v>
      </c>
      <c r="C40" s="528">
        <f t="shared" si="5"/>
        <v>26</v>
      </c>
      <c r="D40" s="341">
        <f>(('A - Inputs'!E60*'A - Inputs'!E96)+('A - Inputs'!G60*'A - Inputs'!G96))/3600*2</f>
        <v>63492.783616319444</v>
      </c>
      <c r="E40" s="342">
        <f>IF(B40&gt;=BenefitStart,(('A - Inputs'!F60*'A - Inputs'!F96)+('A - Inputs'!H60*'A - Inputs'!H96))/3600*2, D40)</f>
        <v>17791.745039930556</v>
      </c>
      <c r="F40" s="284">
        <f t="shared" si="11"/>
        <v>62222.927943993054</v>
      </c>
      <c r="G40" s="292">
        <f t="shared" si="12"/>
        <v>17435.910139131945</v>
      </c>
      <c r="H40" s="284">
        <f t="shared" si="6"/>
        <v>1269.85567232639</v>
      </c>
      <c r="I40" s="292">
        <f t="shared" si="7"/>
        <v>355.83490079861076</v>
      </c>
      <c r="J40" s="284">
        <f t="shared" si="13"/>
        <v>44787.017804861112</v>
      </c>
      <c r="K40" s="292">
        <f t="shared" si="8"/>
        <v>914.02077152777929</v>
      </c>
      <c r="L40" s="284">
        <f t="shared" si="14"/>
        <v>74794.319734118049</v>
      </c>
      <c r="M40" s="292">
        <f t="shared" si="2"/>
        <v>914.02077152777929</v>
      </c>
      <c r="N40" s="293">
        <f t="shared" si="9"/>
        <v>1331338.8912673013</v>
      </c>
      <c r="O40" s="294">
        <f t="shared" si="3"/>
        <v>29248.664688888937</v>
      </c>
      <c r="P40" s="158">
        <f t="shared" si="10"/>
        <v>1360587.5559561902</v>
      </c>
      <c r="Q40" s="163">
        <f>P40/(1+disc2)^($B40-'A - Inputs'!$C$6)</f>
        <v>218959.855124397</v>
      </c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</row>
    <row r="41" spans="2:42" x14ac:dyDescent="0.25">
      <c r="B41" s="519">
        <f t="shared" si="4"/>
        <v>2048</v>
      </c>
      <c r="C41" s="528">
        <f t="shared" si="5"/>
        <v>27</v>
      </c>
      <c r="D41" s="341">
        <f>(('A - Inputs'!E61*'A - Inputs'!E97)+('A - Inputs'!G61*'A - Inputs'!G97))/3600*2</f>
        <v>64277.766340277776</v>
      </c>
      <c r="E41" s="342">
        <f>IF(B41&gt;=BenefitStart,(('A - Inputs'!F61*'A - Inputs'!F97)+('A - Inputs'!H61*'A - Inputs'!H97))/3600*2, D41)</f>
        <v>18204.69703472222</v>
      </c>
      <c r="F41" s="284">
        <f t="shared" si="11"/>
        <v>62992.211013472217</v>
      </c>
      <c r="G41" s="292">
        <f t="shared" si="12"/>
        <v>17840.603094027774</v>
      </c>
      <c r="H41" s="284">
        <f t="shared" si="6"/>
        <v>1285.5553268055592</v>
      </c>
      <c r="I41" s="292">
        <f t="shared" si="7"/>
        <v>364.09394069444534</v>
      </c>
      <c r="J41" s="284">
        <f t="shared" si="13"/>
        <v>45151.607919444446</v>
      </c>
      <c r="K41" s="292">
        <f t="shared" si="8"/>
        <v>921.46138611111382</v>
      </c>
      <c r="L41" s="284">
        <f t="shared" si="14"/>
        <v>75403.185225472218</v>
      </c>
      <c r="M41" s="292">
        <f t="shared" si="2"/>
        <v>921.46138611111382</v>
      </c>
      <c r="N41" s="293">
        <f t="shared" si="9"/>
        <v>1342176.6970134056</v>
      </c>
      <c r="O41" s="294">
        <f t="shared" si="3"/>
        <v>29486.764355555642</v>
      </c>
      <c r="P41" s="158">
        <f t="shared" si="10"/>
        <v>1371663.4613689613</v>
      </c>
      <c r="Q41" s="163">
        <f>P41/(1+disc2)^($B41-'A - Inputs'!$C$6)</f>
        <v>206301.21929968122</v>
      </c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</row>
    <row r="42" spans="2:42" x14ac:dyDescent="0.25">
      <c r="B42" s="519">
        <f t="shared" si="4"/>
        <v>2049</v>
      </c>
      <c r="C42" s="528">
        <f t="shared" si="5"/>
        <v>28</v>
      </c>
      <c r="D42" s="341">
        <f>(('A - Inputs'!E62*'A - Inputs'!E98)+('A - Inputs'!G62*'A - Inputs'!G98))/3600*2</f>
        <v>65067.172671875007</v>
      </c>
      <c r="E42" s="342">
        <f>IF(B42&gt;=BenefitStart,(('A - Inputs'!F62*'A - Inputs'!F98)+('A - Inputs'!H62*'A - Inputs'!H98))/3600*2, D42)</f>
        <v>18620.571484374999</v>
      </c>
      <c r="F42" s="284">
        <f t="shared" si="11"/>
        <v>63765.829218437502</v>
      </c>
      <c r="G42" s="292">
        <f t="shared" si="12"/>
        <v>18248.160054687498</v>
      </c>
      <c r="H42" s="284">
        <f t="shared" si="6"/>
        <v>1301.3434534375046</v>
      </c>
      <c r="I42" s="292">
        <f t="shared" si="7"/>
        <v>372.41142968750137</v>
      </c>
      <c r="J42" s="284">
        <f t="shared" si="13"/>
        <v>45517.669163750004</v>
      </c>
      <c r="K42" s="292">
        <f t="shared" si="8"/>
        <v>928.93202375000328</v>
      </c>
      <c r="L42" s="284">
        <f t="shared" si="14"/>
        <v>76014.507503462504</v>
      </c>
      <c r="M42" s="292">
        <f t="shared" si="2"/>
        <v>928.93202375000328</v>
      </c>
      <c r="N42" s="293">
        <f t="shared" si="9"/>
        <v>1353058.2335616327</v>
      </c>
      <c r="O42" s="294">
        <f t="shared" si="3"/>
        <v>29725.824760000105</v>
      </c>
      <c r="P42" s="158">
        <f t="shared" si="10"/>
        <v>1382784.0583216329</v>
      </c>
      <c r="Q42" s="163">
        <f>P42/(1+disc2)^($B42-'A - Inputs'!$C$6)</f>
        <v>194368.02026626968</v>
      </c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</row>
    <row r="43" spans="2:42" x14ac:dyDescent="0.25">
      <c r="B43" s="519">
        <f t="shared" si="4"/>
        <v>2050</v>
      </c>
      <c r="C43" s="528">
        <f t="shared" si="5"/>
        <v>29</v>
      </c>
      <c r="D43" s="341">
        <f>(('A - Inputs'!E63*'A - Inputs'!E99)+('A - Inputs'!G63*'A - Inputs'!G99))/3600*2</f>
        <v>65861.002611111122</v>
      </c>
      <c r="E43" s="342">
        <f>IF(B43&gt;=BenefitStart,(('A - Inputs'!F63*'A - Inputs'!F99)+('A - Inputs'!H63*'A - Inputs'!H99))/3600*2, D43)</f>
        <v>19039.368388888888</v>
      </c>
      <c r="F43" s="284">
        <f t="shared" si="11"/>
        <v>64543.782558888895</v>
      </c>
      <c r="G43" s="292">
        <f t="shared" si="12"/>
        <v>18658.581021111109</v>
      </c>
      <c r="H43" s="284">
        <f t="shared" si="6"/>
        <v>1317.2200522222265</v>
      </c>
      <c r="I43" s="292">
        <f t="shared" si="7"/>
        <v>380.78736777777885</v>
      </c>
      <c r="J43" s="284">
        <f t="shared" si="13"/>
        <v>45885.201537777786</v>
      </c>
      <c r="K43" s="292">
        <f t="shared" si="8"/>
        <v>936.43268444444766</v>
      </c>
      <c r="L43" s="284">
        <f t="shared" si="14"/>
        <v>76628.286568088894</v>
      </c>
      <c r="M43" s="292">
        <f t="shared" si="2"/>
        <v>936.43268444444766</v>
      </c>
      <c r="N43" s="293">
        <f t="shared" si="9"/>
        <v>1363983.5009119823</v>
      </c>
      <c r="O43" s="294">
        <f t="shared" si="3"/>
        <v>29965.845902222325</v>
      </c>
      <c r="P43" s="158">
        <f t="shared" si="10"/>
        <v>1393949.3468142045</v>
      </c>
      <c r="Q43" s="163">
        <f>P43/(1+disc2)^($B43-'A - Inputs'!$C$6)</f>
        <v>183119.10715050553</v>
      </c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</row>
    <row r="44" spans="2:42" x14ac:dyDescent="0.25">
      <c r="B44" s="519">
        <f t="shared" si="4"/>
        <v>2051</v>
      </c>
      <c r="C44" s="528">
        <f t="shared" si="5"/>
        <v>30</v>
      </c>
      <c r="D44" s="341">
        <f>(('A - Inputs'!E64*'A - Inputs'!E100)+('A - Inputs'!G64*'A - Inputs'!G100))/3600*2</f>
        <v>66659.256157986121</v>
      </c>
      <c r="E44" s="342">
        <f>IF(B44&gt;=BenefitStart,(('A - Inputs'!F64*'A - Inputs'!F100)+('A - Inputs'!H64*'A - Inputs'!H100))/3600*2, D44)</f>
        <v>19461.08774826389</v>
      </c>
      <c r="F44" s="284">
        <f t="shared" si="11"/>
        <v>65326.071034826396</v>
      </c>
      <c r="G44" s="292">
        <f t="shared" si="12"/>
        <v>19071.865993298612</v>
      </c>
      <c r="H44" s="284">
        <f t="shared" si="6"/>
        <v>1333.1851231597248</v>
      </c>
      <c r="I44" s="292">
        <f t="shared" si="7"/>
        <v>389.2217549652778</v>
      </c>
      <c r="J44" s="284">
        <f t="shared" si="13"/>
        <v>46254.205041527784</v>
      </c>
      <c r="K44" s="292">
        <f t="shared" si="8"/>
        <v>943.96336819444696</v>
      </c>
      <c r="L44" s="284">
        <f t="shared" si="14"/>
        <v>77244.5224193514</v>
      </c>
      <c r="M44" s="292">
        <f t="shared" si="2"/>
        <v>943.96336819444696</v>
      </c>
      <c r="N44" s="293">
        <f t="shared" si="9"/>
        <v>1374952.499064455</v>
      </c>
      <c r="O44" s="294">
        <f t="shared" si="3"/>
        <v>30206.827782222303</v>
      </c>
      <c r="P44" s="158">
        <f t="shared" si="10"/>
        <v>1405159.3268466773</v>
      </c>
      <c r="Q44" s="163">
        <f>P44/(1+disc2)^($B44-'A - Inputs'!$C$6)</f>
        <v>172515.63543059063</v>
      </c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</row>
    <row r="45" spans="2:42" x14ac:dyDescent="0.25">
      <c r="B45" s="280" t="s">
        <v>81</v>
      </c>
      <c r="C45" s="281"/>
      <c r="D45" s="295">
        <f>SUM(D15:D44)</f>
        <v>1670497.2388628472</v>
      </c>
      <c r="E45" s="296">
        <f t="shared" ref="E45:Q45" si="15">SUM(E15:E44)</f>
        <v>561815.47392534709</v>
      </c>
      <c r="F45" s="295">
        <f t="shared" si="15"/>
        <v>1637087.2940855899</v>
      </c>
      <c r="G45" s="296">
        <f t="shared" si="15"/>
        <v>550579.1644468403</v>
      </c>
      <c r="H45" s="295">
        <f t="shared" si="15"/>
        <v>33409.944777256998</v>
      </c>
      <c r="I45" s="296">
        <f t="shared" si="15"/>
        <v>11236.309478506957</v>
      </c>
      <c r="J45" s="297">
        <f t="shared" si="15"/>
        <v>1086508.1296387501</v>
      </c>
      <c r="K45" s="296">
        <f t="shared" si="15"/>
        <v>22173.635298750043</v>
      </c>
      <c r="L45" s="297">
        <f t="shared" si="15"/>
        <v>1814468.5764967124</v>
      </c>
      <c r="M45" s="296">
        <f t="shared" si="15"/>
        <v>22173.635298750043</v>
      </c>
      <c r="N45" s="274">
        <f t="shared" si="15"/>
        <v>32297540.661641479</v>
      </c>
      <c r="O45" s="285">
        <f t="shared" si="15"/>
        <v>709556.32956000138</v>
      </c>
      <c r="P45" s="164">
        <f t="shared" si="15"/>
        <v>33007096.991201483</v>
      </c>
      <c r="Q45" s="165">
        <f t="shared" si="15"/>
        <v>10378954.164550256</v>
      </c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</row>
    <row r="46" spans="2:42" x14ac:dyDescent="0.25">
      <c r="B46" s="511"/>
      <c r="C46" s="511"/>
      <c r="D46" s="511"/>
      <c r="E46" s="511"/>
      <c r="F46" s="517"/>
      <c r="G46" s="511"/>
      <c r="H46" s="511"/>
      <c r="I46" s="511"/>
      <c r="J46" s="511"/>
      <c r="K46" s="511"/>
      <c r="L46" s="511"/>
      <c r="M46" s="511"/>
      <c r="N46" s="511"/>
      <c r="O46" s="511"/>
      <c r="P46" s="511"/>
      <c r="Q46" s="511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</row>
    <row r="47" spans="2:42" x14ac:dyDescent="0.25">
      <c r="B47" s="511"/>
      <c r="C47" s="511"/>
      <c r="D47" s="511"/>
      <c r="E47" s="511"/>
      <c r="F47" s="511"/>
      <c r="G47" s="511"/>
      <c r="H47" s="511"/>
      <c r="I47" s="511"/>
      <c r="J47" s="511"/>
      <c r="K47" s="511"/>
      <c r="L47" s="511"/>
      <c r="M47" s="511"/>
      <c r="N47" s="511"/>
      <c r="O47" s="511"/>
      <c r="P47" s="511"/>
      <c r="Q47" s="511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</row>
  </sheetData>
  <mergeCells count="1">
    <mergeCell ref="D12:E13"/>
  </mergeCells>
  <pageMargins left="0.7" right="0.7" top="0.75" bottom="0.75" header="0.3" footer="0.3"/>
  <pageSetup scale="50" orientation="landscape" horizontalDpi="90" verticalDpi="90" r:id="rId1"/>
  <headerFooter>
    <oddHeader>&amp;L&amp;"Arial,Bold"Post and McDuff Innovative Rail Crossing
CRISI 2022 BCA&amp;C
&amp;R&amp;"Arial,Bold"&amp;A</oddHeader>
    <oddFooter>&amp;CPage I-&amp;P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2E921-379A-442C-B3F5-B92347A62E5A}">
  <sheetPr>
    <tabColor theme="6" tint="0.39997558519241921"/>
  </sheetPr>
  <dimension ref="A1:AR45"/>
  <sheetViews>
    <sheetView workbookViewId="0"/>
  </sheetViews>
  <sheetFormatPr defaultColWidth="8.7109375" defaultRowHeight="15" x14ac:dyDescent="0.25"/>
  <cols>
    <col min="1" max="1" width="3.5703125" style="15" customWidth="1"/>
    <col min="2" max="3" width="14.85546875" style="15" customWidth="1"/>
    <col min="4" max="4" width="18.42578125" style="15" customWidth="1"/>
    <col min="5" max="7" width="14.85546875" style="15" customWidth="1"/>
    <col min="8" max="9" width="14.85546875" style="12" customWidth="1"/>
    <col min="10" max="10" width="14.42578125" style="12" customWidth="1"/>
    <col min="11" max="11" width="15.7109375" style="15" customWidth="1"/>
    <col min="12" max="12" width="14.85546875" style="15" customWidth="1"/>
    <col min="13" max="13" width="19.5703125" style="15" customWidth="1"/>
    <col min="14" max="14" width="17.140625" style="15" customWidth="1"/>
    <col min="15" max="19" width="14.85546875" style="15" customWidth="1"/>
    <col min="20" max="22" width="10.28515625" customWidth="1"/>
    <col min="23" max="25" width="12" bestFit="1" customWidth="1"/>
    <col min="26" max="26" width="13.7109375" customWidth="1"/>
    <col min="45" max="16384" width="8.7109375" style="15"/>
  </cols>
  <sheetData>
    <row r="1" spans="1:44" s="22" customFormat="1" x14ac:dyDescent="0.25">
      <c r="A1" s="124" t="str" cm="1">
        <f t="array" aca="1" ref="A1" ca="1">MID(CELL("filename",A1),FIND("]",CELL("filename",A1))+1,255)</f>
        <v>J -Operating Cost Savings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</row>
    <row r="2" spans="1:44" customFormat="1" ht="12.75" x14ac:dyDescent="0.2"/>
    <row r="3" spans="1:44" s="22" customFormat="1" x14ac:dyDescent="0.25">
      <c r="B3" s="289" t="s">
        <v>294</v>
      </c>
      <c r="C3" s="288"/>
      <c r="D3" s="288"/>
      <c r="E3" s="288"/>
      <c r="F3" s="288"/>
      <c r="G3" s="288"/>
      <c r="H3" s="288"/>
      <c r="I3" s="288"/>
      <c r="K3" s="338"/>
      <c r="L3" s="338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</row>
    <row r="4" spans="1:44" s="14" customFormat="1" x14ac:dyDescent="0.25">
      <c r="A4" s="523"/>
      <c r="B4" s="505" t="s">
        <v>202</v>
      </c>
      <c r="C4" s="531"/>
      <c r="D4" s="531"/>
      <c r="E4" s="507">
        <v>0.45</v>
      </c>
      <c r="F4" s="506" t="s">
        <v>126</v>
      </c>
      <c r="G4" s="508" t="s">
        <v>35</v>
      </c>
      <c r="H4" s="505" t="str">
        <f>'A - Inputs'!C20</f>
        <v>USDOT Benefit-Cost Analysis Guidance for Discretionary Grant Programs 2022</v>
      </c>
      <c r="K4" s="523"/>
      <c r="L4" s="339"/>
      <c r="M4" s="523"/>
      <c r="N4" s="523"/>
      <c r="O4"/>
      <c r="P4" s="523"/>
      <c r="Q4" s="526"/>
      <c r="R4" s="523"/>
      <c r="S4" s="523"/>
      <c r="T4" s="100"/>
      <c r="U4" s="511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</row>
    <row r="5" spans="1:44" s="14" customFormat="1" x14ac:dyDescent="0.25">
      <c r="A5" s="523"/>
      <c r="B5" s="505" t="s">
        <v>293</v>
      </c>
      <c r="C5" s="531"/>
      <c r="D5" s="531"/>
      <c r="E5" s="507">
        <v>0.94</v>
      </c>
      <c r="F5" s="506" t="s">
        <v>126</v>
      </c>
      <c r="G5" s="508"/>
      <c r="I5" s="508"/>
      <c r="J5" s="505"/>
      <c r="K5" s="523"/>
      <c r="L5" s="339"/>
      <c r="M5" s="523"/>
      <c r="N5" s="523"/>
      <c r="O5"/>
      <c r="P5" s="523"/>
      <c r="Q5" s="526"/>
      <c r="R5" s="523"/>
      <c r="S5" s="523"/>
      <c r="T5" s="100"/>
      <c r="U5" s="511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</row>
    <row r="6" spans="1:44" ht="15.6" customHeight="1" x14ac:dyDescent="0.25">
      <c r="A6" s="511"/>
      <c r="B6" s="1" t="s">
        <v>296</v>
      </c>
      <c r="C6" s="1"/>
      <c r="D6"/>
      <c r="E6" s="514">
        <f>'A - Inputs'!C29</f>
        <v>0.02</v>
      </c>
      <c r="F6" s="514"/>
      <c r="G6" s="1"/>
      <c r="H6" s="1"/>
      <c r="I6" s="1"/>
      <c r="J6" s="1"/>
      <c r="K6" s="1"/>
      <c r="L6"/>
      <c r="M6"/>
      <c r="N6"/>
      <c r="O6"/>
      <c r="P6" s="511"/>
      <c r="Q6" s="511"/>
      <c r="R6" s="511"/>
      <c r="S6" s="511"/>
      <c r="T6" s="100"/>
    </row>
    <row r="7" spans="1:44" ht="15.6" customHeight="1" x14ac:dyDescent="0.25">
      <c r="A7" s="511"/>
      <c r="B7" s="1"/>
      <c r="C7" s="1"/>
      <c r="D7"/>
      <c r="E7" s="514"/>
      <c r="F7" s="514"/>
      <c r="G7" s="1"/>
      <c r="H7" s="1"/>
      <c r="I7" s="1"/>
      <c r="J7" s="1"/>
      <c r="K7" s="1"/>
      <c r="L7"/>
      <c r="M7"/>
      <c r="N7"/>
      <c r="O7"/>
      <c r="P7" s="511"/>
      <c r="Q7" s="511"/>
      <c r="R7" s="511"/>
      <c r="S7" s="511"/>
      <c r="T7" s="100"/>
    </row>
    <row r="8" spans="1:44" x14ac:dyDescent="0.25">
      <c r="A8" s="511"/>
      <c r="B8" s="289" t="s">
        <v>203</v>
      </c>
      <c r="C8" s="288"/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288"/>
      <c r="P8" s="288"/>
      <c r="Q8" s="288"/>
      <c r="R8" s="288"/>
      <c r="S8" s="288"/>
      <c r="T8" s="100"/>
    </row>
    <row r="9" spans="1:44" x14ac:dyDescent="0.25">
      <c r="A9" s="511"/>
      <c r="B9" s="511"/>
      <c r="C9" s="270"/>
      <c r="D9" s="301"/>
      <c r="E9" s="301"/>
      <c r="F9" s="301"/>
      <c r="G9" s="511"/>
      <c r="H9" s="511"/>
      <c r="I9" s="511"/>
      <c r="J9" s="511"/>
      <c r="K9" s="511"/>
      <c r="L9"/>
      <c r="M9"/>
      <c r="N9"/>
      <c r="O9"/>
      <c r="P9"/>
      <c r="Q9"/>
      <c r="R9"/>
      <c r="S9" s="511"/>
    </row>
    <row r="10" spans="1:44" s="50" customFormat="1" ht="14.45" customHeight="1" x14ac:dyDescent="0.25">
      <c r="D10" s="677" t="s">
        <v>295</v>
      </c>
      <c r="E10" s="678"/>
      <c r="F10" s="579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4" ht="15" customHeight="1" x14ac:dyDescent="0.25">
      <c r="A11" s="511"/>
      <c r="B11" s="511"/>
      <c r="C11" s="527"/>
      <c r="D11" s="679" t="s">
        <v>298</v>
      </c>
      <c r="E11" s="680"/>
      <c r="F11" s="683" t="s">
        <v>219</v>
      </c>
      <c r="G11" s="684"/>
      <c r="H11" s="685" t="s">
        <v>297</v>
      </c>
      <c r="I11" s="684"/>
      <c r="J11" s="681" t="s">
        <v>50</v>
      </c>
      <c r="K11" s="682"/>
      <c r="L11" s="675" t="s">
        <v>156</v>
      </c>
      <c r="M11" s="676"/>
      <c r="N11"/>
      <c r="O11"/>
      <c r="P11"/>
      <c r="Q11"/>
      <c r="R11"/>
      <c r="S11"/>
      <c r="AH11" s="511"/>
      <c r="AI11" s="511"/>
      <c r="AJ11" s="511"/>
      <c r="AK11" s="511"/>
      <c r="AL11" s="511"/>
      <c r="AM11" s="511"/>
      <c r="AN11" s="511"/>
      <c r="AO11" s="511"/>
      <c r="AP11" s="511"/>
      <c r="AQ11" s="511"/>
      <c r="AR11" s="511"/>
    </row>
    <row r="12" spans="1:44" s="14" customFormat="1" ht="45" customHeight="1" x14ac:dyDescent="0.25">
      <c r="A12" s="523"/>
      <c r="B12" s="18" t="s">
        <v>36</v>
      </c>
      <c r="C12" s="18" t="s">
        <v>37</v>
      </c>
      <c r="D12" s="572" t="s">
        <v>217</v>
      </c>
      <c r="E12" s="573" t="s">
        <v>218</v>
      </c>
      <c r="F12" s="574" t="s">
        <v>217</v>
      </c>
      <c r="G12" s="573" t="s">
        <v>218</v>
      </c>
      <c r="H12" s="572" t="s">
        <v>217</v>
      </c>
      <c r="I12" s="574" t="s">
        <v>218</v>
      </c>
      <c r="J12" s="305" t="s">
        <v>217</v>
      </c>
      <c r="K12" s="573" t="s">
        <v>218</v>
      </c>
      <c r="L12" s="19" t="s">
        <v>81</v>
      </c>
      <c r="M12" s="20" t="str">
        <f>"Present Value ("&amp;TEXT(disc2,"0%")&amp;" Discount Rate)"</f>
        <v>Present Value (7% Discount Rate)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 s="523"/>
      <c r="AI12" s="523"/>
      <c r="AJ12" s="523"/>
      <c r="AK12" s="523"/>
      <c r="AL12" s="523"/>
      <c r="AM12" s="523"/>
      <c r="AN12" s="523"/>
      <c r="AO12" s="523"/>
      <c r="AP12" s="523"/>
      <c r="AQ12" s="523"/>
      <c r="AR12" s="523"/>
    </row>
    <row r="13" spans="1:44" x14ac:dyDescent="0.25">
      <c r="A13" s="511"/>
      <c r="B13" s="279">
        <f>'A - Inputs'!$C$7</f>
        <v>2022</v>
      </c>
      <c r="C13" s="596">
        <v>1</v>
      </c>
      <c r="D13" s="576">
        <f>'L - Environmental'!C17*(1-$E$6)</f>
        <v>1331993.1072000002</v>
      </c>
      <c r="E13" s="577">
        <f>'L - Environmental'!C17*($E$6)</f>
        <v>27183.532800000004</v>
      </c>
      <c r="F13" s="576">
        <f>'L - Environmental'!D17*(1-$E$6)</f>
        <v>1331993.1072000002</v>
      </c>
      <c r="G13" s="578">
        <f>'L - Environmental'!D17*($E$6)</f>
        <v>27183.532800000004</v>
      </c>
      <c r="H13" s="580">
        <f>D13-F13</f>
        <v>0</v>
      </c>
      <c r="I13" s="580">
        <f>E13-G13</f>
        <v>0</v>
      </c>
      <c r="J13" s="598">
        <f>H13*$E$4</f>
        <v>0</v>
      </c>
      <c r="K13" s="599">
        <f>J13*$E$5</f>
        <v>0</v>
      </c>
      <c r="L13" s="158">
        <f>SUM(J13:K13)</f>
        <v>0</v>
      </c>
      <c r="M13" s="163">
        <f>L13/(1+disc2)^($B13-'A - Inputs'!$C$6)</f>
        <v>0</v>
      </c>
      <c r="N13"/>
      <c r="O13"/>
      <c r="P13"/>
      <c r="Q13"/>
      <c r="R13"/>
      <c r="S13"/>
      <c r="AH13" s="511"/>
      <c r="AI13" s="511"/>
      <c r="AJ13" s="511"/>
      <c r="AK13" s="511"/>
      <c r="AL13" s="511"/>
      <c r="AM13" s="511"/>
      <c r="AN13" s="511"/>
      <c r="AO13" s="511"/>
      <c r="AP13" s="511"/>
      <c r="AQ13" s="511"/>
      <c r="AR13" s="511"/>
    </row>
    <row r="14" spans="1:44" x14ac:dyDescent="0.25">
      <c r="A14" s="511"/>
      <c r="B14" s="519">
        <f t="shared" ref="B14:C29" si="0">B13+1</f>
        <v>2023</v>
      </c>
      <c r="C14" s="597">
        <f t="shared" si="0"/>
        <v>2</v>
      </c>
      <c r="D14" s="576">
        <f>'L - Environmental'!C18*(1-$E$6)</f>
        <v>1351820.2476697913</v>
      </c>
      <c r="E14" s="577">
        <f>'L - Environmental'!C18*($E$6)</f>
        <v>27588.168319791665</v>
      </c>
      <c r="F14" s="576">
        <f>'L - Environmental'!D18*(1-$E$6)</f>
        <v>1351820.2476697913</v>
      </c>
      <c r="G14" s="578">
        <f>'L - Environmental'!D18*($E$6)</f>
        <v>27588.168319791665</v>
      </c>
      <c r="H14" s="580">
        <f t="shared" ref="H14:H42" si="1">D14-F14</f>
        <v>0</v>
      </c>
      <c r="I14" s="580">
        <f t="shared" ref="I14:I42" si="2">E14-G14</f>
        <v>0</v>
      </c>
      <c r="J14" s="598">
        <f t="shared" ref="J14:J42" si="3">H14*$E$4</f>
        <v>0</v>
      </c>
      <c r="K14" s="599">
        <f t="shared" ref="K14:K42" si="4">J14*$E$5</f>
        <v>0</v>
      </c>
      <c r="L14" s="158">
        <f t="shared" ref="L14:L42" si="5">SUM(J14:K14)</f>
        <v>0</v>
      </c>
      <c r="M14" s="163">
        <f>L14/(1+disc2)^($B14-'A - Inputs'!$C$6)</f>
        <v>0</v>
      </c>
      <c r="N14"/>
      <c r="O14"/>
      <c r="P14"/>
      <c r="Q14"/>
      <c r="R14"/>
      <c r="S14"/>
      <c r="AH14" s="511"/>
      <c r="AI14" s="511"/>
      <c r="AJ14" s="511"/>
      <c r="AK14" s="511"/>
      <c r="AL14" s="511"/>
      <c r="AM14" s="511"/>
      <c r="AN14" s="511"/>
      <c r="AO14" s="511"/>
      <c r="AP14" s="511"/>
      <c r="AQ14" s="511"/>
      <c r="AR14" s="511"/>
    </row>
    <row r="15" spans="1:44" customFormat="1" x14ac:dyDescent="0.25">
      <c r="A15" s="511"/>
      <c r="B15" s="519">
        <f t="shared" si="0"/>
        <v>2024</v>
      </c>
      <c r="C15" s="597">
        <f t="shared" si="0"/>
        <v>3</v>
      </c>
      <c r="D15" s="576">
        <f>'L - Environmental'!C19*(1-$E$6)</f>
        <v>1371777.4422041667</v>
      </c>
      <c r="E15" s="577">
        <f>'L - Environmental'!C19*($E$6)</f>
        <v>27995.458004166667</v>
      </c>
      <c r="F15" s="576">
        <f>'L - Environmental'!D19*(1-$E$6)</f>
        <v>1371777.4422041667</v>
      </c>
      <c r="G15" s="578">
        <f>'L - Environmental'!D19*($E$6)</f>
        <v>27995.458004166667</v>
      </c>
      <c r="H15" s="580">
        <f t="shared" si="1"/>
        <v>0</v>
      </c>
      <c r="I15" s="580">
        <f t="shared" si="2"/>
        <v>0</v>
      </c>
      <c r="J15" s="598">
        <f t="shared" si="3"/>
        <v>0</v>
      </c>
      <c r="K15" s="599">
        <f t="shared" si="4"/>
        <v>0</v>
      </c>
      <c r="L15" s="158">
        <f t="shared" si="5"/>
        <v>0</v>
      </c>
      <c r="M15" s="163">
        <f>L15/(1+disc2)^($B15-'A - Inputs'!$C$6)</f>
        <v>0</v>
      </c>
    </row>
    <row r="16" spans="1:44" customFormat="1" x14ac:dyDescent="0.25">
      <c r="A16" s="511"/>
      <c r="B16" s="519">
        <f t="shared" si="0"/>
        <v>2025</v>
      </c>
      <c r="C16" s="597">
        <f t="shared" si="0"/>
        <v>4</v>
      </c>
      <c r="D16" s="576">
        <f>'L - Environmental'!C20*(1-$E$6)</f>
        <v>1391864.6908031248</v>
      </c>
      <c r="E16" s="577">
        <f>'L - Environmental'!C20*($E$6)</f>
        <v>28405.401853124997</v>
      </c>
      <c r="F16" s="576">
        <f>'L - Environmental'!D20*(1-$E$6)</f>
        <v>1391864.6908031248</v>
      </c>
      <c r="G16" s="578">
        <f>'L - Environmental'!D20*($E$6)</f>
        <v>28405.401853124997</v>
      </c>
      <c r="H16" s="580">
        <f>D16-F16</f>
        <v>0</v>
      </c>
      <c r="I16" s="580">
        <f t="shared" si="2"/>
        <v>0</v>
      </c>
      <c r="J16" s="598">
        <f t="shared" si="3"/>
        <v>0</v>
      </c>
      <c r="K16" s="599">
        <f t="shared" si="4"/>
        <v>0</v>
      </c>
      <c r="L16" s="158">
        <f t="shared" si="5"/>
        <v>0</v>
      </c>
      <c r="M16" s="163">
        <f>L16/(1+disc2)^($B16-'A - Inputs'!$C$6)</f>
        <v>0</v>
      </c>
    </row>
    <row r="17" spans="1:13" customFormat="1" x14ac:dyDescent="0.25">
      <c r="A17" s="511"/>
      <c r="B17" s="519">
        <f t="shared" si="0"/>
        <v>2026</v>
      </c>
      <c r="C17" s="597">
        <f t="shared" si="0"/>
        <v>5</v>
      </c>
      <c r="D17" s="576">
        <f>'L - Environmental'!C21*(1-$E$6)</f>
        <v>1412081.9934666664</v>
      </c>
      <c r="E17" s="577">
        <f>'L - Environmental'!C21*($E$6)</f>
        <v>28817.999866666665</v>
      </c>
      <c r="F17" s="576">
        <f>'L - Environmental'!D21*(1-$E$6)</f>
        <v>287968.30253333331</v>
      </c>
      <c r="G17" s="578">
        <f>'L - Environmental'!D21*($E$6)</f>
        <v>5876.9041333333334</v>
      </c>
      <c r="H17" s="580">
        <f t="shared" si="1"/>
        <v>1124113.6909333332</v>
      </c>
      <c r="I17" s="580">
        <f t="shared" si="2"/>
        <v>22941.095733333332</v>
      </c>
      <c r="J17" s="598">
        <f>H17*$E$4</f>
        <v>505851.16091999999</v>
      </c>
      <c r="K17" s="599">
        <f t="shared" si="4"/>
        <v>475500.09126479999</v>
      </c>
      <c r="L17" s="158">
        <f t="shared" si="5"/>
        <v>981351.25218479999</v>
      </c>
      <c r="M17" s="163">
        <f>L17/(1+disc2)^($B17-'A - Inputs'!$C$6)</f>
        <v>653915.77572593885</v>
      </c>
    </row>
    <row r="18" spans="1:13" customFormat="1" x14ac:dyDescent="0.25">
      <c r="A18" s="511"/>
      <c r="B18" s="519">
        <f t="shared" si="0"/>
        <v>2027</v>
      </c>
      <c r="C18" s="597">
        <f t="shared" si="0"/>
        <v>6</v>
      </c>
      <c r="D18" s="576">
        <f>'L - Environmental'!C22*(1-$E$6)</f>
        <v>1432429.350194792</v>
      </c>
      <c r="E18" s="577">
        <f>'L - Environmental'!C22*($E$6)</f>
        <v>29233.252044791672</v>
      </c>
      <c r="F18" s="576">
        <f>'L - Environmental'!D22*(1-$E$6)</f>
        <v>298304.76754895831</v>
      </c>
      <c r="G18" s="578">
        <f>'L - Environmental'!D22*($E$6)</f>
        <v>6087.8523989583327</v>
      </c>
      <c r="H18" s="580">
        <f t="shared" si="1"/>
        <v>1134124.5826458337</v>
      </c>
      <c r="I18" s="580">
        <f t="shared" si="2"/>
        <v>23145.399645833339</v>
      </c>
      <c r="J18" s="598">
        <f t="shared" si="3"/>
        <v>510356.06219062518</v>
      </c>
      <c r="K18" s="599">
        <f t="shared" si="4"/>
        <v>479734.69845918764</v>
      </c>
      <c r="L18" s="158">
        <f t="shared" si="5"/>
        <v>990090.76064981287</v>
      </c>
      <c r="M18" s="163">
        <f>L18/(1+disc2)^($B18-'A - Inputs'!$C$6)</f>
        <v>616578.7656369895</v>
      </c>
    </row>
    <row r="19" spans="1:13" customFormat="1" x14ac:dyDescent="0.25">
      <c r="A19" s="511"/>
      <c r="B19" s="519">
        <f t="shared" si="0"/>
        <v>2028</v>
      </c>
      <c r="C19" s="597">
        <f t="shared" si="0"/>
        <v>7</v>
      </c>
      <c r="D19" s="576">
        <f>'L - Environmental'!C23*(1-$E$6)</f>
        <v>1452906.7609874997</v>
      </c>
      <c r="E19" s="577">
        <f>'L - Environmental'!C23*($E$6)</f>
        <v>29651.158387499996</v>
      </c>
      <c r="F19" s="576">
        <f>'L - Environmental'!D23*(1-$E$6)</f>
        <v>308727.15273749997</v>
      </c>
      <c r="G19" s="578">
        <f>'L - Environmental'!D23*($E$6)</f>
        <v>6300.5541374999993</v>
      </c>
      <c r="H19" s="580">
        <f t="shared" si="1"/>
        <v>1144179.6082499998</v>
      </c>
      <c r="I19" s="580">
        <f t="shared" si="2"/>
        <v>23350.604249999997</v>
      </c>
      <c r="J19" s="598">
        <f t="shared" si="3"/>
        <v>514880.82371249993</v>
      </c>
      <c r="K19" s="599">
        <f t="shared" si="4"/>
        <v>483987.97428974992</v>
      </c>
      <c r="L19" s="158">
        <f t="shared" si="5"/>
        <v>998868.79800224979</v>
      </c>
      <c r="M19" s="163">
        <f>L19/(1+disc2)^($B19-'A - Inputs'!$C$6)</f>
        <v>581350.73470324569</v>
      </c>
    </row>
    <row r="20" spans="1:13" customFormat="1" x14ac:dyDescent="0.25">
      <c r="A20" s="511"/>
      <c r="B20" s="519">
        <f t="shared" si="0"/>
        <v>2029</v>
      </c>
      <c r="C20" s="597">
        <f t="shared" si="0"/>
        <v>8</v>
      </c>
      <c r="D20" s="576">
        <f>'L - Environmental'!C24*(1-$E$6)</f>
        <v>1473514.2258447914</v>
      </c>
      <c r="E20" s="577">
        <f>'L - Environmental'!C24*($E$6)</f>
        <v>30071.718894791666</v>
      </c>
      <c r="F20" s="576">
        <f>'L - Environmental'!D24*(1-$E$6)</f>
        <v>319235.4580989583</v>
      </c>
      <c r="G20" s="578">
        <f>'L - Environmental'!D24*($E$6)</f>
        <v>6515.0093489583323</v>
      </c>
      <c r="H20" s="580">
        <f t="shared" si="1"/>
        <v>1154278.7677458331</v>
      </c>
      <c r="I20" s="580">
        <f t="shared" si="2"/>
        <v>23556.709545833335</v>
      </c>
      <c r="J20" s="598">
        <f t="shared" si="3"/>
        <v>519425.44548562495</v>
      </c>
      <c r="K20" s="599">
        <f t="shared" si="4"/>
        <v>488259.91875648743</v>
      </c>
      <c r="L20" s="158">
        <f t="shared" si="5"/>
        <v>1007685.3642421124</v>
      </c>
      <c r="M20" s="163">
        <f>L20/(1+disc2)^($B20-'A - Inputs'!$C$6)</f>
        <v>548114.07151948253</v>
      </c>
    </row>
    <row r="21" spans="1:13" customFormat="1" x14ac:dyDescent="0.25">
      <c r="A21" s="511"/>
      <c r="B21" s="519">
        <f t="shared" si="0"/>
        <v>2030</v>
      </c>
      <c r="C21" s="597">
        <f t="shared" si="0"/>
        <v>9</v>
      </c>
      <c r="D21" s="576">
        <f>'L - Environmental'!C25*(1-$E$6)</f>
        <v>1494251.7447666668</v>
      </c>
      <c r="E21" s="577">
        <f>'L - Environmental'!C25*($E$6)</f>
        <v>30494.93356666667</v>
      </c>
      <c r="F21" s="576">
        <f>'L - Environmental'!D25*(1-$E$6)</f>
        <v>329829.6836333333</v>
      </c>
      <c r="G21" s="578">
        <f>'L - Environmental'!D25*($E$6)</f>
        <v>6731.2180333333336</v>
      </c>
      <c r="H21" s="580">
        <f t="shared" si="1"/>
        <v>1164422.0611333335</v>
      </c>
      <c r="I21" s="580">
        <f t="shared" si="2"/>
        <v>23763.715533333336</v>
      </c>
      <c r="J21" s="598">
        <f t="shared" si="3"/>
        <v>523989.92751000007</v>
      </c>
      <c r="K21" s="599">
        <f t="shared" si="4"/>
        <v>492550.53185940004</v>
      </c>
      <c r="L21" s="158">
        <f t="shared" si="5"/>
        <v>1016540.4593694001</v>
      </c>
      <c r="M21" s="163">
        <f>L21/(1+disc2)^($B21-'A - Inputs'!$C$6)</f>
        <v>516757.62294673536</v>
      </c>
    </row>
    <row r="22" spans="1:13" customFormat="1" x14ac:dyDescent="0.25">
      <c r="A22" s="511"/>
      <c r="B22" s="519">
        <f t="shared" si="0"/>
        <v>2031</v>
      </c>
      <c r="C22" s="597">
        <f t="shared" si="0"/>
        <v>10</v>
      </c>
      <c r="D22" s="576">
        <f>'L - Environmental'!C26*(1-$E$6)</f>
        <v>1515119.317753125</v>
      </c>
      <c r="E22" s="577">
        <f>'L - Environmental'!C26*($E$6)</f>
        <v>30920.802403124999</v>
      </c>
      <c r="F22" s="576">
        <f>'L - Environmental'!D26*(1-$E$6)</f>
        <v>340509.82934062497</v>
      </c>
      <c r="G22" s="578">
        <f>'L - Environmental'!D26*($E$6)</f>
        <v>6949.1801906250003</v>
      </c>
      <c r="H22" s="580">
        <f t="shared" si="1"/>
        <v>1174609.4884124999</v>
      </c>
      <c r="I22" s="580">
        <f t="shared" si="2"/>
        <v>23971.622212499999</v>
      </c>
      <c r="J22" s="598">
        <f t="shared" si="3"/>
        <v>528574.26978562493</v>
      </c>
      <c r="K22" s="599">
        <f t="shared" si="4"/>
        <v>496859.81359848741</v>
      </c>
      <c r="L22" s="158">
        <f t="shared" si="5"/>
        <v>1025434.0833841123</v>
      </c>
      <c r="M22" s="163">
        <f>L22/(1+disc2)^($B22-'A - Inputs'!$C$6)</f>
        <v>487176.34618609963</v>
      </c>
    </row>
    <row r="23" spans="1:13" customFormat="1" x14ac:dyDescent="0.25">
      <c r="A23" s="511"/>
      <c r="B23" s="519">
        <f t="shared" si="0"/>
        <v>2032</v>
      </c>
      <c r="C23" s="597">
        <f t="shared" si="0"/>
        <v>11</v>
      </c>
      <c r="D23" s="576">
        <f>'L - Environmental'!C27*(1-$E$6)</f>
        <v>1536116.9448041669</v>
      </c>
      <c r="E23" s="577">
        <f>'L - Environmental'!C27*($E$6)</f>
        <v>31349.325404166673</v>
      </c>
      <c r="F23" s="576">
        <f>'L - Environmental'!D27*(1-$E$6)</f>
        <v>351275.89522083331</v>
      </c>
      <c r="G23" s="578">
        <f>'L - Environmental'!D27*($E$6)</f>
        <v>7168.8958208333333</v>
      </c>
      <c r="H23" s="580">
        <f t="shared" si="1"/>
        <v>1184841.0495833335</v>
      </c>
      <c r="I23" s="580">
        <f t="shared" si="2"/>
        <v>24180.429583333338</v>
      </c>
      <c r="J23" s="598">
        <f t="shared" si="3"/>
        <v>533178.47231250012</v>
      </c>
      <c r="K23" s="599">
        <f t="shared" si="4"/>
        <v>501187.76397375006</v>
      </c>
      <c r="L23" s="158">
        <f t="shared" si="5"/>
        <v>1034366.2362862502</v>
      </c>
      <c r="M23" s="163">
        <f>L23/(1+disc2)^($B23-'A - Inputs'!$C$6)</f>
        <v>459270.97914592328</v>
      </c>
    </row>
    <row r="24" spans="1:13" customFormat="1" x14ac:dyDescent="0.25">
      <c r="A24" s="511"/>
      <c r="B24" s="519">
        <f t="shared" si="0"/>
        <v>2033</v>
      </c>
      <c r="C24" s="597">
        <f t="shared" si="0"/>
        <v>12</v>
      </c>
      <c r="D24" s="576">
        <f>'L - Environmental'!C28*(1-$E$6)</f>
        <v>1557244.6259197916</v>
      </c>
      <c r="E24" s="577">
        <f>'L - Environmental'!C28*($E$6)</f>
        <v>31780.502569791664</v>
      </c>
      <c r="F24" s="576">
        <f>'L - Environmental'!D28*(1-$E$6)</f>
        <v>362127.88127395837</v>
      </c>
      <c r="G24" s="578">
        <f>'L - Environmental'!D28*($E$6)</f>
        <v>7390.3649239583337</v>
      </c>
      <c r="H24" s="580">
        <f t="shared" si="1"/>
        <v>1195116.7446458333</v>
      </c>
      <c r="I24" s="580">
        <f t="shared" si="2"/>
        <v>24390.137645833332</v>
      </c>
      <c r="J24" s="598">
        <f t="shared" si="3"/>
        <v>537802.53509062494</v>
      </c>
      <c r="K24" s="599">
        <f t="shared" si="4"/>
        <v>505534.3829851874</v>
      </c>
      <c r="L24" s="158">
        <f t="shared" si="5"/>
        <v>1043336.9180758123</v>
      </c>
      <c r="M24" s="163">
        <f>L24/(1+disc2)^($B24-'A - Inputs'!$C$6)</f>
        <v>432947.72817105782</v>
      </c>
    </row>
    <row r="25" spans="1:13" customFormat="1" x14ac:dyDescent="0.25">
      <c r="A25" s="511"/>
      <c r="B25" s="519">
        <f t="shared" si="0"/>
        <v>2034</v>
      </c>
      <c r="C25" s="597">
        <f t="shared" si="0"/>
        <v>13</v>
      </c>
      <c r="D25" s="576">
        <f>'L - Environmental'!C29*(1-$E$6)</f>
        <v>1578502.3610999999</v>
      </c>
      <c r="E25" s="577">
        <f>'L - Environmental'!C29*($E$6)</f>
        <v>32214.333899999998</v>
      </c>
      <c r="F25" s="576">
        <f>'L - Environmental'!D29*(1-$E$6)</f>
        <v>373065.78749999998</v>
      </c>
      <c r="G25" s="578">
        <f>'L - Environmental'!D29*($E$6)</f>
        <v>7613.5875000000005</v>
      </c>
      <c r="H25" s="580">
        <f t="shared" si="1"/>
        <v>1205436.5735999998</v>
      </c>
      <c r="I25" s="580">
        <f t="shared" si="2"/>
        <v>24600.746399999996</v>
      </c>
      <c r="J25" s="598">
        <f t="shared" si="3"/>
        <v>542446.45811999997</v>
      </c>
      <c r="K25" s="599">
        <f t="shared" si="4"/>
        <v>509899.67063279991</v>
      </c>
      <c r="L25" s="158">
        <f t="shared" si="5"/>
        <v>1052346.1287527999</v>
      </c>
      <c r="M25" s="163">
        <f>L25/(1+disc2)^($B25-'A - Inputs'!$C$6)</f>
        <v>408117.97224817344</v>
      </c>
    </row>
    <row r="26" spans="1:13" customFormat="1" x14ac:dyDescent="0.25">
      <c r="A26" s="511"/>
      <c r="B26" s="519">
        <f t="shared" si="0"/>
        <v>2035</v>
      </c>
      <c r="C26" s="597">
        <f t="shared" si="0"/>
        <v>14</v>
      </c>
      <c r="D26" s="576">
        <f>'L - Environmental'!C30*(1-$E$6)</f>
        <v>1599890.1503447916</v>
      </c>
      <c r="E26" s="577">
        <f>'L - Environmental'!C30*($E$6)</f>
        <v>32650.819394791666</v>
      </c>
      <c r="F26" s="576">
        <f>'L - Environmental'!D30*(1-$E$6)</f>
        <v>384089.61389895837</v>
      </c>
      <c r="G26" s="578">
        <f>'L - Environmental'!D30*($E$6)</f>
        <v>7838.5635489583346</v>
      </c>
      <c r="H26" s="580">
        <f t="shared" si="1"/>
        <v>1215800.5364458333</v>
      </c>
      <c r="I26" s="580">
        <f t="shared" si="2"/>
        <v>24812.25584583333</v>
      </c>
      <c r="J26" s="598">
        <f t="shared" si="3"/>
        <v>547110.24140062497</v>
      </c>
      <c r="K26" s="599">
        <f t="shared" si="4"/>
        <v>514283.62691658747</v>
      </c>
      <c r="L26" s="158">
        <f t="shared" si="5"/>
        <v>1061393.8683172124</v>
      </c>
      <c r="M26" s="163">
        <f>L26/(1+disc2)^($B26-'A - Inputs'!$C$6)</f>
        <v>384697.98284438049</v>
      </c>
    </row>
    <row r="27" spans="1:13" customFormat="1" x14ac:dyDescent="0.25">
      <c r="A27" s="511"/>
      <c r="B27" s="519">
        <f t="shared" si="0"/>
        <v>2036</v>
      </c>
      <c r="C27" s="597">
        <f t="shared" si="0"/>
        <v>15</v>
      </c>
      <c r="D27" s="576">
        <f>'L - Environmental'!C31*(1-$E$6)</f>
        <v>1621407.9936541666</v>
      </c>
      <c r="E27" s="577">
        <f>'L - Environmental'!C31*($E$6)</f>
        <v>33089.959054166669</v>
      </c>
      <c r="F27" s="576">
        <f>'L - Environmental'!D31*(1-$E$6)</f>
        <v>395199.36047083332</v>
      </c>
      <c r="G27" s="578">
        <f>'L - Environmental'!D31*($E$6)</f>
        <v>8065.2930708333324</v>
      </c>
      <c r="H27" s="580">
        <f t="shared" si="1"/>
        <v>1226208.6331833333</v>
      </c>
      <c r="I27" s="580">
        <f t="shared" si="2"/>
        <v>25024.665983333336</v>
      </c>
      <c r="J27" s="598">
        <f t="shared" si="3"/>
        <v>551793.88493249996</v>
      </c>
      <c r="K27" s="599">
        <f t="shared" si="4"/>
        <v>518686.25183654996</v>
      </c>
      <c r="L27" s="158">
        <f t="shared" si="5"/>
        <v>1070480.1367690498</v>
      </c>
      <c r="M27" s="163">
        <f>L27/(1+disc2)^($B27-'A - Inputs'!$C$6)</f>
        <v>362608.65857771115</v>
      </c>
    </row>
    <row r="28" spans="1:13" customFormat="1" x14ac:dyDescent="0.25">
      <c r="A28" s="511"/>
      <c r="B28" s="519">
        <f t="shared" si="0"/>
        <v>2037</v>
      </c>
      <c r="C28" s="597">
        <f t="shared" si="0"/>
        <v>16</v>
      </c>
      <c r="D28" s="576">
        <f>'L - Environmental'!C32*(1-$E$6)</f>
        <v>1643055.8910281251</v>
      </c>
      <c r="E28" s="577">
        <f>'L - Environmental'!C32*($E$6)</f>
        <v>33531.752878125</v>
      </c>
      <c r="F28" s="576">
        <f>'L - Environmental'!D32*(1-$E$6)</f>
        <v>406395.02721562493</v>
      </c>
      <c r="G28" s="578">
        <f>'L - Environmental'!D32*($E$6)</f>
        <v>8293.7760656249993</v>
      </c>
      <c r="H28" s="580">
        <f t="shared" si="1"/>
        <v>1236660.8638125001</v>
      </c>
      <c r="I28" s="580">
        <f t="shared" si="2"/>
        <v>25237.976812500001</v>
      </c>
      <c r="J28" s="598">
        <f t="shared" si="3"/>
        <v>556497.38871562504</v>
      </c>
      <c r="K28" s="599">
        <f t="shared" si="4"/>
        <v>523107.54539268749</v>
      </c>
      <c r="L28" s="158">
        <f t="shared" si="5"/>
        <v>1079604.9341083125</v>
      </c>
      <c r="M28" s="163">
        <f>L28/(1+disc2)^($B28-'A - Inputs'!$C$6)</f>
        <v>341775.27395738481</v>
      </c>
    </row>
    <row r="29" spans="1:13" customFormat="1" x14ac:dyDescent="0.25">
      <c r="A29" s="511"/>
      <c r="B29" s="519">
        <f t="shared" si="0"/>
        <v>2038</v>
      </c>
      <c r="C29" s="597">
        <f t="shared" si="0"/>
        <v>17</v>
      </c>
      <c r="D29" s="576">
        <f>'L - Environmental'!C33*(1-$E$6)</f>
        <v>1664833.8424666666</v>
      </c>
      <c r="E29" s="577">
        <f>'L - Environmental'!C33*($E$6)</f>
        <v>33976.200866666666</v>
      </c>
      <c r="F29" s="576">
        <f>'L - Environmental'!D33*(1-$E$6)</f>
        <v>417676.61413333332</v>
      </c>
      <c r="G29" s="578">
        <f>'L - Environmental'!D33*($E$6)</f>
        <v>8524.0125333333326</v>
      </c>
      <c r="H29" s="580">
        <f t="shared" si="1"/>
        <v>1247157.2283333333</v>
      </c>
      <c r="I29" s="580">
        <f t="shared" si="2"/>
        <v>25452.188333333332</v>
      </c>
      <c r="J29" s="598">
        <f t="shared" si="3"/>
        <v>561220.75274999999</v>
      </c>
      <c r="K29" s="599">
        <f t="shared" si="4"/>
        <v>527547.50758500001</v>
      </c>
      <c r="L29" s="158">
        <f t="shared" si="5"/>
        <v>1088768.260335</v>
      </c>
      <c r="M29" s="163">
        <f>L29/(1+disc2)^($B29-'A - Inputs'!$C$6)</f>
        <v>322127.24146936653</v>
      </c>
    </row>
    <row r="30" spans="1:13" customFormat="1" x14ac:dyDescent="0.25">
      <c r="A30" s="511"/>
      <c r="B30" s="519">
        <f t="shared" ref="B30:C42" si="6">B29+1</f>
        <v>2039</v>
      </c>
      <c r="C30" s="597">
        <f t="shared" si="6"/>
        <v>18</v>
      </c>
      <c r="D30" s="576">
        <f>'L - Environmental'!C34*(1-$E$6)</f>
        <v>1686741.8479697914</v>
      </c>
      <c r="E30" s="577">
        <f>'L - Environmental'!C34*($E$6)</f>
        <v>34423.30301979166</v>
      </c>
      <c r="F30" s="576">
        <f>'L - Environmental'!D34*(1-$E$6)</f>
        <v>429044.12122395833</v>
      </c>
      <c r="G30" s="578">
        <f>'L - Environmental'!D34*($E$6)</f>
        <v>8756.0024739583332</v>
      </c>
      <c r="H30" s="580">
        <f t="shared" si="1"/>
        <v>1257697.7267458332</v>
      </c>
      <c r="I30" s="580">
        <f t="shared" si="2"/>
        <v>25667.300545833328</v>
      </c>
      <c r="J30" s="598">
        <f t="shared" si="3"/>
        <v>565963.97703562491</v>
      </c>
      <c r="K30" s="599">
        <f t="shared" si="4"/>
        <v>532006.13841348735</v>
      </c>
      <c r="L30" s="158">
        <f t="shared" si="5"/>
        <v>1097970.1154491124</v>
      </c>
      <c r="M30" s="163">
        <f>L30/(1+disc2)^($B30-'A - Inputs'!$C$6)</f>
        <v>303597.88631855306</v>
      </c>
    </row>
    <row r="31" spans="1:13" customFormat="1" x14ac:dyDescent="0.25">
      <c r="A31" s="511"/>
      <c r="B31" s="519">
        <f t="shared" si="6"/>
        <v>2040</v>
      </c>
      <c r="C31" s="597">
        <f t="shared" si="6"/>
        <v>19</v>
      </c>
      <c r="D31" s="576">
        <f>'L - Environmental'!C35*(1-$E$6)</f>
        <v>1708779.9075374997</v>
      </c>
      <c r="E31" s="577">
        <f>'L - Environmental'!C35*($E$6)</f>
        <v>34873.059337499995</v>
      </c>
      <c r="F31" s="576">
        <f>'L - Environmental'!D35*(1-$E$6)</f>
        <v>440497.54848749994</v>
      </c>
      <c r="G31" s="578">
        <f>'L - Environmental'!D35*($E$6)</f>
        <v>8989.7458874999993</v>
      </c>
      <c r="H31" s="580">
        <f t="shared" si="1"/>
        <v>1268282.3590499996</v>
      </c>
      <c r="I31" s="580">
        <f t="shared" si="2"/>
        <v>25883.313449999994</v>
      </c>
      <c r="J31" s="598">
        <f t="shared" si="3"/>
        <v>570727.06157249981</v>
      </c>
      <c r="K31" s="599">
        <f t="shared" si="4"/>
        <v>536483.43787814979</v>
      </c>
      <c r="L31" s="158">
        <f t="shared" si="5"/>
        <v>1107210.4994506496</v>
      </c>
      <c r="M31" s="163">
        <f>L31/(1+disc2)^($B31-'A - Inputs'!$C$6)</f>
        <v>286124.23317308241</v>
      </c>
    </row>
    <row r="32" spans="1:13" customFormat="1" x14ac:dyDescent="0.25">
      <c r="A32" s="511"/>
      <c r="B32" s="519">
        <f t="shared" si="6"/>
        <v>2041</v>
      </c>
      <c r="C32" s="597">
        <f t="shared" si="6"/>
        <v>20</v>
      </c>
      <c r="D32" s="576">
        <f>'L - Environmental'!C36*(1-$E$6)</f>
        <v>1730948.0211697917</v>
      </c>
      <c r="E32" s="577">
        <f>'L - Environmental'!C36*($E$6)</f>
        <v>35325.469819791666</v>
      </c>
      <c r="F32" s="576">
        <f>'L - Environmental'!D36*(1-$E$6)</f>
        <v>452036.89592395828</v>
      </c>
      <c r="G32" s="578">
        <f>'L - Environmental'!D36*($E$6)</f>
        <v>9225.2427739583327</v>
      </c>
      <c r="H32" s="580">
        <f t="shared" si="1"/>
        <v>1278911.1252458333</v>
      </c>
      <c r="I32" s="580">
        <f t="shared" si="2"/>
        <v>26100.227045833333</v>
      </c>
      <c r="J32" s="598">
        <f t="shared" si="3"/>
        <v>575510.00636062503</v>
      </c>
      <c r="K32" s="599">
        <f t="shared" si="4"/>
        <v>540979.40597898746</v>
      </c>
      <c r="L32" s="158">
        <f t="shared" si="5"/>
        <v>1116489.4123396124</v>
      </c>
      <c r="M32" s="163">
        <f>L32/(1+disc2)^($B32-'A - Inputs'!$C$6)</f>
        <v>269646.804288827</v>
      </c>
    </row>
    <row r="33" spans="1:19" customFormat="1" x14ac:dyDescent="0.25">
      <c r="A33" s="511"/>
      <c r="B33" s="519">
        <f t="shared" si="6"/>
        <v>2042</v>
      </c>
      <c r="C33" s="597">
        <f t="shared" si="6"/>
        <v>21</v>
      </c>
      <c r="D33" s="576">
        <f>'L - Environmental'!C37*(1-$E$6)</f>
        <v>1753246.1888666665</v>
      </c>
      <c r="E33" s="577">
        <f>'L - Environmental'!C37*($E$6)</f>
        <v>35780.534466666664</v>
      </c>
      <c r="F33" s="576">
        <f>'L - Environmental'!D37*(1-$E$6)</f>
        <v>463662.16353333328</v>
      </c>
      <c r="G33" s="578">
        <f>'L - Environmental'!D37*($E$6)</f>
        <v>9462.4931333333334</v>
      </c>
      <c r="H33" s="580">
        <f t="shared" si="1"/>
        <v>1289584.0253333333</v>
      </c>
      <c r="I33" s="580">
        <f t="shared" si="2"/>
        <v>26318.041333333331</v>
      </c>
      <c r="J33" s="598">
        <f t="shared" si="3"/>
        <v>580312.81140000001</v>
      </c>
      <c r="K33" s="599">
        <f t="shared" si="4"/>
        <v>545494.042716</v>
      </c>
      <c r="L33" s="158">
        <f t="shared" si="5"/>
        <v>1125806.854116</v>
      </c>
      <c r="M33" s="163">
        <f>L33/(1+disc2)^($B33-'A - Inputs'!$C$6)</f>
        <v>254109.42842315946</v>
      </c>
    </row>
    <row r="34" spans="1:19" customFormat="1" x14ac:dyDescent="0.25">
      <c r="A34" s="511"/>
      <c r="B34" s="519">
        <f t="shared" si="6"/>
        <v>2043</v>
      </c>
      <c r="C34" s="597">
        <f t="shared" si="6"/>
        <v>22</v>
      </c>
      <c r="D34" s="576">
        <f>'L - Environmental'!C38*(1-$E$6)</f>
        <v>1775674.4106281248</v>
      </c>
      <c r="E34" s="577">
        <f>'L - Environmental'!C38*($E$6)</f>
        <v>36238.253278124997</v>
      </c>
      <c r="F34" s="576">
        <f>'L - Environmental'!D38*(1-$E$6)</f>
        <v>475373.3513156249</v>
      </c>
      <c r="G34" s="578">
        <f>'L - Environmental'!D38*($E$6)</f>
        <v>9701.4969656249996</v>
      </c>
      <c r="H34" s="580">
        <f t="shared" si="1"/>
        <v>1300301.0593125001</v>
      </c>
      <c r="I34" s="580">
        <f t="shared" si="2"/>
        <v>26536.756312499998</v>
      </c>
      <c r="J34" s="598">
        <f t="shared" si="3"/>
        <v>585135.47669062507</v>
      </c>
      <c r="K34" s="599">
        <f t="shared" si="4"/>
        <v>550027.34808918752</v>
      </c>
      <c r="L34" s="158">
        <f t="shared" si="5"/>
        <v>1135162.8247798127</v>
      </c>
      <c r="M34" s="163">
        <f>L34/(1+disc2)^($B34-'A - Inputs'!$C$6)</f>
        <v>239459.0599766486</v>
      </c>
    </row>
    <row r="35" spans="1:19" customFormat="1" x14ac:dyDescent="0.25">
      <c r="A35" s="511"/>
      <c r="B35" s="519">
        <f t="shared" si="6"/>
        <v>2044</v>
      </c>
      <c r="C35" s="597">
        <f t="shared" si="6"/>
        <v>23</v>
      </c>
      <c r="D35" s="576">
        <f>'L - Environmental'!C39*(1-$E$6)</f>
        <v>1798232.6864541664</v>
      </c>
      <c r="E35" s="577">
        <f>'L - Environmental'!C39*($E$6)</f>
        <v>36698.626254166666</v>
      </c>
      <c r="F35" s="576">
        <f>'L - Environmental'!D39*(1-$E$6)</f>
        <v>487170.45927083329</v>
      </c>
      <c r="G35" s="578">
        <f>'L - Environmental'!D39*($E$6)</f>
        <v>9942.2542708333331</v>
      </c>
      <c r="H35" s="580">
        <f t="shared" si="1"/>
        <v>1311062.2271833331</v>
      </c>
      <c r="I35" s="580">
        <f t="shared" si="2"/>
        <v>26756.371983333331</v>
      </c>
      <c r="J35" s="598">
        <f t="shared" si="3"/>
        <v>589978.00223249989</v>
      </c>
      <c r="K35" s="599">
        <f t="shared" si="4"/>
        <v>554579.3220985498</v>
      </c>
      <c r="L35" s="158">
        <f t="shared" si="5"/>
        <v>1144557.3243310498</v>
      </c>
      <c r="M35" s="163">
        <f>L35/(1+disc2)^($B35-'A - Inputs'!$C$6)</f>
        <v>225645.60782950473</v>
      </c>
    </row>
    <row r="36" spans="1:19" customFormat="1" x14ac:dyDescent="0.25">
      <c r="A36" s="511"/>
      <c r="B36" s="519">
        <f t="shared" si="6"/>
        <v>2045</v>
      </c>
      <c r="C36" s="597">
        <f t="shared" si="6"/>
        <v>24</v>
      </c>
      <c r="D36" s="576">
        <f>'L - Environmental'!C40*(1-$E$6)</f>
        <v>1820921.0163447915</v>
      </c>
      <c r="E36" s="577">
        <f>'L - Environmental'!C40*($E$6)</f>
        <v>37161.653394791669</v>
      </c>
      <c r="F36" s="576">
        <f>'L - Environmental'!D40*(1-$E$6)</f>
        <v>499053.48739895836</v>
      </c>
      <c r="G36" s="578">
        <f>'L - Environmental'!D40*($E$6)</f>
        <v>10184.765048958334</v>
      </c>
      <c r="H36" s="580">
        <f t="shared" si="1"/>
        <v>1321867.5289458332</v>
      </c>
      <c r="I36" s="580">
        <f t="shared" si="2"/>
        <v>26976.888345833337</v>
      </c>
      <c r="J36" s="598">
        <f t="shared" si="3"/>
        <v>594840.38802562491</v>
      </c>
      <c r="K36" s="599">
        <f t="shared" si="4"/>
        <v>559149.96474408743</v>
      </c>
      <c r="L36" s="158">
        <f t="shared" si="5"/>
        <v>1153990.3527697125</v>
      </c>
      <c r="M36" s="163">
        <f>L36/(1+disc2)^($B36-'A - Inputs'!$C$6)</f>
        <v>212621.77336641861</v>
      </c>
    </row>
    <row r="37" spans="1:19" customFormat="1" x14ac:dyDescent="0.25">
      <c r="A37" s="511"/>
      <c r="B37" s="519">
        <f t="shared" si="6"/>
        <v>2046</v>
      </c>
      <c r="C37" s="597">
        <f t="shared" si="6"/>
        <v>25</v>
      </c>
      <c r="D37" s="576">
        <f>'L - Environmental'!C41*(1-$E$6)</f>
        <v>1843739.4002999999</v>
      </c>
      <c r="E37" s="577">
        <f>'L - Environmental'!C41*($E$6)</f>
        <v>37627.334699999999</v>
      </c>
      <c r="F37" s="576">
        <f>'L - Environmental'!D41*(1-$E$6)</f>
        <v>511022.43569999997</v>
      </c>
      <c r="G37" s="578">
        <f>'L - Environmental'!D41*($E$6)</f>
        <v>10429.0293</v>
      </c>
      <c r="H37" s="580">
        <f t="shared" si="1"/>
        <v>1332716.9645999998</v>
      </c>
      <c r="I37" s="580">
        <f t="shared" si="2"/>
        <v>27198.305399999997</v>
      </c>
      <c r="J37" s="598">
        <f t="shared" si="3"/>
        <v>599722.63406999991</v>
      </c>
      <c r="K37" s="599">
        <f t="shared" si="4"/>
        <v>563739.27602579992</v>
      </c>
      <c r="L37" s="158">
        <f t="shared" si="5"/>
        <v>1163461.9100957997</v>
      </c>
      <c r="M37" s="163">
        <f>L37/(1+disc2)^($B37-'A - Inputs'!$C$6)</f>
        <v>200342.89720897659</v>
      </c>
    </row>
    <row r="38" spans="1:19" customFormat="1" x14ac:dyDescent="0.25">
      <c r="A38" s="511"/>
      <c r="B38" s="519">
        <f t="shared" si="6"/>
        <v>2047</v>
      </c>
      <c r="C38" s="597">
        <f t="shared" si="6"/>
        <v>26</v>
      </c>
      <c r="D38" s="576">
        <f>'L - Environmental'!C42*(1-$E$6)</f>
        <v>1866687.8383197917</v>
      </c>
      <c r="E38" s="577">
        <f>'L - Environmental'!C42*($E$6)</f>
        <v>38095.670169791665</v>
      </c>
      <c r="F38" s="576">
        <f>'L - Environmental'!D42*(1-$E$6)</f>
        <v>523077.30417395831</v>
      </c>
      <c r="G38" s="578">
        <f>'L - Environmental'!D42*($E$6)</f>
        <v>10675.047023958334</v>
      </c>
      <c r="H38" s="580">
        <f t="shared" si="1"/>
        <v>1343610.5341458335</v>
      </c>
      <c r="I38" s="580">
        <f t="shared" si="2"/>
        <v>27420.623145833331</v>
      </c>
      <c r="J38" s="598">
        <f t="shared" si="3"/>
        <v>604624.74036562513</v>
      </c>
      <c r="K38" s="599">
        <f t="shared" si="4"/>
        <v>568347.25594368763</v>
      </c>
      <c r="L38" s="158">
        <f t="shared" si="5"/>
        <v>1172971.9963093128</v>
      </c>
      <c r="M38" s="163">
        <f>L38/(1+disc2)^($B38-'A - Inputs'!$C$6)</f>
        <v>188766.81419915301</v>
      </c>
    </row>
    <row r="39" spans="1:19" customFormat="1" x14ac:dyDescent="0.25">
      <c r="A39" s="511"/>
      <c r="B39" s="519">
        <f t="shared" si="6"/>
        <v>2048</v>
      </c>
      <c r="C39" s="597">
        <f t="shared" si="6"/>
        <v>27</v>
      </c>
      <c r="D39" s="576">
        <f>'L - Environmental'!C43*(1-$E$6)</f>
        <v>1889766.3304041666</v>
      </c>
      <c r="E39" s="577">
        <f>'L - Environmental'!C43*($E$6)</f>
        <v>38566.659804166666</v>
      </c>
      <c r="F39" s="576">
        <f>'L - Environmental'!D43*(1-$E$6)</f>
        <v>535218.09282083332</v>
      </c>
      <c r="G39" s="578">
        <f>'L - Environmental'!D43*($E$6)</f>
        <v>10922.818220833333</v>
      </c>
      <c r="H39" s="580">
        <f t="shared" si="1"/>
        <v>1354548.2375833332</v>
      </c>
      <c r="I39" s="580">
        <f t="shared" si="2"/>
        <v>27643.841583333335</v>
      </c>
      <c r="J39" s="598">
        <f t="shared" si="3"/>
        <v>609546.70691249997</v>
      </c>
      <c r="K39" s="599">
        <f t="shared" si="4"/>
        <v>572973.90449774999</v>
      </c>
      <c r="L39" s="158">
        <f t="shared" si="5"/>
        <v>1182520.61141025</v>
      </c>
      <c r="M39" s="163">
        <f>L39/(1+disc2)^($B39-'A - Inputs'!$C$6)</f>
        <v>177853.71620052066</v>
      </c>
    </row>
    <row r="40" spans="1:19" customFormat="1" x14ac:dyDescent="0.25">
      <c r="A40" s="511"/>
      <c r="B40" s="519">
        <f t="shared" si="6"/>
        <v>2049</v>
      </c>
      <c r="C40" s="597">
        <f t="shared" si="6"/>
        <v>28</v>
      </c>
      <c r="D40" s="576">
        <f>'L - Environmental'!C44*(1-$E$6)</f>
        <v>1912974.8765531252</v>
      </c>
      <c r="E40" s="577">
        <f>'L - Environmental'!C44*($E$6)</f>
        <v>39040.303603125009</v>
      </c>
      <c r="F40" s="576">
        <f>'L - Environmental'!D44*(1-$E$6)</f>
        <v>547444.801640625</v>
      </c>
      <c r="G40" s="578">
        <f>'L - Environmental'!D44*($E$6)</f>
        <v>11172.342890625001</v>
      </c>
      <c r="H40" s="580">
        <f t="shared" si="1"/>
        <v>1365530.0749125001</v>
      </c>
      <c r="I40" s="580">
        <f t="shared" si="2"/>
        <v>27867.960712500008</v>
      </c>
      <c r="J40" s="598">
        <f t="shared" si="3"/>
        <v>614488.53371062502</v>
      </c>
      <c r="K40" s="599">
        <f t="shared" si="4"/>
        <v>577619.22168798745</v>
      </c>
      <c r="L40" s="158">
        <f t="shared" si="5"/>
        <v>1192107.7553986125</v>
      </c>
      <c r="M40" s="163">
        <f>L40/(1+disc2)^($B40-'A - Inputs'!$C$6)</f>
        <v>167566.02230584872</v>
      </c>
    </row>
    <row r="41" spans="1:19" customFormat="1" x14ac:dyDescent="0.25">
      <c r="A41" s="511"/>
      <c r="B41" s="519">
        <f t="shared" si="6"/>
        <v>2050</v>
      </c>
      <c r="C41" s="597">
        <f t="shared" si="6"/>
        <v>29</v>
      </c>
      <c r="D41" s="576">
        <f>'L - Environmental'!C45*(1-$E$6)</f>
        <v>1936313.4767666669</v>
      </c>
      <c r="E41" s="577">
        <f>'L - Environmental'!C45*($E$6)</f>
        <v>39516.601566666672</v>
      </c>
      <c r="F41" s="576">
        <f>'L - Environmental'!D45*(1-$E$6)</f>
        <v>559757.43063333328</v>
      </c>
      <c r="G41" s="578">
        <f>'L - Environmental'!D45*($E$6)</f>
        <v>11423.621033333333</v>
      </c>
      <c r="H41" s="580">
        <f t="shared" si="1"/>
        <v>1376556.0461333336</v>
      </c>
      <c r="I41" s="580">
        <f t="shared" si="2"/>
        <v>28092.980533333339</v>
      </c>
      <c r="J41" s="598">
        <f t="shared" si="3"/>
        <v>619450.22076000017</v>
      </c>
      <c r="K41" s="599">
        <f t="shared" si="4"/>
        <v>582283.20751440013</v>
      </c>
      <c r="L41" s="158">
        <f t="shared" si="5"/>
        <v>1201733.4282744003</v>
      </c>
      <c r="M41" s="163">
        <f>L41/(1+disc2)^($B41-'A - Inputs'!$C$6)</f>
        <v>157868.25606071</v>
      </c>
    </row>
    <row r="42" spans="1:19" customFormat="1" x14ac:dyDescent="0.25">
      <c r="A42" s="511"/>
      <c r="B42" s="519">
        <f t="shared" si="6"/>
        <v>2051</v>
      </c>
      <c r="C42" s="597">
        <f t="shared" si="6"/>
        <v>30</v>
      </c>
      <c r="D42" s="576">
        <f>'L - Environmental'!C46*(1-$E$6)</f>
        <v>1959782.131044792</v>
      </c>
      <c r="E42" s="577">
        <f>'L - Environmental'!C46*($E$6)</f>
        <v>39995.553694791677</v>
      </c>
      <c r="F42" s="576">
        <f>'L - Environmental'!D46*(1-$E$6)</f>
        <v>572155.97979895829</v>
      </c>
      <c r="G42" s="578">
        <f>'L - Environmental'!D46*($E$6)</f>
        <v>11676.652648958334</v>
      </c>
      <c r="H42" s="580">
        <f t="shared" si="1"/>
        <v>1387626.1512458338</v>
      </c>
      <c r="I42" s="580">
        <f t="shared" si="2"/>
        <v>28318.901045833343</v>
      </c>
      <c r="J42" s="598">
        <f t="shared" si="3"/>
        <v>624431.7680606253</v>
      </c>
      <c r="K42" s="599">
        <f t="shared" si="4"/>
        <v>586965.8619769878</v>
      </c>
      <c r="L42" s="158">
        <f t="shared" si="5"/>
        <v>1211397.6300376132</v>
      </c>
      <c r="M42" s="163">
        <f>L42/(1+disc2)^($B42-'A - Inputs'!$C$6)</f>
        <v>148726.92933265751</v>
      </c>
    </row>
    <row r="43" spans="1:19" customFormat="1" x14ac:dyDescent="0.25">
      <c r="A43" s="511"/>
      <c r="B43" s="280" t="s">
        <v>81</v>
      </c>
      <c r="C43" s="625"/>
      <c r="D43" s="297">
        <f t="shared" ref="D43" si="7">SUM(D13:D42)</f>
        <v>49112618.822567724</v>
      </c>
      <c r="E43" s="296">
        <f t="shared" ref="E43" si="8">SUM(E13:E42)</f>
        <v>1002298.3433177082</v>
      </c>
      <c r="F43" s="297">
        <f t="shared" ref="F43" si="9">SUM(F13:F42)</f>
        <v>16517374.933405202</v>
      </c>
      <c r="G43" s="296">
        <f>SUM(G13:G42)</f>
        <v>337089.28435520839</v>
      </c>
      <c r="H43" s="297">
        <f t="shared" ref="H43:I43" si="10">SUM(H13:H42)</f>
        <v>32595243.889162496</v>
      </c>
      <c r="I43" s="296">
        <f t="shared" si="10"/>
        <v>665209.05896250007</v>
      </c>
      <c r="J43" s="627">
        <f>SUM(J13:J42)</f>
        <v>14667859.750123125</v>
      </c>
      <c r="K43" s="626">
        <f>SUM(K13:K42)</f>
        <v>13787788.165115738</v>
      </c>
      <c r="L43" s="513">
        <f t="shared" ref="L43:M43" si="11">SUM(L13:L42)</f>
        <v>28455647.915238865</v>
      </c>
      <c r="M43" s="165">
        <f t="shared" si="11"/>
        <v>8947768.5818165485</v>
      </c>
    </row>
    <row r="44" spans="1:19" customFormat="1" x14ac:dyDescent="0.25">
      <c r="A44" s="511"/>
      <c r="B44" s="511"/>
      <c r="C44" s="511"/>
      <c r="D44" s="511"/>
      <c r="E44" s="511"/>
      <c r="F44" s="511"/>
      <c r="G44" s="517"/>
      <c r="H44" s="511"/>
      <c r="I44" s="511"/>
      <c r="J44" s="511"/>
      <c r="K44" s="511"/>
      <c r="L44" s="511"/>
      <c r="M44" s="511"/>
      <c r="N44" s="511"/>
      <c r="O44" s="511"/>
      <c r="P44" s="511"/>
      <c r="Q44" s="511"/>
      <c r="R44" s="511"/>
      <c r="S44" s="511"/>
    </row>
    <row r="45" spans="1:19" customFormat="1" x14ac:dyDescent="0.25">
      <c r="A45" s="511"/>
      <c r="B45" s="511"/>
      <c r="C45" s="511"/>
      <c r="D45" s="511"/>
      <c r="E45" s="511"/>
      <c r="F45" s="511"/>
      <c r="G45" s="511"/>
      <c r="H45" s="511"/>
      <c r="I45" s="511"/>
      <c r="J45" s="511"/>
      <c r="K45" s="511"/>
      <c r="L45" s="511"/>
      <c r="M45" s="511"/>
      <c r="N45" s="511"/>
      <c r="O45" s="511"/>
      <c r="P45" s="511"/>
      <c r="Q45" s="511"/>
      <c r="R45" s="511"/>
      <c r="S45" s="511"/>
    </row>
  </sheetData>
  <mergeCells count="6">
    <mergeCell ref="L11:M11"/>
    <mergeCell ref="D10:E10"/>
    <mergeCell ref="D11:E11"/>
    <mergeCell ref="J11:K11"/>
    <mergeCell ref="F11:G11"/>
    <mergeCell ref="H11:I11"/>
  </mergeCells>
  <pageMargins left="0.7" right="0.7" top="0.75" bottom="0.75" header="0.3" footer="0.3"/>
  <pageSetup scale="50" orientation="landscape" horizontalDpi="90" verticalDpi="90" r:id="rId1"/>
  <headerFooter>
    <oddHeader>&amp;L&amp;"Arial,Bold"Post and McDuff Innovative Rail Crossing
CRISI 2022 BCA&amp;C
&amp;R&amp;"Arial,Bold"&amp;A</oddHeader>
    <oddFooter>&amp;CPage J-&amp;P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12A2B-169A-4F9C-A9B4-28E90D381C0D}">
  <sheetPr codeName="Sheet8">
    <tabColor theme="6" tint="0.39997558519241921"/>
  </sheetPr>
  <dimension ref="A1:BR53"/>
  <sheetViews>
    <sheetView tabSelected="1" topLeftCell="AO19" workbookViewId="0">
      <selection activeCell="AZ51" sqref="AZ51"/>
    </sheetView>
  </sheetViews>
  <sheetFormatPr defaultColWidth="9.28515625" defaultRowHeight="15" x14ac:dyDescent="0.25"/>
  <cols>
    <col min="1" max="1" width="10.7109375" style="22" customWidth="1"/>
    <col min="2" max="2" width="21.28515625" style="22" customWidth="1"/>
    <col min="3" max="3" width="13.5703125" style="22" customWidth="1"/>
    <col min="4" max="4" width="12.28515625" style="22" customWidth="1"/>
    <col min="5" max="5" width="13" style="22" customWidth="1"/>
    <col min="6" max="8" width="10.85546875" style="22" customWidth="1"/>
    <col min="9" max="9" width="16.140625" style="22" customWidth="1"/>
    <col min="10" max="13" width="10.85546875" style="22" customWidth="1"/>
    <col min="14" max="14" width="10.85546875" style="393" customWidth="1"/>
    <col min="15" max="46" width="10.85546875" style="22" customWidth="1"/>
    <col min="47" max="47" width="12.140625" style="22" bestFit="1" customWidth="1"/>
    <col min="48" max="48" width="10.85546875" style="22" customWidth="1"/>
    <col min="49" max="49" width="12.140625" style="22" bestFit="1" customWidth="1"/>
    <col min="50" max="50" width="10.85546875" style="22" customWidth="1"/>
    <col min="51" max="51" width="15.7109375" style="22" customWidth="1"/>
    <col min="52" max="52" width="10.85546875" style="22" customWidth="1"/>
    <col min="53" max="53" width="12" style="22" customWidth="1"/>
    <col min="54" max="60" width="12.42578125" style="22" customWidth="1"/>
    <col min="61" max="16384" width="9.28515625" style="22"/>
  </cols>
  <sheetData>
    <row r="1" spans="1:61" x14ac:dyDescent="0.25">
      <c r="A1" s="124" t="str" cm="1">
        <f t="array" aca="1" ref="A1" ca="1">MID(CELL("filename",A1),FIND("]",CELL("filename",A1))+1,255)</f>
        <v>L - Environmental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276"/>
      <c r="T1" s="276"/>
      <c r="U1" s="276"/>
      <c r="V1" s="276"/>
      <c r="W1" s="276"/>
      <c r="X1" s="276"/>
      <c r="Y1" s="276"/>
      <c r="Z1" s="276"/>
      <c r="AA1" s="276"/>
      <c r="AB1" s="276"/>
      <c r="AC1" s="276"/>
      <c r="AD1" s="276"/>
      <c r="AE1" s="276"/>
      <c r="AF1" s="276"/>
      <c r="AG1" s="276"/>
      <c r="AH1" s="276"/>
      <c r="AI1" s="276"/>
      <c r="AJ1" s="276"/>
      <c r="AK1" s="276"/>
      <c r="AL1" s="276"/>
      <c r="AM1" s="276"/>
      <c r="AN1" s="276"/>
      <c r="AO1" s="276"/>
      <c r="AP1" s="276"/>
      <c r="AQ1" s="276"/>
      <c r="AR1" s="288"/>
      <c r="AS1" s="288"/>
      <c r="AT1" s="288"/>
      <c r="AU1" s="288"/>
      <c r="AV1" s="288"/>
      <c r="AW1" s="288"/>
      <c r="AX1" s="288"/>
      <c r="AY1" s="288"/>
      <c r="AZ1" s="288"/>
      <c r="BA1" s="288"/>
      <c r="BB1" s="288"/>
      <c r="BC1" s="288"/>
      <c r="BD1" s="288"/>
      <c r="BE1" s="288"/>
      <c r="BF1" s="288"/>
      <c r="BG1" s="288"/>
      <c r="BH1" s="288"/>
      <c r="BI1" s="288"/>
    </row>
    <row r="2" spans="1:61" x14ac:dyDescent="0.25">
      <c r="A2" s="316"/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</row>
    <row r="3" spans="1:61" x14ac:dyDescent="0.25">
      <c r="A3" s="316"/>
      <c r="B3" s="289" t="s">
        <v>204</v>
      </c>
      <c r="C3" s="288"/>
      <c r="D3" s="288"/>
      <c r="E3" s="288"/>
      <c r="F3" s="288"/>
      <c r="G3" s="288"/>
      <c r="L3" s="316"/>
      <c r="M3" s="316"/>
      <c r="N3" s="316"/>
      <c r="O3" s="316"/>
      <c r="P3" s="316"/>
      <c r="Q3" s="316"/>
      <c r="R3" s="316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</row>
    <row r="4" spans="1:61" x14ac:dyDescent="0.25">
      <c r="A4" s="316"/>
      <c r="B4" s="338" t="s">
        <v>274</v>
      </c>
      <c r="C4" s="338" t="s">
        <v>244</v>
      </c>
      <c r="E4" s="46" t="s">
        <v>275</v>
      </c>
      <c r="F4" s="46"/>
      <c r="G4" s="46"/>
      <c r="H4" s="523"/>
      <c r="L4" s="316"/>
      <c r="M4" s="316"/>
      <c r="N4" s="316"/>
      <c r="O4" s="316"/>
      <c r="P4" s="316"/>
      <c r="Q4" s="316"/>
      <c r="R4" s="316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</row>
    <row r="5" spans="1:61" ht="30" x14ac:dyDescent="0.25">
      <c r="A5" s="316"/>
      <c r="B5" s="575" t="s">
        <v>262</v>
      </c>
      <c r="C5" s="339">
        <v>30</v>
      </c>
      <c r="D5" s="548" t="s">
        <v>237</v>
      </c>
      <c r="E5" s="46" t="s">
        <v>276</v>
      </c>
      <c r="F5" s="46"/>
      <c r="G5" s="46"/>
      <c r="H5" s="517"/>
      <c r="L5" s="316"/>
      <c r="M5" s="316"/>
      <c r="N5" s="316"/>
      <c r="O5" s="316"/>
      <c r="P5" s="316"/>
      <c r="Q5" s="316"/>
      <c r="R5" s="316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</row>
    <row r="6" spans="1:61" x14ac:dyDescent="0.25">
      <c r="A6" s="316"/>
      <c r="B6" s="533"/>
      <c r="C6" s="340"/>
      <c r="D6" s="511"/>
      <c r="E6" s="46"/>
      <c r="F6" s="46"/>
      <c r="G6" s="46"/>
      <c r="H6" s="517"/>
      <c r="I6" s="511"/>
      <c r="J6" s="511"/>
      <c r="K6" s="511"/>
      <c r="L6" s="316"/>
      <c r="M6" s="316"/>
      <c r="N6" s="316"/>
      <c r="O6" s="316"/>
      <c r="P6" s="316"/>
      <c r="Q6" s="316"/>
      <c r="R6" s="31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</row>
    <row r="7" spans="1:61" x14ac:dyDescent="0.25">
      <c r="A7" s="316"/>
      <c r="B7" s="553" t="s">
        <v>277</v>
      </c>
      <c r="C7" s="340">
        <v>0</v>
      </c>
      <c r="D7" s="539" t="s">
        <v>237</v>
      </c>
      <c r="E7" s="46"/>
      <c r="F7" s="46"/>
      <c r="G7" s="46"/>
      <c r="H7" s="517"/>
      <c r="I7" s="511"/>
      <c r="J7" s="511"/>
      <c r="K7" s="511"/>
      <c r="L7" s="316"/>
      <c r="M7" s="316"/>
      <c r="N7" s="316"/>
      <c r="O7" s="316"/>
      <c r="P7" s="316"/>
      <c r="Q7" s="316"/>
      <c r="R7" s="316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</row>
    <row r="8" spans="1:61" x14ac:dyDescent="0.25">
      <c r="A8" s="316"/>
      <c r="B8" s="300" t="str">
        <f>'A - Inputs'!B29</f>
        <v xml:space="preserve">Assumed Heavy Vehicle % </v>
      </c>
      <c r="C8" s="48">
        <f>'A - Inputs'!C29</f>
        <v>0.02</v>
      </c>
      <c r="D8" s="46"/>
      <c r="E8" s="46"/>
      <c r="F8" s="46"/>
      <c r="G8" s="46"/>
      <c r="H8" s="517"/>
      <c r="I8" s="511"/>
      <c r="J8" s="511"/>
      <c r="K8" s="511"/>
      <c r="L8" s="316"/>
      <c r="M8" s="316"/>
      <c r="N8" s="316"/>
      <c r="O8" s="316"/>
      <c r="P8" s="316"/>
      <c r="Q8" s="316"/>
      <c r="R8" s="316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</row>
    <row r="9" spans="1:61" x14ac:dyDescent="0.25">
      <c r="A9" s="316"/>
      <c r="B9" s="22" t="s">
        <v>205</v>
      </c>
      <c r="C9" s="40">
        <v>1000000</v>
      </c>
      <c r="D9" s="22" t="s">
        <v>206</v>
      </c>
      <c r="E9" s="532"/>
      <c r="G9" s="49"/>
      <c r="H9" s="517"/>
      <c r="I9" s="511"/>
      <c r="J9" s="511"/>
      <c r="K9" s="511"/>
      <c r="L9" s="316"/>
      <c r="M9" s="316"/>
      <c r="N9" s="316"/>
      <c r="O9" s="316"/>
      <c r="P9" s="316"/>
      <c r="Q9" s="316"/>
      <c r="R9" s="316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</row>
    <row r="10" spans="1:61" x14ac:dyDescent="0.25">
      <c r="N10" s="22"/>
      <c r="V10" s="393"/>
      <c r="Y10" s="393"/>
      <c r="Z10" s="393"/>
      <c r="AA10" s="393"/>
      <c r="AB10" s="393"/>
      <c r="AC10" s="393"/>
      <c r="AD10" s="393"/>
      <c r="AE10" s="393"/>
      <c r="AF10" s="393"/>
      <c r="AG10" s="393"/>
      <c r="AH10" s="393"/>
      <c r="AI10" s="393"/>
      <c r="AJ10" s="393"/>
      <c r="AK10" s="393"/>
      <c r="AL10" s="393"/>
      <c r="AM10" s="393"/>
      <c r="AN10" s="393"/>
    </row>
    <row r="11" spans="1:61" x14ac:dyDescent="0.25">
      <c r="M11" s="23"/>
      <c r="N11" s="23"/>
      <c r="O11" s="395"/>
      <c r="P11" s="23"/>
      <c r="Q11" s="23"/>
      <c r="R11" s="23"/>
      <c r="S11" s="23"/>
      <c r="T11" s="23"/>
      <c r="U11" s="23"/>
      <c r="V11" s="394"/>
      <c r="W11" s="23"/>
      <c r="X11" s="23"/>
      <c r="Y11" s="394"/>
      <c r="Z11" s="394"/>
      <c r="AA11" s="394"/>
      <c r="AB11" s="394"/>
      <c r="AC11" s="393"/>
      <c r="AD11" s="393"/>
      <c r="AE11" s="393"/>
      <c r="AF11" s="393"/>
      <c r="AG11" s="393"/>
      <c r="AH11" s="393"/>
      <c r="AI11" s="393"/>
      <c r="AJ11" s="393"/>
      <c r="AK11" s="393"/>
      <c r="AL11" s="393"/>
      <c r="AM11" s="393"/>
      <c r="AN11" s="393"/>
    </row>
    <row r="12" spans="1:61" x14ac:dyDescent="0.25">
      <c r="A12" s="289" t="s">
        <v>280</v>
      </c>
      <c r="B12" s="288"/>
      <c r="C12" s="288"/>
      <c r="D12" s="288"/>
      <c r="E12" s="288"/>
      <c r="F12" s="288"/>
      <c r="G12" s="288"/>
      <c r="H12" s="288"/>
      <c r="I12" s="288"/>
      <c r="J12" s="288"/>
      <c r="K12" s="288"/>
      <c r="L12" s="453"/>
      <c r="M12" s="454"/>
      <c r="N12" s="454"/>
      <c r="O12" s="454"/>
      <c r="P12" s="454"/>
      <c r="Q12" s="454"/>
      <c r="R12" s="454"/>
      <c r="S12" s="454"/>
      <c r="T12" s="454"/>
      <c r="U12" s="454"/>
      <c r="V12" s="455"/>
      <c r="W12" s="454"/>
      <c r="X12" s="454"/>
      <c r="Y12" s="455"/>
      <c r="Z12" s="455"/>
      <c r="AA12" s="455"/>
      <c r="AB12" s="455"/>
      <c r="AC12" s="456"/>
      <c r="AD12" s="456"/>
      <c r="AE12" s="456"/>
      <c r="AF12" s="456"/>
      <c r="AG12" s="456"/>
      <c r="AH12" s="456"/>
      <c r="AI12" s="456"/>
      <c r="AJ12" s="456"/>
      <c r="AK12" s="456"/>
      <c r="AL12" s="456"/>
      <c r="AM12" s="456"/>
      <c r="AN12" s="456"/>
      <c r="AO12" s="288"/>
      <c r="AP12" s="288"/>
      <c r="AQ12" s="288"/>
      <c r="AR12" s="288"/>
      <c r="AS12" s="288"/>
      <c r="AT12" s="288"/>
      <c r="AU12" s="288"/>
      <c r="AV12" s="288"/>
      <c r="AW12" s="288"/>
      <c r="AX12" s="288"/>
      <c r="AY12" s="288"/>
    </row>
    <row r="13" spans="1:61" ht="15.75" thickBot="1" x14ac:dyDescent="0.3">
      <c r="E13" s="22" t="s">
        <v>207</v>
      </c>
      <c r="Q13" s="393" t="s">
        <v>208</v>
      </c>
      <c r="R13" s="393"/>
      <c r="S13" s="393"/>
      <c r="T13" s="393"/>
      <c r="U13" s="393"/>
      <c r="V13" s="393"/>
      <c r="W13" s="393"/>
      <c r="X13" s="393"/>
      <c r="Y13" s="393"/>
      <c r="Z13" s="393"/>
      <c r="AA13" s="393"/>
      <c r="AB13" s="393"/>
      <c r="AC13" s="393"/>
      <c r="AD13" s="393"/>
      <c r="AE13" s="393"/>
      <c r="AF13" s="393"/>
      <c r="AG13" s="393"/>
      <c r="AH13" s="393"/>
      <c r="AI13" s="393"/>
      <c r="AJ13" s="393"/>
      <c r="AK13" s="393"/>
      <c r="AL13" s="393"/>
      <c r="AM13" s="393"/>
      <c r="AN13" s="393"/>
      <c r="AW13" s="23"/>
      <c r="AX13" s="23"/>
    </row>
    <row r="14" spans="1:61" ht="14.45" customHeight="1" x14ac:dyDescent="0.25">
      <c r="A14" s="23"/>
      <c r="B14" s="24"/>
      <c r="C14" s="686" t="s">
        <v>209</v>
      </c>
      <c r="D14" s="687"/>
      <c r="E14" s="396" t="s">
        <v>210</v>
      </c>
      <c r="F14" s="397"/>
      <c r="G14" s="397"/>
      <c r="H14" s="397"/>
      <c r="I14" s="397"/>
      <c r="J14" s="398"/>
      <c r="K14" s="399" t="s">
        <v>211</v>
      </c>
      <c r="L14" s="397"/>
      <c r="M14" s="397"/>
      <c r="N14" s="397"/>
      <c r="O14" s="397"/>
      <c r="P14" s="398"/>
      <c r="Q14" s="399" t="s">
        <v>212</v>
      </c>
      <c r="R14" s="397"/>
      <c r="S14" s="397"/>
      <c r="T14" s="397"/>
      <c r="U14" s="397"/>
      <c r="V14" s="398"/>
      <c r="W14" s="399" t="s">
        <v>213</v>
      </c>
      <c r="X14" s="397"/>
      <c r="Y14" s="397"/>
      <c r="Z14" s="397"/>
      <c r="AA14" s="397"/>
      <c r="AB14" s="398"/>
      <c r="AC14" s="688" t="s">
        <v>214</v>
      </c>
      <c r="AD14" s="689"/>
      <c r="AE14" s="689"/>
      <c r="AF14" s="689"/>
      <c r="AG14" s="689"/>
      <c r="AH14" s="689"/>
      <c r="AI14" s="689"/>
      <c r="AJ14" s="689"/>
      <c r="AK14" s="689"/>
      <c r="AL14" s="689"/>
      <c r="AM14" s="689"/>
      <c r="AN14" s="689"/>
      <c r="AO14" s="690" t="s">
        <v>215</v>
      </c>
      <c r="AP14" s="691"/>
      <c r="AQ14" s="691"/>
      <c r="AR14" s="691"/>
      <c r="AS14" s="691"/>
      <c r="AT14" s="692"/>
      <c r="AU14" s="699" t="s">
        <v>278</v>
      </c>
      <c r="AV14" s="700"/>
      <c r="AW14" s="693" t="s">
        <v>279</v>
      </c>
      <c r="AX14" s="694"/>
      <c r="AY14" s="695"/>
      <c r="AZ14" s="35"/>
      <c r="BA14" s="27"/>
      <c r="BC14" s="400" t="s">
        <v>216</v>
      </c>
      <c r="BD14" s="400"/>
      <c r="BE14" s="400"/>
      <c r="BF14" s="25"/>
      <c r="BG14" s="25"/>
      <c r="BH14" s="25"/>
      <c r="BI14" s="25"/>
    </row>
    <row r="15" spans="1:61" x14ac:dyDescent="0.25">
      <c r="A15" s="23"/>
      <c r="B15" s="24"/>
      <c r="C15" s="686"/>
      <c r="D15" s="687"/>
      <c r="E15" s="401">
        <v>2</v>
      </c>
      <c r="F15" s="25">
        <v>3</v>
      </c>
      <c r="G15" s="25">
        <v>4</v>
      </c>
      <c r="H15" s="25">
        <v>6</v>
      </c>
      <c r="I15" s="25">
        <v>7</v>
      </c>
      <c r="J15" s="26">
        <v>8</v>
      </c>
      <c r="K15" s="402">
        <v>2</v>
      </c>
      <c r="L15" s="403">
        <v>3</v>
      </c>
      <c r="M15" s="403">
        <v>4</v>
      </c>
      <c r="N15" s="403">
        <v>6</v>
      </c>
      <c r="O15" s="403">
        <v>7</v>
      </c>
      <c r="P15" s="404">
        <v>8</v>
      </c>
      <c r="Q15" s="402">
        <v>2</v>
      </c>
      <c r="R15" s="403">
        <v>3</v>
      </c>
      <c r="S15" s="403">
        <v>4</v>
      </c>
      <c r="T15" s="403">
        <v>6</v>
      </c>
      <c r="U15" s="403">
        <v>7</v>
      </c>
      <c r="V15" s="404">
        <v>8</v>
      </c>
      <c r="W15" s="402">
        <v>2</v>
      </c>
      <c r="X15" s="403">
        <v>3</v>
      </c>
      <c r="Y15" s="403">
        <v>4</v>
      </c>
      <c r="Z15" s="403">
        <v>6</v>
      </c>
      <c r="AA15" s="403">
        <v>7</v>
      </c>
      <c r="AB15" s="404">
        <v>8</v>
      </c>
      <c r="AC15" s="703" t="s">
        <v>217</v>
      </c>
      <c r="AD15" s="704"/>
      <c r="AE15" s="704"/>
      <c r="AF15" s="704"/>
      <c r="AG15" s="704"/>
      <c r="AH15" s="705"/>
      <c r="AI15" s="704" t="s">
        <v>218</v>
      </c>
      <c r="AJ15" s="704"/>
      <c r="AK15" s="704"/>
      <c r="AL15" s="704"/>
      <c r="AM15" s="704"/>
      <c r="AN15" s="704"/>
      <c r="AO15" s="405">
        <v>7</v>
      </c>
      <c r="AP15" s="406">
        <v>6</v>
      </c>
      <c r="AQ15" s="406">
        <v>2</v>
      </c>
      <c r="AR15" s="406">
        <v>4</v>
      </c>
      <c r="AS15" s="406">
        <v>3</v>
      </c>
      <c r="AT15" s="407">
        <v>5</v>
      </c>
      <c r="AU15" s="701"/>
      <c r="AV15" s="702"/>
      <c r="AW15" s="696"/>
      <c r="AX15" s="697"/>
      <c r="AY15" s="698"/>
      <c r="AZ15" s="35"/>
      <c r="BA15" s="27"/>
      <c r="BC15" s="400">
        <v>2</v>
      </c>
      <c r="BD15" s="400">
        <v>3</v>
      </c>
      <c r="BE15" s="400">
        <v>4</v>
      </c>
      <c r="BF15" s="25">
        <v>5</v>
      </c>
      <c r="BG15" s="25">
        <v>6</v>
      </c>
      <c r="BH15" s="25">
        <v>7</v>
      </c>
      <c r="BI15" s="408"/>
    </row>
    <row r="16" spans="1:61" ht="51.75" x14ac:dyDescent="0.25">
      <c r="A16" s="28" t="s">
        <v>36</v>
      </c>
      <c r="B16" s="29" t="s">
        <v>37</v>
      </c>
      <c r="C16" s="290" t="s">
        <v>165</v>
      </c>
      <c r="D16" s="290" t="s">
        <v>219</v>
      </c>
      <c r="E16" s="555" t="s">
        <v>220</v>
      </c>
      <c r="F16" s="556" t="s">
        <v>221</v>
      </c>
      <c r="G16" s="556" t="s">
        <v>222</v>
      </c>
      <c r="H16" s="557" t="s">
        <v>223</v>
      </c>
      <c r="I16" s="556" t="s">
        <v>224</v>
      </c>
      <c r="J16" s="558" t="s">
        <v>225</v>
      </c>
      <c r="K16" s="413" t="s">
        <v>220</v>
      </c>
      <c r="L16" s="410" t="s">
        <v>221</v>
      </c>
      <c r="M16" s="410" t="s">
        <v>222</v>
      </c>
      <c r="N16" s="411" t="s">
        <v>223</v>
      </c>
      <c r="O16" s="411" t="s">
        <v>224</v>
      </c>
      <c r="P16" s="412" t="s">
        <v>225</v>
      </c>
      <c r="Q16" s="413" t="s">
        <v>220</v>
      </c>
      <c r="R16" s="410" t="s">
        <v>221</v>
      </c>
      <c r="S16" s="410" t="s">
        <v>222</v>
      </c>
      <c r="T16" s="411" t="s">
        <v>223</v>
      </c>
      <c r="U16" s="411" t="s">
        <v>224</v>
      </c>
      <c r="V16" s="412" t="s">
        <v>225</v>
      </c>
      <c r="W16" s="413" t="s">
        <v>220</v>
      </c>
      <c r="X16" s="410" t="s">
        <v>221</v>
      </c>
      <c r="Y16" s="410" t="s">
        <v>222</v>
      </c>
      <c r="Z16" s="411" t="s">
        <v>223</v>
      </c>
      <c r="AA16" s="411" t="s">
        <v>224</v>
      </c>
      <c r="AB16" s="412" t="s">
        <v>225</v>
      </c>
      <c r="AC16" s="409" t="s">
        <v>220</v>
      </c>
      <c r="AD16" s="411" t="s">
        <v>221</v>
      </c>
      <c r="AE16" s="411" t="s">
        <v>222</v>
      </c>
      <c r="AF16" s="411" t="s">
        <v>223</v>
      </c>
      <c r="AG16" s="411" t="s">
        <v>224</v>
      </c>
      <c r="AH16" s="414" t="s">
        <v>225</v>
      </c>
      <c r="AI16" s="410" t="s">
        <v>220</v>
      </c>
      <c r="AJ16" s="411" t="s">
        <v>221</v>
      </c>
      <c r="AK16" s="411" t="s">
        <v>222</v>
      </c>
      <c r="AL16" s="411" t="s">
        <v>223</v>
      </c>
      <c r="AM16" s="411" t="s">
        <v>224</v>
      </c>
      <c r="AN16" s="415" t="s">
        <v>225</v>
      </c>
      <c r="AO16" s="409" t="s">
        <v>220</v>
      </c>
      <c r="AP16" s="411" t="s">
        <v>221</v>
      </c>
      <c r="AQ16" s="411" t="s">
        <v>222</v>
      </c>
      <c r="AR16" s="411" t="s">
        <v>223</v>
      </c>
      <c r="AS16" s="411" t="s">
        <v>224</v>
      </c>
      <c r="AT16" s="416" t="s">
        <v>225</v>
      </c>
      <c r="AU16" s="28" t="s">
        <v>226</v>
      </c>
      <c r="AV16" s="417" t="s">
        <v>227</v>
      </c>
      <c r="AW16" s="418" t="s">
        <v>81</v>
      </c>
      <c r="AX16" s="30" t="s">
        <v>228</v>
      </c>
      <c r="AY16" s="30" t="s">
        <v>229</v>
      </c>
      <c r="AZ16" s="30" t="s">
        <v>347</v>
      </c>
      <c r="BB16" s="43" t="s">
        <v>230</v>
      </c>
      <c r="BC16" s="44" t="s">
        <v>222</v>
      </c>
      <c r="BD16" s="44" t="s">
        <v>231</v>
      </c>
      <c r="BE16" s="44" t="s">
        <v>223</v>
      </c>
      <c r="BF16" s="44" t="s">
        <v>232</v>
      </c>
      <c r="BG16" s="44" t="s">
        <v>221</v>
      </c>
      <c r="BH16" s="44" t="s">
        <v>220</v>
      </c>
    </row>
    <row r="17" spans="1:70" x14ac:dyDescent="0.25">
      <c r="A17" s="419">
        <f>ProjStartYr</f>
        <v>2022</v>
      </c>
      <c r="B17" s="452">
        <v>1</v>
      </c>
      <c r="C17" s="420">
        <f>'I - Travel Time'!D15*$C$5</f>
        <v>1359176.6400000001</v>
      </c>
      <c r="D17" s="420">
        <f>IF(A17&gt;=BenefitStart,('I - Travel Time'!E15*$C$5),C17)</f>
        <v>1359176.6400000001</v>
      </c>
      <c r="E17" s="559">
        <f>(IFERROR(IF($A17&lt;BenefitStart,0,VLOOKUP(ROUND($C$7,0),'Emission Rates'!$C$5:$J$72,E$15,FALSE)),0)*$C17)/$C$9</f>
        <v>0</v>
      </c>
      <c r="F17" s="560">
        <f>(IFERROR(IF($A17&lt;BenefitStart,0,VLOOKUP(ROUND($C$7,0),'Emission Rates'!$C$5:$J$72,F$15,FALSE)),0)*$C17)/$C$9</f>
        <v>0</v>
      </c>
      <c r="G17" s="560">
        <f>(IFERROR(IF($A17&lt;BenefitStart,0,VLOOKUP(ROUND($C$7,0),'Emission Rates'!$C$5:$J$72,G$15,FALSE)),0)*$C17)/$C$9</f>
        <v>0</v>
      </c>
      <c r="H17" s="560">
        <f>(IFERROR(IF($A17&lt;BenefitStart,0,VLOOKUP(ROUND($C$7,0),'Emission Rates'!$C$5:$J$72,H$15,FALSE)),0)*$C17)/$C$9</f>
        <v>0</v>
      </c>
      <c r="I17" s="560">
        <f>(IFERROR(IF($A17&lt;BenefitStart,0,VLOOKUP(ROUND($C$7,0),'Emission Rates'!$C$5:$J$72,I$15,FALSE)),0)*$C17)/$C$9</f>
        <v>0</v>
      </c>
      <c r="J17" s="561">
        <f>(IFERROR(IF($A17&lt;BenefitStart,0,VLOOKUP(ROUND($C$7,0),'Emission Rates'!$C$5:$J$72,J$15,FALSE)),0)*$C17)/$C$9</f>
        <v>0</v>
      </c>
      <c r="K17" s="554">
        <f>(IFERROR(IF($A17&lt;BenefitStart,0,VLOOKUP(ROUND($C$7,0),'Emission Rates'!$C$74:$J$140,K$15,FALSE)),0)*$C17)/$C$9</f>
        <v>0</v>
      </c>
      <c r="L17" s="554">
        <f>(IFERROR(IF($A17&lt;BenefitStart,0,VLOOKUP(ROUND($C$7,0),'Emission Rates'!$C$74:$J$140,L$15,FALSE)),0)*$C17)/$C$9</f>
        <v>0</v>
      </c>
      <c r="M17" s="554">
        <f>(IFERROR(IF($A17&lt;BenefitStart,0,VLOOKUP(ROUND($C$7,0),'Emission Rates'!$C$74:$J$140,M$15,FALSE)),0)*$C17)/$C$9</f>
        <v>0</v>
      </c>
      <c r="N17" s="554">
        <f>(IFERROR(IF($A17&lt;BenefitStart,0,VLOOKUP(ROUND($C$7,0),'Emission Rates'!$C$74:$J$140,N$15,FALSE)),0)*$C17)/$C$9</f>
        <v>0</v>
      </c>
      <c r="O17" s="554">
        <f>(IFERROR(IF($A17&lt;BenefitStart,0,VLOOKUP(ROUND($C$7,0),'Emission Rates'!$C$74:$J$140,O$15,FALSE)),0)*$C17)/$C$9</f>
        <v>0</v>
      </c>
      <c r="P17" s="554">
        <f>(IFERROR(IF($A17&lt;BenefitStart,0,VLOOKUP(ROUND($C$7,0),'Emission Rates'!$C$74:$J$140,P$15,FALSE)),0)*$C17)/$C$9</f>
        <v>0</v>
      </c>
      <c r="Q17" s="432">
        <f>(IFERROR(IF($A17&lt;BenefitStart,0,VLOOKUP(ROUND($C$7,0),'Emission Rates'!$C$5:$J$72,Q$15,FALSE)),0)*D17)/$C$9</f>
        <v>0</v>
      </c>
      <c r="R17" s="554">
        <f>(IFERROR(IF($A17&lt;BenefitStart,0,VLOOKUP(ROUND($C$7,0),'Emission Rates'!$C$5:$J$72,R$15,FALSE)),0)*E17)/$C$9</f>
        <v>0</v>
      </c>
      <c r="S17" s="554">
        <f>(IFERROR(IF($A17&lt;BenefitStart,0,VLOOKUP(ROUND($C$7,0),'Emission Rates'!$C$5:$J$72,S$15,FALSE)),0)*F17)/$C$9</f>
        <v>0</v>
      </c>
      <c r="T17" s="554">
        <f>(IFERROR(IF($A17&lt;BenefitStart,0,VLOOKUP(ROUND($C$7,0),'Emission Rates'!$C$5:$J$72,T$15,FALSE)),0)*G17)/$C$9</f>
        <v>0</v>
      </c>
      <c r="U17" s="554">
        <f>(IFERROR(IF($A17&lt;BenefitStart,0,VLOOKUP(ROUND($C$7,0),'Emission Rates'!$C$5:$J$72,U$15,FALSE)),0)*H17)/$C$9</f>
        <v>0</v>
      </c>
      <c r="V17" s="434">
        <f>(IFERROR(IF($A17&lt;BenefitStart,0,VLOOKUP(ROUND($C$7,0),'Emission Rates'!$C$5:$J$72,V$15,FALSE)),0)*I17)/$C$9</f>
        <v>0</v>
      </c>
      <c r="W17" s="554">
        <f>(IFERROR(IF($A17&lt;BenefitStart,0,VLOOKUP(ROUND($C$7,0),'Emission Rates'!$C$74:$J$140,W$15,FALSE)),0)*D17)/$C$9</f>
        <v>0</v>
      </c>
      <c r="X17" s="433">
        <f>(IFERROR(IF($A17&lt;BenefitStart,0,VLOOKUP(ROUND($C$7,0),'Emission Rates'!$C$74:$J$140,X$15,FALSE)),0)*D17)/$C$9</f>
        <v>0</v>
      </c>
      <c r="Y17" s="433">
        <f>(IFERROR(IF($A17&lt;BenefitStart,0,VLOOKUP(ROUND($C$7,0),'Emission Rates'!$C$74:$J$140,Y$15,FALSE)),0)*E17)/$C$9</f>
        <v>0</v>
      </c>
      <c r="Z17" s="433">
        <f>(IFERROR(IF($A17&lt;BenefitStart,0,VLOOKUP(ROUND($C$7,0),'Emission Rates'!$C$74:$J$140,Z$15,FALSE)),0)*F17)/$C$9</f>
        <v>0</v>
      </c>
      <c r="AA17" s="433">
        <f>(IFERROR(IF($A17&lt;BenefitStart,0,VLOOKUP(ROUND($C$7,0),'Emission Rates'!$C$74:$J$140,AA$15,FALSE)),0)*G17)/$C$9</f>
        <v>0</v>
      </c>
      <c r="AB17" s="433">
        <f>(IFERROR(IF($A17&lt;BenefitStart,0,VLOOKUP(ROUND($C$7,0),'Emission Rates'!$C$74:$J$140,AB$15,FALSE)),0)*H17)/$C$9</f>
        <v>0</v>
      </c>
      <c r="AC17" s="421">
        <f t="shared" ref="AC17:AN17" si="0">E17-Q17</f>
        <v>0</v>
      </c>
      <c r="AD17" s="422">
        <f t="shared" si="0"/>
        <v>0</v>
      </c>
      <c r="AE17" s="422">
        <f t="shared" si="0"/>
        <v>0</v>
      </c>
      <c r="AF17" s="422">
        <f t="shared" si="0"/>
        <v>0</v>
      </c>
      <c r="AG17" s="422">
        <f t="shared" si="0"/>
        <v>0</v>
      </c>
      <c r="AH17" s="423">
        <f t="shared" si="0"/>
        <v>0</v>
      </c>
      <c r="AI17" s="422">
        <f t="shared" si="0"/>
        <v>0</v>
      </c>
      <c r="AJ17" s="422">
        <f t="shared" si="0"/>
        <v>0</v>
      </c>
      <c r="AK17" s="422">
        <f t="shared" si="0"/>
        <v>0</v>
      </c>
      <c r="AL17" s="422">
        <f t="shared" si="0"/>
        <v>0</v>
      </c>
      <c r="AM17" s="422">
        <f t="shared" si="0"/>
        <v>0</v>
      </c>
      <c r="AN17" s="422">
        <f t="shared" si="0"/>
        <v>0</v>
      </c>
      <c r="AO17" s="424">
        <f t="shared" ref="AO17:AO46" si="1">IF($A17&gt;$BB$45,AO16,VLOOKUP($A17,$BB$17:$BH$45,AO$15,FALSE))</f>
        <v>97.5</v>
      </c>
      <c r="AP17" s="425">
        <f t="shared" ref="AP17:AP46" si="2">IF($A17&gt;$BB$45,AP16,VLOOKUP($A17,$BB$17:$BH$45,AP$15,FALSE))</f>
        <v>52</v>
      </c>
      <c r="AQ17" s="425">
        <f t="shared" ref="AQ17:AQ46" si="3">IF($A17&gt;$BB$45,AQ16,VLOOKUP($A17,$BB$17:$BH$45,AQ$15,FALSE))</f>
        <v>15600</v>
      </c>
      <c r="AR17" s="425">
        <f t="shared" ref="AR17:AR46" si="4">IF($A17&gt;$BB$45,AR16,VLOOKUP($A17,$BB$17:$BH$45,AR$15,FALSE))</f>
        <v>748600</v>
      </c>
      <c r="AS17" s="425">
        <f t="shared" ref="AS17:AS46" si="5">IF($A17&gt;$BB$45,AS16,VLOOKUP($A17,$BB$17:$BH$45,AS$15,FALSE))</f>
        <v>41500</v>
      </c>
      <c r="AT17" s="426">
        <f t="shared" ref="AT17:AT46" si="6">IF($A17&gt;$BB$45,AT16,VLOOKUP($A17,$BB$17:$BH$45,AT$15,FALSE))</f>
        <v>1415</v>
      </c>
      <c r="AU17" s="32">
        <f>SUMPRODUCT(AE17:AH17,AQ17:AT17)+SUMPRODUCT(AK17:AN17,AQ17:AT17)+(AI17+AC17)*AO17</f>
        <v>0</v>
      </c>
      <c r="AV17" s="32">
        <f>(AJ17+AD17)*AP17</f>
        <v>0</v>
      </c>
      <c r="AW17" s="427">
        <f>SUM(AU17:AV17)</f>
        <v>0</v>
      </c>
      <c r="AX17" s="428">
        <f>AV17/(1+0.03)^($A17-'A - Inputs'!$C$6)</f>
        <v>0</v>
      </c>
      <c r="AY17" s="428">
        <v>0</v>
      </c>
      <c r="AZ17" s="429">
        <f t="shared" ref="AZ17:AZ46" si="7">SUM(AX17:AY17)</f>
        <v>0</v>
      </c>
      <c r="BA17" s="23"/>
      <c r="BB17" s="42">
        <v>2022</v>
      </c>
      <c r="BC17" s="33">
        <v>15600</v>
      </c>
      <c r="BD17" s="33">
        <v>41500</v>
      </c>
      <c r="BE17" s="33">
        <v>748600</v>
      </c>
      <c r="BF17" s="33">
        <v>1415</v>
      </c>
      <c r="BG17" s="33">
        <v>52</v>
      </c>
      <c r="BH17" s="33">
        <f>(90/48)*BG17</f>
        <v>97.5</v>
      </c>
      <c r="BJ17" s="23"/>
      <c r="BK17" s="23"/>
      <c r="BL17" s="23"/>
      <c r="BM17" s="23"/>
      <c r="BN17" s="23"/>
      <c r="BO17" s="23"/>
      <c r="BP17" s="23"/>
      <c r="BQ17" s="23"/>
      <c r="BR17" s="23"/>
    </row>
    <row r="18" spans="1:70" x14ac:dyDescent="0.25">
      <c r="A18" s="34">
        <f>A17+1</f>
        <v>2023</v>
      </c>
      <c r="B18" s="31">
        <f>B17+1</f>
        <v>2</v>
      </c>
      <c r="C18" s="420">
        <f>'I - Travel Time'!D16*$C$5</f>
        <v>1379408.4159895831</v>
      </c>
      <c r="D18" s="420">
        <f>IF(A18&gt;=BenefitStart,('I - Travel Time'!E16*$C$5),C18)</f>
        <v>1379408.4159895831</v>
      </c>
      <c r="E18" s="432">
        <f>(IFERROR(IF($A18&lt;BenefitStart,0,VLOOKUP(ROUND($C$7,0),'Emission Rates'!$C$5:$J$72,E$15,FALSE)),0)*$C18)/$C$9</f>
        <v>0</v>
      </c>
      <c r="F18" s="554">
        <f>(IFERROR(IF($A18&lt;BenefitStart,0,VLOOKUP(ROUND($C$7,0),'Emission Rates'!$C$5:$J$72,F$15,FALSE)),0)*$C18)/$C$9</f>
        <v>0</v>
      </c>
      <c r="G18" s="554">
        <f>(IFERROR(IF($A18&lt;BenefitStart,0,VLOOKUP(ROUND($C$7,0),'Emission Rates'!$C$5:$J$72,G$15,FALSE)),0)*$C18)/$C$9</f>
        <v>0</v>
      </c>
      <c r="H18" s="554">
        <f>(IFERROR(IF($A18&lt;BenefitStart,0,VLOOKUP(ROUND($C$7,0),'Emission Rates'!$C$5:$J$72,H$15,FALSE)),0)*$C18)/$C$9</f>
        <v>0</v>
      </c>
      <c r="I18" s="554">
        <f>(IFERROR(IF($A18&lt;BenefitStart,0,VLOOKUP(ROUND($C$7,0),'Emission Rates'!$C$5:$J$72,I$15,FALSE)),0)*$C18)/$C$9</f>
        <v>0</v>
      </c>
      <c r="J18" s="434">
        <f>(IFERROR(IF($A18&lt;BenefitStart,0,VLOOKUP(ROUND($C$7,0),'Emission Rates'!$C$5:$J$72,J$15,FALSE)),0)*$C18)/$C$9</f>
        <v>0</v>
      </c>
      <c r="K18" s="554">
        <f>(IFERROR(IF($A18&lt;BenefitStart,0,VLOOKUP(ROUND($C$7,0),'Emission Rates'!$C$74:$J$140,K$15,FALSE)),0)*$C18)/$C$9</f>
        <v>0</v>
      </c>
      <c r="L18" s="554">
        <f>(IFERROR(IF($A18&lt;BenefitStart,0,VLOOKUP(ROUND($C$7,0),'Emission Rates'!$C$74:$J$140,L$15,FALSE)),0)*$C18)/$C$9</f>
        <v>0</v>
      </c>
      <c r="M18" s="554">
        <f>(IFERROR(IF($A18&lt;BenefitStart,0,VLOOKUP(ROUND($C$7,0),'Emission Rates'!$C$74:$J$140,M$15,FALSE)),0)*$C18)/$C$9</f>
        <v>0</v>
      </c>
      <c r="N18" s="554">
        <f>(IFERROR(IF($A18&lt;BenefitStart,0,VLOOKUP(ROUND($C$7,0),'Emission Rates'!$C$74:$J$140,N$15,FALSE)),0)*$C18)/$C$9</f>
        <v>0</v>
      </c>
      <c r="O18" s="554">
        <f>(IFERROR(IF($A18&lt;BenefitStart,0,VLOOKUP(ROUND($C$7,0),'Emission Rates'!$C$74:$J$140,O$15,FALSE)),0)*$C18)/$C$9</f>
        <v>0</v>
      </c>
      <c r="P18" s="554">
        <f>(IFERROR(IF($A18&lt;BenefitStart,0,VLOOKUP(ROUND($C$7,0),'Emission Rates'!$C$74:$J$140,P$15,FALSE)),0)*$C18)/$C$9</f>
        <v>0</v>
      </c>
      <c r="Q18" s="432">
        <f>(IFERROR(IF($A18&lt;BenefitStart,0,VLOOKUP(ROUND($C$7,0),'Emission Rates'!$C$5:$J$72,Q$15,FALSE)),0)*D18)/$C$9</f>
        <v>0</v>
      </c>
      <c r="R18" s="554">
        <f>(IFERROR(IF($A18&lt;BenefitStart,0,VLOOKUP(ROUND($C$7,0),'Emission Rates'!$C$5:$J$72,R$15,FALSE)),0)*E18)/$C$9</f>
        <v>0</v>
      </c>
      <c r="S18" s="554">
        <f>(IFERROR(IF($A18&lt;BenefitStart,0,VLOOKUP(ROUND($C$7,0),'Emission Rates'!$C$5:$J$72,S$15,FALSE)),0)*F18)/$C$9</f>
        <v>0</v>
      </c>
      <c r="T18" s="554">
        <f>(IFERROR(IF($A18&lt;BenefitStart,0,VLOOKUP(ROUND($C$7,0),'Emission Rates'!$C$5:$J$72,T$15,FALSE)),0)*G18)/$C$9</f>
        <v>0</v>
      </c>
      <c r="U18" s="554">
        <f>(IFERROR(IF($A18&lt;BenefitStart,0,VLOOKUP(ROUND($C$7,0),'Emission Rates'!$C$5:$J$72,U$15,FALSE)),0)*H18)/$C$9</f>
        <v>0</v>
      </c>
      <c r="V18" s="434">
        <f>(IFERROR(IF($A18&lt;BenefitStart,0,VLOOKUP(ROUND($C$7,0),'Emission Rates'!$C$5:$J$72,V$15,FALSE)),0)*I18)/$C$9</f>
        <v>0</v>
      </c>
      <c r="W18" s="554">
        <f>(IFERROR(IF($A18&lt;BenefitStart,0,VLOOKUP(ROUND($C$7,0),'Emission Rates'!$C$74:$J$140,W$15,FALSE)),0)*D18)/$C$9</f>
        <v>0</v>
      </c>
      <c r="X18" s="433">
        <f>(IFERROR(IF($A18&lt;BenefitStart,0,VLOOKUP(ROUND($C$7,0),'Emission Rates'!$C$74:$J$140,X$15,FALSE)),0)*D18)/$C$9</f>
        <v>0</v>
      </c>
      <c r="Y18" s="433">
        <f>(IFERROR(IF($A18&lt;BenefitStart,0,VLOOKUP(ROUND($C$7,0),'Emission Rates'!$C$74:$J$140,Y$15,FALSE)),0)*E18)/$C$9</f>
        <v>0</v>
      </c>
      <c r="Z18" s="433">
        <f>(IFERROR(IF($A18&lt;BenefitStart,0,VLOOKUP(ROUND($C$7,0),'Emission Rates'!$C$74:$J$140,Z$15,FALSE)),0)*F18)/$C$9</f>
        <v>0</v>
      </c>
      <c r="AA18" s="433">
        <f>(IFERROR(IF($A18&lt;BenefitStart,0,VLOOKUP(ROUND($C$7,0),'Emission Rates'!$C$74:$J$140,AA$15,FALSE)),0)*G18)/$C$9</f>
        <v>0</v>
      </c>
      <c r="AB18" s="433">
        <f>(IFERROR(IF($A18&lt;BenefitStart,0,VLOOKUP(ROUND($C$7,0),'Emission Rates'!$C$74:$J$140,AB$15,FALSE)),0)*H18)/$C$9</f>
        <v>0</v>
      </c>
      <c r="AC18" s="421">
        <f t="shared" ref="AC18:AC46" si="8">E18-Q18</f>
        <v>0</v>
      </c>
      <c r="AD18" s="422">
        <f t="shared" ref="AD18:AD46" si="9">F18-R18</f>
        <v>0</v>
      </c>
      <c r="AE18" s="422">
        <f t="shared" ref="AE18:AE46" si="10">G18-S18</f>
        <v>0</v>
      </c>
      <c r="AF18" s="422">
        <f t="shared" ref="AF18:AF46" si="11">H18-T18</f>
        <v>0</v>
      </c>
      <c r="AG18" s="422">
        <f t="shared" ref="AG18:AG46" si="12">I18-U18</f>
        <v>0</v>
      </c>
      <c r="AH18" s="423">
        <f t="shared" ref="AH18:AH46" si="13">J18-V18</f>
        <v>0</v>
      </c>
      <c r="AI18" s="422">
        <f t="shared" ref="AI18:AN37" si="14">K18-W18</f>
        <v>0</v>
      </c>
      <c r="AJ18" s="422">
        <f t="shared" si="14"/>
        <v>0</v>
      </c>
      <c r="AK18" s="422">
        <f t="shared" si="14"/>
        <v>0</v>
      </c>
      <c r="AL18" s="422">
        <f t="shared" si="14"/>
        <v>0</v>
      </c>
      <c r="AM18" s="422">
        <f t="shared" si="14"/>
        <v>0</v>
      </c>
      <c r="AN18" s="422">
        <f t="shared" si="14"/>
        <v>0</v>
      </c>
      <c r="AO18" s="430">
        <f t="shared" si="1"/>
        <v>99.375</v>
      </c>
      <c r="AP18" s="32">
        <f t="shared" si="2"/>
        <v>53</v>
      </c>
      <c r="AQ18" s="32">
        <f t="shared" si="3"/>
        <v>15800</v>
      </c>
      <c r="AR18" s="32">
        <f t="shared" si="4"/>
        <v>761600</v>
      </c>
      <c r="AS18" s="32">
        <f t="shared" si="5"/>
        <v>42300</v>
      </c>
      <c r="AT18" s="431">
        <f t="shared" si="6"/>
        <v>1415</v>
      </c>
      <c r="AU18" s="32">
        <f t="shared" ref="AU18:AU46" si="15">SUMPRODUCT(AE18:AH18,AQ18:AT18)+SUMPRODUCT(AK18:AN18,AQ18:AT18)+(AI18+AC18)*AO18</f>
        <v>0</v>
      </c>
      <c r="AV18" s="32">
        <f t="shared" ref="AV18:AV46" si="16">(AJ18+AD18)*AP18</f>
        <v>0</v>
      </c>
      <c r="AW18" s="427">
        <f t="shared" ref="AW18:AW46" si="17">SUM(AU18:AV18)</f>
        <v>0</v>
      </c>
      <c r="AX18" s="428">
        <f>AV18/(1+0.03)^($A18-'A - Inputs'!$C$6)</f>
        <v>0</v>
      </c>
      <c r="AY18" s="428">
        <v>0</v>
      </c>
      <c r="AZ18" s="429">
        <f t="shared" si="7"/>
        <v>0</v>
      </c>
      <c r="BA18" s="23"/>
      <c r="BB18" s="42">
        <v>2023</v>
      </c>
      <c r="BC18" s="33">
        <v>15800</v>
      </c>
      <c r="BD18" s="33">
        <v>42300</v>
      </c>
      <c r="BE18" s="33">
        <v>761600</v>
      </c>
      <c r="BF18" s="41">
        <f>BF17</f>
        <v>1415</v>
      </c>
      <c r="BG18" s="33">
        <v>53</v>
      </c>
      <c r="BH18" s="33">
        <f t="shared" ref="BH18:BH45" si="18">(90/48)*BG18</f>
        <v>99.375</v>
      </c>
      <c r="BJ18" s="23"/>
      <c r="BK18" s="23"/>
      <c r="BL18" s="23"/>
      <c r="BM18" s="23"/>
      <c r="BN18" s="23"/>
      <c r="BO18" s="23"/>
      <c r="BP18" s="23"/>
      <c r="BQ18" s="23"/>
      <c r="BR18" s="23"/>
    </row>
    <row r="19" spans="1:70" x14ac:dyDescent="0.25">
      <c r="A19" s="34">
        <f t="shared" ref="A19:B34" si="19">A18+1</f>
        <v>2024</v>
      </c>
      <c r="B19" s="31">
        <f t="shared" si="19"/>
        <v>3</v>
      </c>
      <c r="C19" s="420">
        <f>'I - Travel Time'!D17*$C$5</f>
        <v>1399772.9002083333</v>
      </c>
      <c r="D19" s="420">
        <f>IF(A19&gt;=BenefitStart,('I - Travel Time'!E17*$C$5),C19)</f>
        <v>1399772.9002083333</v>
      </c>
      <c r="E19" s="432">
        <f>(IFERROR(IF($A19&lt;BenefitStart,0,VLOOKUP(ROUND($C$7,0),'Emission Rates'!$C$5:$J$72,E$15,FALSE)),0)*$C19)/$C$9</f>
        <v>0</v>
      </c>
      <c r="F19" s="554">
        <f>(IFERROR(IF($A19&lt;BenefitStart,0,VLOOKUP(ROUND($C$7,0),'Emission Rates'!$C$5:$J$72,F$15,FALSE)),0)*$C19)/$C$9</f>
        <v>0</v>
      </c>
      <c r="G19" s="554">
        <f>(IFERROR(IF($A19&lt;BenefitStart,0,VLOOKUP(ROUND($C$7,0),'Emission Rates'!$C$5:$J$72,G$15,FALSE)),0)*$C19)/$C$9</f>
        <v>0</v>
      </c>
      <c r="H19" s="554">
        <f>(IFERROR(IF($A19&lt;BenefitStart,0,VLOOKUP(ROUND($C$7,0),'Emission Rates'!$C$5:$J$72,H$15,FALSE)),0)*$C19)/$C$9</f>
        <v>0</v>
      </c>
      <c r="I19" s="554">
        <f>(IFERROR(IF($A19&lt;BenefitStart,0,VLOOKUP(ROUND($C$7,0),'Emission Rates'!$C$5:$J$72,I$15,FALSE)),0)*$C19)/$C$9</f>
        <v>0</v>
      </c>
      <c r="J19" s="434">
        <f>(IFERROR(IF($A19&lt;BenefitStart,0,VLOOKUP(ROUND($C$7,0),'Emission Rates'!$C$5:$J$72,J$15,FALSE)),0)*$C19)/$C$9</f>
        <v>0</v>
      </c>
      <c r="K19" s="554">
        <f>(IFERROR(IF($A19&lt;BenefitStart,0,VLOOKUP(ROUND($C$7,0),'Emission Rates'!$C$74:$J$140,K$15,FALSE)),0)*$C19)/$C$9</f>
        <v>0</v>
      </c>
      <c r="L19" s="554">
        <f>(IFERROR(IF($A19&lt;BenefitStart,0,VLOOKUP(ROUND($C$7,0),'Emission Rates'!$C$74:$J$140,L$15,FALSE)),0)*$C19)/$C$9</f>
        <v>0</v>
      </c>
      <c r="M19" s="554">
        <f>(IFERROR(IF($A19&lt;BenefitStart,0,VLOOKUP(ROUND($C$7,0),'Emission Rates'!$C$74:$J$140,M$15,FALSE)),0)*$C19)/$C$9</f>
        <v>0</v>
      </c>
      <c r="N19" s="554">
        <f>(IFERROR(IF($A19&lt;BenefitStart,0,VLOOKUP(ROUND($C$7,0),'Emission Rates'!$C$74:$J$140,N$15,FALSE)),0)*$C19)/$C$9</f>
        <v>0</v>
      </c>
      <c r="O19" s="554">
        <f>(IFERROR(IF($A19&lt;BenefitStart,0,VLOOKUP(ROUND($C$7,0),'Emission Rates'!$C$74:$J$140,O$15,FALSE)),0)*$C19)/$C$9</f>
        <v>0</v>
      </c>
      <c r="P19" s="554">
        <f>(IFERROR(IF($A19&lt;BenefitStart,0,VLOOKUP(ROUND($C$7,0),'Emission Rates'!$C$74:$J$140,P$15,FALSE)),0)*$C19)/$C$9</f>
        <v>0</v>
      </c>
      <c r="Q19" s="432">
        <f>(IFERROR(IF($A19&lt;BenefitStart,0,VLOOKUP(ROUND($C$7,0),'Emission Rates'!$C$5:$J$72,Q$15,FALSE)),0)*D19)/$C$9</f>
        <v>0</v>
      </c>
      <c r="R19" s="554">
        <f>(IFERROR(IF($A19&lt;BenefitStart,0,VLOOKUP(ROUND($C$7,0),'Emission Rates'!$C$5:$J$72,R$15,FALSE)),0)*E19)/$C$9</f>
        <v>0</v>
      </c>
      <c r="S19" s="554">
        <f>(IFERROR(IF($A19&lt;BenefitStart,0,VLOOKUP(ROUND($C$7,0),'Emission Rates'!$C$5:$J$72,S$15,FALSE)),0)*F19)/$C$9</f>
        <v>0</v>
      </c>
      <c r="T19" s="554">
        <f>(IFERROR(IF($A19&lt;BenefitStart,0,VLOOKUP(ROUND($C$7,0),'Emission Rates'!$C$5:$J$72,T$15,FALSE)),0)*G19)/$C$9</f>
        <v>0</v>
      </c>
      <c r="U19" s="554">
        <f>(IFERROR(IF($A19&lt;BenefitStart,0,VLOOKUP(ROUND($C$7,0),'Emission Rates'!$C$5:$J$72,U$15,FALSE)),0)*H19)/$C$9</f>
        <v>0</v>
      </c>
      <c r="V19" s="434">
        <f>(IFERROR(IF($A19&lt;BenefitStart,0,VLOOKUP(ROUND($C$7,0),'Emission Rates'!$C$5:$J$72,V$15,FALSE)),0)*I19)/$C$9</f>
        <v>0</v>
      </c>
      <c r="W19" s="554">
        <f>(IFERROR(IF($A19&lt;BenefitStart,0,VLOOKUP(ROUND($C$7,0),'Emission Rates'!$C$74:$J$140,W$15,FALSE)),0)*D19)/$C$9</f>
        <v>0</v>
      </c>
      <c r="X19" s="433">
        <f>(IFERROR(IF($A19&lt;BenefitStart,0,VLOOKUP(ROUND($C$7,0),'Emission Rates'!$C$74:$J$140,X$15,FALSE)),0)*D19)/$C$9</f>
        <v>0</v>
      </c>
      <c r="Y19" s="433">
        <f>(IFERROR(IF($A19&lt;BenefitStart,0,VLOOKUP(ROUND($C$7,0),'Emission Rates'!$C$74:$J$140,Y$15,FALSE)),0)*E19)/$C$9</f>
        <v>0</v>
      </c>
      <c r="Z19" s="433">
        <f>(IFERROR(IF($A19&lt;BenefitStart,0,VLOOKUP(ROUND($C$7,0),'Emission Rates'!$C$74:$J$140,Z$15,FALSE)),0)*F19)/$C$9</f>
        <v>0</v>
      </c>
      <c r="AA19" s="433">
        <f>(IFERROR(IF($A19&lt;BenefitStart,0,VLOOKUP(ROUND($C$7,0),'Emission Rates'!$C$74:$J$140,AA$15,FALSE)),0)*G19)/$C$9</f>
        <v>0</v>
      </c>
      <c r="AB19" s="433">
        <f>(IFERROR(IF($A19&lt;BenefitStart,0,VLOOKUP(ROUND($C$7,0),'Emission Rates'!$C$74:$J$140,AB$15,FALSE)),0)*H19)/$C$9</f>
        <v>0</v>
      </c>
      <c r="AC19" s="421">
        <f t="shared" si="8"/>
        <v>0</v>
      </c>
      <c r="AD19" s="422">
        <f t="shared" si="9"/>
        <v>0</v>
      </c>
      <c r="AE19" s="422">
        <f t="shared" si="10"/>
        <v>0</v>
      </c>
      <c r="AF19" s="422">
        <f t="shared" si="11"/>
        <v>0</v>
      </c>
      <c r="AG19" s="422">
        <f t="shared" si="12"/>
        <v>0</v>
      </c>
      <c r="AH19" s="423">
        <f t="shared" si="13"/>
        <v>0</v>
      </c>
      <c r="AI19" s="422">
        <f t="shared" si="14"/>
        <v>0</v>
      </c>
      <c r="AJ19" s="422">
        <f t="shared" si="14"/>
        <v>0</v>
      </c>
      <c r="AK19" s="422">
        <f t="shared" si="14"/>
        <v>0</v>
      </c>
      <c r="AL19" s="422">
        <f t="shared" si="14"/>
        <v>0</v>
      </c>
      <c r="AM19" s="422">
        <f t="shared" si="14"/>
        <v>0</v>
      </c>
      <c r="AN19" s="422">
        <f t="shared" si="14"/>
        <v>0</v>
      </c>
      <c r="AO19" s="430">
        <f t="shared" si="1"/>
        <v>101.25</v>
      </c>
      <c r="AP19" s="32">
        <f t="shared" si="2"/>
        <v>54</v>
      </c>
      <c r="AQ19" s="32">
        <f t="shared" si="3"/>
        <v>16000</v>
      </c>
      <c r="AR19" s="32">
        <f t="shared" si="4"/>
        <v>774700</v>
      </c>
      <c r="AS19" s="32">
        <f t="shared" si="5"/>
        <v>43100</v>
      </c>
      <c r="AT19" s="431">
        <f t="shared" si="6"/>
        <v>1415</v>
      </c>
      <c r="AU19" s="32">
        <f t="shared" si="15"/>
        <v>0</v>
      </c>
      <c r="AV19" s="32">
        <f t="shared" si="16"/>
        <v>0</v>
      </c>
      <c r="AW19" s="427">
        <f>SUM(AU19:AV19)</f>
        <v>0</v>
      </c>
      <c r="AX19" s="428">
        <f>AV19/(1+0.03)^($A19-'A - Inputs'!$C$6)</f>
        <v>0</v>
      </c>
      <c r="AY19" s="428">
        <v>0</v>
      </c>
      <c r="AZ19" s="429">
        <f t="shared" si="7"/>
        <v>0</v>
      </c>
      <c r="BA19" s="23"/>
      <c r="BB19" s="42">
        <v>2024</v>
      </c>
      <c r="BC19" s="33">
        <v>16000</v>
      </c>
      <c r="BD19" s="33">
        <v>43100</v>
      </c>
      <c r="BE19" s="33">
        <v>774700</v>
      </c>
      <c r="BF19" s="41">
        <f t="shared" ref="BF19:BF46" si="20">BF18</f>
        <v>1415</v>
      </c>
      <c r="BG19" s="33">
        <v>54</v>
      </c>
      <c r="BH19" s="33">
        <f t="shared" si="18"/>
        <v>101.25</v>
      </c>
      <c r="BJ19" s="23"/>
      <c r="BK19" s="23"/>
      <c r="BL19" s="23"/>
      <c r="BM19" s="23"/>
      <c r="BN19" s="23"/>
      <c r="BO19" s="23"/>
      <c r="BP19" s="23"/>
      <c r="BQ19" s="23"/>
      <c r="BR19" s="23"/>
    </row>
    <row r="20" spans="1:70" x14ac:dyDescent="0.25">
      <c r="A20" s="34">
        <f t="shared" si="19"/>
        <v>2025</v>
      </c>
      <c r="B20" s="31">
        <f t="shared" si="19"/>
        <v>4</v>
      </c>
      <c r="C20" s="420">
        <f>'I - Travel Time'!D18*$C$5</f>
        <v>1420270.0926562499</v>
      </c>
      <c r="D20" s="420">
        <f>IF(A20&gt;=BenefitStart,('I - Travel Time'!E18*$C$5),C20)</f>
        <v>1420270.0926562499</v>
      </c>
      <c r="E20" s="432">
        <f>(IFERROR(IF($A20&lt;BenefitStart,0,VLOOKUP(ROUND($C$7,0),'Emission Rates'!$C$5:$J$72,E$15,FALSE)),0)*$C20)/$C$9</f>
        <v>0</v>
      </c>
      <c r="F20" s="554">
        <f>(IFERROR(IF($A20&lt;BenefitStart,0,VLOOKUP(ROUND($C$7,0),'Emission Rates'!$C$5:$J$72,F$15,FALSE)),0)*$C20)/$C$9</f>
        <v>0</v>
      </c>
      <c r="G20" s="554">
        <f>(IFERROR(IF($A20&lt;BenefitStart,0,VLOOKUP(ROUND($C$7,0),'Emission Rates'!$C$5:$J$72,G$15,FALSE)),0)*$C20)/$C$9</f>
        <v>0</v>
      </c>
      <c r="H20" s="554">
        <f>(IFERROR(IF($A20&lt;BenefitStart,0,VLOOKUP(ROUND($C$7,0),'Emission Rates'!$C$5:$J$72,H$15,FALSE)),0)*$C20)/$C$9</f>
        <v>0</v>
      </c>
      <c r="I20" s="554">
        <f>(IFERROR(IF($A20&lt;BenefitStart,0,VLOOKUP(ROUND($C$7,0),'Emission Rates'!$C$5:$J$72,I$15,FALSE)),0)*$C20)/$C$9</f>
        <v>0</v>
      </c>
      <c r="J20" s="434">
        <f>(IFERROR(IF($A20&lt;BenefitStart,0,VLOOKUP(ROUND($C$7,0),'Emission Rates'!$C$5:$J$72,J$15,FALSE)),0)*$C20)/$C$9</f>
        <v>0</v>
      </c>
      <c r="K20" s="554">
        <f>(IFERROR(IF($A20&lt;BenefitStart,0,VLOOKUP(ROUND($C$7,0),'Emission Rates'!$C$74:$J$140,K$15,FALSE)),0)*$C20)/$C$9</f>
        <v>0</v>
      </c>
      <c r="L20" s="554">
        <f>(IFERROR(IF($A20&lt;BenefitStart,0,VLOOKUP(ROUND($C$7,0),'Emission Rates'!$C$74:$J$140,L$15,FALSE)),0)*$C20)/$C$9</f>
        <v>0</v>
      </c>
      <c r="M20" s="554">
        <f>(IFERROR(IF($A20&lt;BenefitStart,0,VLOOKUP(ROUND($C$7,0),'Emission Rates'!$C$74:$J$140,M$15,FALSE)),0)*$C20)/$C$9</f>
        <v>0</v>
      </c>
      <c r="N20" s="554">
        <f>(IFERROR(IF($A20&lt;BenefitStart,0,VLOOKUP(ROUND($C$7,0),'Emission Rates'!$C$74:$J$140,N$15,FALSE)),0)*$C20)/$C$9</f>
        <v>0</v>
      </c>
      <c r="O20" s="554">
        <f>(IFERROR(IF($A20&lt;BenefitStart,0,VLOOKUP(ROUND($C$7,0),'Emission Rates'!$C$74:$J$140,O$15,FALSE)),0)*$C20)/$C$9</f>
        <v>0</v>
      </c>
      <c r="P20" s="554">
        <f>(IFERROR(IF($A20&lt;BenefitStart,0,VLOOKUP(ROUND($C$7,0),'Emission Rates'!$C$74:$J$140,P$15,FALSE)),0)*$C20)/$C$9</f>
        <v>0</v>
      </c>
      <c r="Q20" s="432">
        <f>(IFERROR(IF($A20&lt;BenefitStart,0,VLOOKUP(ROUND($C$7,0),'Emission Rates'!$C$5:$J$72,Q$15,FALSE)),0)*D20)/$C$9</f>
        <v>0</v>
      </c>
      <c r="R20" s="554">
        <f>(IFERROR(IF($A20&lt;BenefitStart,0,VLOOKUP(ROUND($C$7,0),'Emission Rates'!$C$5:$J$72,R$15,FALSE)),0)*E20)/$C$9</f>
        <v>0</v>
      </c>
      <c r="S20" s="554">
        <f>(IFERROR(IF($A20&lt;BenefitStart,0,VLOOKUP(ROUND($C$7,0),'Emission Rates'!$C$5:$J$72,S$15,FALSE)),0)*F20)/$C$9</f>
        <v>0</v>
      </c>
      <c r="T20" s="554">
        <f>(IFERROR(IF($A20&lt;BenefitStart,0,VLOOKUP(ROUND($C$7,0),'Emission Rates'!$C$5:$J$72,T$15,FALSE)),0)*G20)/$C$9</f>
        <v>0</v>
      </c>
      <c r="U20" s="554">
        <f>(IFERROR(IF($A20&lt;BenefitStart,0,VLOOKUP(ROUND($C$7,0),'Emission Rates'!$C$5:$J$72,U$15,FALSE)),0)*H20)/$C$9</f>
        <v>0</v>
      </c>
      <c r="V20" s="434">
        <f>(IFERROR(IF($A20&lt;BenefitStart,0,VLOOKUP(ROUND($C$7,0),'Emission Rates'!$C$5:$J$72,V$15,FALSE)),0)*I20)/$C$9</f>
        <v>0</v>
      </c>
      <c r="W20" s="554">
        <f>(IFERROR(IF($A20&lt;BenefitStart,0,VLOOKUP(ROUND($C$7,0),'Emission Rates'!$C$74:$J$140,W$15,FALSE)),0)*D20)/$C$9</f>
        <v>0</v>
      </c>
      <c r="X20" s="433">
        <f>(IFERROR(IF($A20&lt;BenefitStart,0,VLOOKUP(ROUND($C$7,0),'Emission Rates'!$C$74:$J$140,X$15,FALSE)),0)*D20)/$C$9</f>
        <v>0</v>
      </c>
      <c r="Y20" s="433">
        <f>(IFERROR(IF($A20&lt;BenefitStart,0,VLOOKUP(ROUND($C$7,0),'Emission Rates'!$C$74:$J$140,Y$15,FALSE)),0)*E20)/$C$9</f>
        <v>0</v>
      </c>
      <c r="Z20" s="433">
        <f>(IFERROR(IF($A20&lt;BenefitStart,0,VLOOKUP(ROUND($C$7,0),'Emission Rates'!$C$74:$J$140,Z$15,FALSE)),0)*F20)/$C$9</f>
        <v>0</v>
      </c>
      <c r="AA20" s="433">
        <f>(IFERROR(IF($A20&lt;BenefitStart,0,VLOOKUP(ROUND($C$7,0),'Emission Rates'!$C$74:$J$140,AA$15,FALSE)),0)*G20)/$C$9</f>
        <v>0</v>
      </c>
      <c r="AB20" s="433">
        <f>(IFERROR(IF($A20&lt;BenefitStart,0,VLOOKUP(ROUND($C$7,0),'Emission Rates'!$C$74:$J$140,AB$15,FALSE)),0)*H20)/$C$9</f>
        <v>0</v>
      </c>
      <c r="AC20" s="421">
        <f t="shared" si="8"/>
        <v>0</v>
      </c>
      <c r="AD20" s="422">
        <f t="shared" si="9"/>
        <v>0</v>
      </c>
      <c r="AE20" s="422">
        <f t="shared" si="10"/>
        <v>0</v>
      </c>
      <c r="AF20" s="422">
        <f t="shared" si="11"/>
        <v>0</v>
      </c>
      <c r="AG20" s="422">
        <f t="shared" si="12"/>
        <v>0</v>
      </c>
      <c r="AH20" s="423">
        <f t="shared" si="13"/>
        <v>0</v>
      </c>
      <c r="AI20" s="422">
        <f t="shared" si="14"/>
        <v>0</v>
      </c>
      <c r="AJ20" s="422">
        <f t="shared" si="14"/>
        <v>0</v>
      </c>
      <c r="AK20" s="422">
        <f t="shared" si="14"/>
        <v>0</v>
      </c>
      <c r="AL20" s="422">
        <f t="shared" si="14"/>
        <v>0</v>
      </c>
      <c r="AM20" s="422">
        <f t="shared" si="14"/>
        <v>0</v>
      </c>
      <c r="AN20" s="422">
        <f t="shared" si="14"/>
        <v>0</v>
      </c>
      <c r="AO20" s="430">
        <f t="shared" si="1"/>
        <v>103.125</v>
      </c>
      <c r="AP20" s="32">
        <f t="shared" si="2"/>
        <v>55</v>
      </c>
      <c r="AQ20" s="32">
        <f t="shared" si="3"/>
        <v>16200</v>
      </c>
      <c r="AR20" s="32">
        <f t="shared" si="4"/>
        <v>788100</v>
      </c>
      <c r="AS20" s="32">
        <f t="shared" si="5"/>
        <v>44000</v>
      </c>
      <c r="AT20" s="431">
        <f t="shared" si="6"/>
        <v>1415</v>
      </c>
      <c r="AU20" s="32">
        <f t="shared" si="15"/>
        <v>0</v>
      </c>
      <c r="AV20" s="32">
        <f t="shared" si="16"/>
        <v>0</v>
      </c>
      <c r="AW20" s="427">
        <f t="shared" si="17"/>
        <v>0</v>
      </c>
      <c r="AX20" s="428">
        <f>AV20/(1+0.03)^($A20-'A - Inputs'!$C$6)</f>
        <v>0</v>
      </c>
      <c r="AY20" s="428">
        <f>AU20/(1+0.07)^($A20-'A - Inputs'!$C$6)</f>
        <v>0</v>
      </c>
      <c r="AZ20" s="429">
        <f t="shared" si="7"/>
        <v>0</v>
      </c>
      <c r="BA20" s="23"/>
      <c r="BB20" s="42">
        <v>2025</v>
      </c>
      <c r="BC20" s="33">
        <v>16200</v>
      </c>
      <c r="BD20" s="33">
        <v>44000</v>
      </c>
      <c r="BE20" s="33">
        <v>788100</v>
      </c>
      <c r="BF20" s="41">
        <f t="shared" si="20"/>
        <v>1415</v>
      </c>
      <c r="BG20" s="33">
        <v>55</v>
      </c>
      <c r="BH20" s="33">
        <f t="shared" si="18"/>
        <v>103.125</v>
      </c>
      <c r="BJ20" s="23"/>
      <c r="BK20" s="23"/>
      <c r="BL20" s="23"/>
      <c r="BM20" s="23"/>
      <c r="BN20" s="23"/>
      <c r="BO20" s="23"/>
      <c r="BP20" s="23"/>
      <c r="BQ20" s="23"/>
      <c r="BR20" s="23"/>
    </row>
    <row r="21" spans="1:70" x14ac:dyDescent="0.25">
      <c r="A21" s="34">
        <f t="shared" si="19"/>
        <v>2026</v>
      </c>
      <c r="B21" s="31">
        <f t="shared" si="19"/>
        <v>5</v>
      </c>
      <c r="C21" s="420">
        <f>'I - Travel Time'!D19*$C$5</f>
        <v>1440899.9933333332</v>
      </c>
      <c r="D21" s="420">
        <f>IF(A21&gt;=BenefitStart,('I - Travel Time'!E19*$C$5),C21)</f>
        <v>293845.20666666667</v>
      </c>
      <c r="E21" s="432">
        <f>(IFERROR(IF($A21&lt;BenefitStart,0,VLOOKUP(ROUND($C$7,0),'Emission Rates'!$C$5:$J$72,E$15,FALSE)),0)*$C21)/$C$9</f>
        <v>5.0693743565453326</v>
      </c>
      <c r="F21" s="554">
        <f>(IFERROR(IF($A21&lt;BenefitStart,0,VLOOKUP(ROUND($C$7,0),'Emission Rates'!$C$5:$J$72,F$15,FALSE)),0)*$C21)/$C$9</f>
        <v>113.71366612387665</v>
      </c>
      <c r="G21" s="554">
        <f>(IFERROR(IF($A21&lt;BenefitStart,0,VLOOKUP(ROUND($C$7,0),'Emission Rates'!$C$5:$J$72,G$15,FALSE)),0)*$C21)/$C$9</f>
        <v>0.4403390379626666</v>
      </c>
      <c r="H21" s="554">
        <f>(IFERROR(IF($A21&lt;BenefitStart,0,VLOOKUP(ROUND($C$7,0),'Emission Rates'!$C$5:$J$72,H$15,FALSE)),0)*$C21)/$C$9</f>
        <v>1.1527199946666665E-3</v>
      </c>
      <c r="I21" s="554">
        <f>(IFERROR(IF($A21&lt;BenefitStart,0,VLOOKUP(ROUND($C$7,0),'Emission Rates'!$C$5:$J$72,I$15,FALSE)),0)*$C21)/$C$9</f>
        <v>0.56195099739999999</v>
      </c>
      <c r="J21" s="434">
        <f>(IFERROR(IF($A21&lt;BenefitStart,0,VLOOKUP(ROUND($C$7,0),'Emission Rates'!$C$5:$J$72,J$15,FALSE)),0)*$C21)/$C$9</f>
        <v>2.8817999866666663E-3</v>
      </c>
      <c r="K21" s="554">
        <f>(IFERROR(IF($A21&lt;BenefitStart,0,VLOOKUP(ROUND($C$7,0),'Emission Rates'!$C$74:$J$140,K$15,FALSE)),0)*$C21)/$C$9</f>
        <v>1.894783491233333</v>
      </c>
      <c r="L21" s="554">
        <f>(IFERROR(IF($A21&lt;BenefitStart,0,VLOOKUP(ROUND($C$7,0),'Emission Rates'!$C$74:$J$140,L$15,FALSE)),0)*$C21)/$C$9</f>
        <v>15.892262386470666</v>
      </c>
      <c r="M21" s="554">
        <f>(IFERROR(IF($A21&lt;BenefitStart,0,VLOOKUP(ROUND($C$7,0),'Emission Rates'!$C$74:$J$140,M$15,FALSE)),0)*$C21)/$C$9</f>
        <v>1.4502658432899997</v>
      </c>
      <c r="N21" s="554">
        <f>(IFERROR(IF($A21&lt;BenefitStart,0,VLOOKUP(ROUND($C$7,0),'Emission Rates'!$C$74:$J$140,N$15,FALSE)),0)*$C21)/$C$9</f>
        <v>1.4408999933333331E-4</v>
      </c>
      <c r="O21" s="554">
        <f>(IFERROR(IF($A21&lt;BenefitStart,0,VLOOKUP(ROUND($C$7,0),'Emission Rates'!$C$74:$J$140,O$15,FALSE)),0)*$C21)/$C$9</f>
        <v>0.10129526953133332</v>
      </c>
      <c r="P21" s="554">
        <f>(IFERROR(IF($A21&lt;BenefitStart,0,VLOOKUP(ROUND($C$7,0),'Emission Rates'!$C$74:$J$140,P$15,FALSE)),0)*$C21)/$C$9</f>
        <v>1.4408999933333331E-4</v>
      </c>
      <c r="Q21" s="432">
        <f>(IFERROR(IF($A21&lt;BenefitStart,0,VLOOKUP(ROUND($C$7,0),'Emission Rates'!$C$5:$J$72,Q$15,FALSE)),0)*D21)/$C$9</f>
        <v>1.0338062060946667</v>
      </c>
      <c r="R21" s="554">
        <f>(IFERROR(IF($A21&lt;BenefitStart,0,VLOOKUP(ROUND($C$7,0),'Emission Rates'!$C$5:$J$72,R$15,FALSE)),0)*E21)/$C$9</f>
        <v>4.0006742015702282E-4</v>
      </c>
      <c r="S21" s="554">
        <f>(IFERROR(IF($A21&lt;BenefitStart,0,VLOOKUP(ROUND($C$7,0),'Emission Rates'!$C$5:$J$72,S$15,FALSE)),0)*F21)/$C$9</f>
        <v>3.4750896367456705E-5</v>
      </c>
      <c r="T21" s="554">
        <f>(IFERROR(IF($A21&lt;BenefitStart,0,VLOOKUP(ROUND($C$7,0),'Emission Rates'!$C$5:$J$72,T$15,FALSE)),0)*G21)/$C$9</f>
        <v>3.522712303701333E-10</v>
      </c>
      <c r="U21" s="554">
        <f>(IFERROR(IF($A21&lt;BenefitStart,0,VLOOKUP(ROUND($C$7,0),'Emission Rates'!$C$5:$J$72,U$15,FALSE)),0)*H21)/$C$9</f>
        <v>4.495607979199999E-10</v>
      </c>
      <c r="V21" s="434">
        <f>(IFERROR(IF($A21&lt;BenefitStart,0,VLOOKUP(ROUND($C$7,0),'Emission Rates'!$C$5:$J$72,V$15,FALSE)),0)*I21)/$C$9</f>
        <v>1.1239019948E-9</v>
      </c>
      <c r="W21" s="554">
        <f>(IFERROR(IF($A21&lt;BenefitStart,0,VLOOKUP(ROUND($C$7,0),'Emission Rates'!$C$74:$J$140,W$15,FALSE)),0)*D21)/$C$9</f>
        <v>0.38640644676666663</v>
      </c>
      <c r="X21" s="433">
        <f>(IFERROR(IF($A21&lt;BenefitStart,0,VLOOKUP(ROUND($C$7,0),'Emission Rates'!$C$74:$J$140,X$15,FALSE)),0)*D21)/$C$9</f>
        <v>3.2409363224093335</v>
      </c>
      <c r="Y21" s="433">
        <f>(IFERROR(IF($A21&lt;BenefitStart,0,VLOOKUP(ROUND($C$7,0),'Emission Rates'!$C$74:$J$140,Y$15,FALSE)),0)*E21)/$C$9</f>
        <v>5.1023252898628775E-6</v>
      </c>
      <c r="Z21" s="433">
        <f>(IFERROR(IF($A21&lt;BenefitStart,0,VLOOKUP(ROUND($C$7,0),'Emission Rates'!$C$74:$J$140,Z$15,FALSE)),0)*F21)/$C$9</f>
        <v>1.1371366612387666E-8</v>
      </c>
      <c r="AA21" s="433">
        <f>(IFERROR(IF($A21&lt;BenefitStart,0,VLOOKUP(ROUND($C$7,0),'Emission Rates'!$C$74:$J$140,AA$15,FALSE)),0)*G21)/$C$9</f>
        <v>3.0955834368775463E-8</v>
      </c>
      <c r="AB21" s="433">
        <f>(IFERROR(IF($A21&lt;BenefitStart,0,VLOOKUP(ROUND($C$7,0),'Emission Rates'!$C$74:$J$140,AB$15,FALSE)),0)*H21)/$C$9</f>
        <v>1.1527199946666666E-13</v>
      </c>
      <c r="AC21" s="421">
        <f t="shared" si="8"/>
        <v>4.0355681504506657</v>
      </c>
      <c r="AD21" s="422">
        <f t="shared" si="9"/>
        <v>113.71326605645649</v>
      </c>
      <c r="AE21" s="422">
        <f t="shared" si="10"/>
        <v>0.44030428706629915</v>
      </c>
      <c r="AF21" s="422">
        <f t="shared" si="11"/>
        <v>1.1527196423954361E-3</v>
      </c>
      <c r="AG21" s="422">
        <f t="shared" si="12"/>
        <v>0.56195099695043915</v>
      </c>
      <c r="AH21" s="423">
        <f t="shared" si="13"/>
        <v>2.8817988627646714E-3</v>
      </c>
      <c r="AI21" s="422">
        <f t="shared" si="14"/>
        <v>1.5083770444666664</v>
      </c>
      <c r="AJ21" s="422">
        <f t="shared" si="14"/>
        <v>12.651326064061333</v>
      </c>
      <c r="AK21" s="422">
        <f t="shared" si="14"/>
        <v>1.4502607409647099</v>
      </c>
      <c r="AL21" s="422">
        <f t="shared" si="14"/>
        <v>1.4407862796672093E-4</v>
      </c>
      <c r="AM21" s="422">
        <f t="shared" si="14"/>
        <v>0.10129523857549895</v>
      </c>
      <c r="AN21" s="422">
        <f t="shared" si="14"/>
        <v>1.4408999921806132E-4</v>
      </c>
      <c r="AO21" s="430">
        <f t="shared" si="1"/>
        <v>105</v>
      </c>
      <c r="AP21" s="32">
        <f t="shared" si="2"/>
        <v>56</v>
      </c>
      <c r="AQ21" s="32">
        <f t="shared" si="3"/>
        <v>16500</v>
      </c>
      <c r="AR21" s="32">
        <f t="shared" si="4"/>
        <v>801700</v>
      </c>
      <c r="AS21" s="32">
        <f t="shared" si="5"/>
        <v>44900</v>
      </c>
      <c r="AT21" s="431">
        <f t="shared" si="6"/>
        <v>1415</v>
      </c>
      <c r="AU21" s="32">
        <f t="shared" si="15"/>
        <v>62600.117989181635</v>
      </c>
      <c r="AV21" s="32">
        <f t="shared" si="16"/>
        <v>7076.4171587489982</v>
      </c>
      <c r="AW21" s="427">
        <f>SUM(AU21:AV21)</f>
        <v>69676.535147930641</v>
      </c>
      <c r="AX21" s="428">
        <f>AV21/(1+0.03)^($A21-'A - Inputs'!$C$6)</f>
        <v>5926.3879641783624</v>
      </c>
      <c r="AY21" s="428">
        <f>AU21/(1+0.07)^($A21-'A - Inputs'!$C$6)</f>
        <v>41713.101832087363</v>
      </c>
      <c r="AZ21" s="429">
        <f t="shared" si="7"/>
        <v>47639.489796265727</v>
      </c>
      <c r="BA21" s="23"/>
      <c r="BB21" s="42">
        <v>2026</v>
      </c>
      <c r="BC21" s="33">
        <v>16500</v>
      </c>
      <c r="BD21" s="33">
        <v>44900</v>
      </c>
      <c r="BE21" s="33">
        <v>801700</v>
      </c>
      <c r="BF21" s="41">
        <f t="shared" si="20"/>
        <v>1415</v>
      </c>
      <c r="BG21" s="33">
        <v>56</v>
      </c>
      <c r="BH21" s="33">
        <f t="shared" si="18"/>
        <v>105</v>
      </c>
      <c r="BJ21" s="23"/>
      <c r="BK21" s="23"/>
      <c r="BL21" s="23"/>
      <c r="BM21" s="23"/>
      <c r="BN21" s="23"/>
      <c r="BO21" s="23"/>
      <c r="BP21" s="23"/>
      <c r="BQ21" s="23"/>
      <c r="BR21" s="23"/>
    </row>
    <row r="22" spans="1:70" x14ac:dyDescent="0.25">
      <c r="A22" s="34">
        <f t="shared" si="19"/>
        <v>2027</v>
      </c>
      <c r="B22" s="31">
        <f t="shared" si="19"/>
        <v>6</v>
      </c>
      <c r="C22" s="420">
        <f>'I - Travel Time'!D20*$C$5</f>
        <v>1461662.6022395836</v>
      </c>
      <c r="D22" s="420">
        <f>IF(A22&gt;=BenefitStart,('I - Travel Time'!E20*$C$5),C22)</f>
        <v>304392.61994791665</v>
      </c>
      <c r="E22" s="432">
        <f>(IFERROR(IF($A22&lt;BenefitStart,0,VLOOKUP(ROUND($C$7,0),'Emission Rates'!$C$5:$J$72,E$15,FALSE)),0)*$C22)/$C$9</f>
        <v>5.1424213671993035</v>
      </c>
      <c r="F22" s="554">
        <f>(IFERROR(IF($A22&lt;BenefitStart,0,VLOOKUP(ROUND($C$7,0),'Emission Rates'!$C$5:$J$72,F$15,FALSE)),0)*$C22)/$C$9</f>
        <v>115.35222007484457</v>
      </c>
      <c r="G22" s="554">
        <f>(IFERROR(IF($A22&lt;BenefitStart,0,VLOOKUP(ROUND($C$7,0),'Emission Rates'!$C$5:$J$72,G$15,FALSE)),0)*$C22)/$C$9</f>
        <v>0.44668409124441671</v>
      </c>
      <c r="H22" s="554">
        <f>(IFERROR(IF($A22&lt;BenefitStart,0,VLOOKUP(ROUND($C$7,0),'Emission Rates'!$C$5:$J$72,H$15,FALSE)),0)*$C22)/$C$9</f>
        <v>1.1693300817916671E-3</v>
      </c>
      <c r="I22" s="554">
        <f>(IFERROR(IF($A22&lt;BenefitStart,0,VLOOKUP(ROUND($C$7,0),'Emission Rates'!$C$5:$J$72,I$15,FALSE)),0)*$C22)/$C$9</f>
        <v>0.5700484148734376</v>
      </c>
      <c r="J22" s="434">
        <f>(IFERROR(IF($A22&lt;BenefitStart,0,VLOOKUP(ROUND($C$7,0),'Emission Rates'!$C$5:$J$72,J$15,FALSE)),0)*$C22)/$C$9</f>
        <v>2.9233252044791676E-3</v>
      </c>
      <c r="K22" s="554">
        <f>(IFERROR(IF($A22&lt;BenefitStart,0,VLOOKUP(ROUND($C$7,0),'Emission Rates'!$C$74:$J$140,K$15,FALSE)),0)*$C22)/$C$9</f>
        <v>1.9220863219450524</v>
      </c>
      <c r="L22" s="554">
        <f>(IFERROR(IF($A22&lt;BenefitStart,0,VLOOKUP(ROUND($C$7,0),'Emission Rates'!$C$74:$J$140,L$15,FALSE)),0)*$C22)/$C$9</f>
        <v>16.121261505141263</v>
      </c>
      <c r="M22" s="554">
        <f>(IFERROR(IF($A22&lt;BenefitStart,0,VLOOKUP(ROUND($C$7,0),'Emission Rates'!$C$74:$J$140,M$15,FALSE)),0)*$C22)/$C$9</f>
        <v>1.4711634091541408</v>
      </c>
      <c r="N22" s="554">
        <f>(IFERROR(IF($A22&lt;BenefitStart,0,VLOOKUP(ROUND($C$7,0),'Emission Rates'!$C$74:$J$140,N$15,FALSE)),0)*$C22)/$C$9</f>
        <v>1.4616626022395839E-4</v>
      </c>
      <c r="O22" s="554">
        <f>(IFERROR(IF($A22&lt;BenefitStart,0,VLOOKUP(ROUND($C$7,0),'Emission Rates'!$C$74:$J$140,O$15,FALSE)),0)*$C22)/$C$9</f>
        <v>0.10275488093744274</v>
      </c>
      <c r="P22" s="554">
        <f>(IFERROR(IF($A22&lt;BenefitStart,0,VLOOKUP(ROUND($C$7,0),'Emission Rates'!$C$74:$J$140,P$15,FALSE)),0)*$C22)/$C$9</f>
        <v>1.4616626022395839E-4</v>
      </c>
      <c r="Q22" s="432">
        <f>(IFERROR(IF($A22&lt;BenefitStart,0,VLOOKUP(ROUND($C$7,0),'Emission Rates'!$C$5:$J$72,Q$15,FALSE)),0)*D22)/$C$9</f>
        <v>1.0709141155007604</v>
      </c>
      <c r="R22" s="554">
        <f>(IFERROR(IF($A22&lt;BenefitStart,0,VLOOKUP(ROUND($C$7,0),'Emission Rates'!$C$5:$J$72,R$15,FALSE)),0)*E22)/$C$9</f>
        <v>4.058321806673182E-4</v>
      </c>
      <c r="S22" s="554">
        <f>(IFERROR(IF($A22&lt;BenefitStart,0,VLOOKUP(ROUND($C$7,0),'Emission Rates'!$C$5:$J$72,S$15,FALSE)),0)*F22)/$C$9</f>
        <v>3.5251638454872499E-5</v>
      </c>
      <c r="T22" s="554">
        <f>(IFERROR(IF($A22&lt;BenefitStart,0,VLOOKUP(ROUND($C$7,0),'Emission Rates'!$C$5:$J$72,T$15,FALSE)),0)*G22)/$C$9</f>
        <v>3.5734727299553341E-10</v>
      </c>
      <c r="U22" s="554">
        <f>(IFERROR(IF($A22&lt;BenefitStart,0,VLOOKUP(ROUND($C$7,0),'Emission Rates'!$C$5:$J$72,U$15,FALSE)),0)*H22)/$C$9</f>
        <v>4.5603873189875017E-10</v>
      </c>
      <c r="V22" s="434">
        <f>(IFERROR(IF($A22&lt;BenefitStart,0,VLOOKUP(ROUND($C$7,0),'Emission Rates'!$C$5:$J$72,V$15,FALSE)),0)*I22)/$C$9</f>
        <v>1.1400968297468753E-9</v>
      </c>
      <c r="W22" s="554">
        <f>(IFERROR(IF($A22&lt;BenefitStart,0,VLOOKUP(ROUND($C$7,0),'Emission Rates'!$C$74:$J$140,W$15,FALSE)),0)*D22)/$C$9</f>
        <v>0.40027629523151037</v>
      </c>
      <c r="X22" s="433">
        <f>(IFERROR(IF($A22&lt;BenefitStart,0,VLOOKUP(ROUND($C$7,0),'Emission Rates'!$C$74:$J$140,X$15,FALSE)),0)*D22)/$C$9</f>
        <v>3.3572679624535522</v>
      </c>
      <c r="Y22" s="433">
        <f>(IFERROR(IF($A22&lt;BenefitStart,0,VLOOKUP(ROUND($C$7,0),'Emission Rates'!$C$74:$J$140,Y$15,FALSE)),0)*E22)/$C$9</f>
        <v>5.1758471060860993E-6</v>
      </c>
      <c r="Z22" s="433">
        <f>(IFERROR(IF($A22&lt;BenefitStart,0,VLOOKUP(ROUND($C$7,0),'Emission Rates'!$C$74:$J$140,Z$15,FALSE)),0)*F22)/$C$9</f>
        <v>1.1535222007484458E-8</v>
      </c>
      <c r="AA22" s="433">
        <f>(IFERROR(IF($A22&lt;BenefitStart,0,VLOOKUP(ROUND($C$7,0),'Emission Rates'!$C$74:$J$140,AA$15,FALSE)),0)*G22)/$C$9</f>
        <v>3.1401891614482494E-8</v>
      </c>
      <c r="AB22" s="433">
        <f>(IFERROR(IF($A22&lt;BenefitStart,0,VLOOKUP(ROUND($C$7,0),'Emission Rates'!$C$74:$J$140,AB$15,FALSE)),0)*H22)/$C$9</f>
        <v>1.1693300817916672E-13</v>
      </c>
      <c r="AC22" s="421">
        <f t="shared" si="8"/>
        <v>4.0715072516985433</v>
      </c>
      <c r="AD22" s="422">
        <f t="shared" si="9"/>
        <v>115.35181424266391</v>
      </c>
      <c r="AE22" s="422">
        <f t="shared" si="10"/>
        <v>0.44664883960596186</v>
      </c>
      <c r="AF22" s="422">
        <f t="shared" si="11"/>
        <v>1.169329724444394E-3</v>
      </c>
      <c r="AG22" s="422">
        <f t="shared" si="12"/>
        <v>0.57004841441739884</v>
      </c>
      <c r="AH22" s="423">
        <f t="shared" si="13"/>
        <v>2.9233240643823377E-3</v>
      </c>
      <c r="AI22" s="422">
        <f t="shared" si="14"/>
        <v>1.5218100267135419</v>
      </c>
      <c r="AJ22" s="422">
        <f t="shared" si="14"/>
        <v>12.763993542687711</v>
      </c>
      <c r="AK22" s="422">
        <f t="shared" si="14"/>
        <v>1.4711582333070348</v>
      </c>
      <c r="AL22" s="422">
        <f t="shared" si="14"/>
        <v>1.461547250019509E-4</v>
      </c>
      <c r="AM22" s="422">
        <f t="shared" si="14"/>
        <v>0.10275484953555113</v>
      </c>
      <c r="AN22" s="422">
        <f t="shared" si="14"/>
        <v>1.4616626010702536E-4</v>
      </c>
      <c r="AO22" s="430">
        <f t="shared" si="1"/>
        <v>106.875</v>
      </c>
      <c r="AP22" s="32">
        <f t="shared" si="2"/>
        <v>57</v>
      </c>
      <c r="AQ22" s="32">
        <f t="shared" si="3"/>
        <v>16800</v>
      </c>
      <c r="AR22" s="32">
        <f t="shared" si="4"/>
        <v>814500</v>
      </c>
      <c r="AS22" s="32">
        <f t="shared" si="5"/>
        <v>45700</v>
      </c>
      <c r="AT22" s="431">
        <f t="shared" si="6"/>
        <v>1415</v>
      </c>
      <c r="AU22" s="32">
        <f t="shared" si="15"/>
        <v>64639.85918460165</v>
      </c>
      <c r="AV22" s="32">
        <f t="shared" si="16"/>
        <v>7302.601043765042</v>
      </c>
      <c r="AW22" s="427">
        <f t="shared" si="17"/>
        <v>71942.46022836669</v>
      </c>
      <c r="AX22" s="428">
        <f>AV22/(1+0.03)^($A22-'A - Inputs'!$C$6)</f>
        <v>5937.6829194124703</v>
      </c>
      <c r="AY22" s="428">
        <f>AU22/(1+0.07)^($A22-'A - Inputs'!$C$6)</f>
        <v>40254.455622666996</v>
      </c>
      <c r="AZ22" s="429">
        <f t="shared" si="7"/>
        <v>46192.138542079469</v>
      </c>
      <c r="BA22" s="23"/>
      <c r="BB22" s="42">
        <v>2027</v>
      </c>
      <c r="BC22" s="33">
        <v>16800</v>
      </c>
      <c r="BD22" s="33">
        <v>45700</v>
      </c>
      <c r="BE22" s="33">
        <v>814500</v>
      </c>
      <c r="BF22" s="41">
        <f t="shared" si="20"/>
        <v>1415</v>
      </c>
      <c r="BG22" s="33">
        <v>57</v>
      </c>
      <c r="BH22" s="33">
        <f t="shared" si="18"/>
        <v>106.875</v>
      </c>
      <c r="BJ22" s="23"/>
      <c r="BK22" s="23"/>
      <c r="BL22" s="23"/>
      <c r="BM22" s="23"/>
      <c r="BN22" s="23"/>
      <c r="BO22" s="23"/>
      <c r="BP22" s="23"/>
      <c r="BQ22" s="23"/>
      <c r="BR22" s="23"/>
    </row>
    <row r="23" spans="1:70" x14ac:dyDescent="0.25">
      <c r="A23" s="34">
        <f t="shared" si="19"/>
        <v>2028</v>
      </c>
      <c r="B23" s="31">
        <f t="shared" si="19"/>
        <v>7</v>
      </c>
      <c r="C23" s="420">
        <f>'I - Travel Time'!D21*$C$5</f>
        <v>1482557.9193749998</v>
      </c>
      <c r="D23" s="420">
        <f>IF(A23&gt;=BenefitStart,('I - Travel Time'!E21*$C$5),C23)</f>
        <v>315027.70687499997</v>
      </c>
      <c r="E23" s="432">
        <f>(IFERROR(IF($A23&lt;BenefitStart,0,VLOOKUP(ROUND($C$7,0),'Emission Rates'!$C$5:$J$72,E$15,FALSE)),0)*$C23)/$C$9</f>
        <v>5.2159352719451242</v>
      </c>
      <c r="F23" s="554">
        <f>(IFERROR(IF($A23&lt;BenefitStart,0,VLOOKUP(ROUND($C$7,0),'Emission Rates'!$C$5:$J$72,F$15,FALSE)),0)*$C23)/$C$9</f>
        <v>117.00124716019592</v>
      </c>
      <c r="G23" s="554">
        <f>(IFERROR(IF($A23&lt;BenefitStart,0,VLOOKUP(ROUND($C$7,0),'Emission Rates'!$C$5:$J$72,G$15,FALSE)),0)*$C23)/$C$9</f>
        <v>0.4530697001609999</v>
      </c>
      <c r="H23" s="554">
        <f>(IFERROR(IF($A23&lt;BenefitStart,0,VLOOKUP(ROUND($C$7,0),'Emission Rates'!$C$5:$J$72,H$15,FALSE)),0)*$C23)/$C$9</f>
        <v>1.1860463355E-3</v>
      </c>
      <c r="I23" s="554">
        <f>(IFERROR(IF($A23&lt;BenefitStart,0,VLOOKUP(ROUND($C$7,0),'Emission Rates'!$C$5:$J$72,I$15,FALSE)),0)*$C23)/$C$9</f>
        <v>0.57819758855625003</v>
      </c>
      <c r="J23" s="434">
        <f>(IFERROR(IF($A23&lt;BenefitStart,0,VLOOKUP(ROUND($C$7,0),'Emission Rates'!$C$5:$J$72,J$15,FALSE)),0)*$C23)/$C$9</f>
        <v>2.9651158387499995E-3</v>
      </c>
      <c r="K23" s="554">
        <f>(IFERROR(IF($A23&lt;BenefitStart,0,VLOOKUP(ROUND($C$7,0),'Emission Rates'!$C$74:$J$140,K$15,FALSE)),0)*$C23)/$C$9</f>
        <v>1.9495636639781246</v>
      </c>
      <c r="L23" s="554">
        <f>(IFERROR(IF($A23&lt;BenefitStart,0,VLOOKUP(ROUND($C$7,0),'Emission Rates'!$C$74:$J$140,L$15,FALSE)),0)*$C23)/$C$9</f>
        <v>16.351724315954623</v>
      </c>
      <c r="M23" s="554">
        <f>(IFERROR(IF($A23&lt;BenefitStart,0,VLOOKUP(ROUND($C$7,0),'Emission Rates'!$C$74:$J$140,M$15,FALSE)),0)*$C23)/$C$9</f>
        <v>1.4921945458509374</v>
      </c>
      <c r="N23" s="554">
        <f>(IFERROR(IF($A23&lt;BenefitStart,0,VLOOKUP(ROUND($C$7,0),'Emission Rates'!$C$74:$J$140,N$15,FALSE)),0)*$C23)/$C$9</f>
        <v>1.482557919375E-4</v>
      </c>
      <c r="O23" s="554">
        <f>(IFERROR(IF($A23&lt;BenefitStart,0,VLOOKUP(ROUND($C$7,0),'Emission Rates'!$C$74:$J$140,O$15,FALSE)),0)*$C23)/$C$9</f>
        <v>0.10422382173206249</v>
      </c>
      <c r="P23" s="554">
        <f>(IFERROR(IF($A23&lt;BenefitStart,0,VLOOKUP(ROUND($C$7,0),'Emission Rates'!$C$74:$J$140,P$15,FALSE)),0)*$C23)/$C$9</f>
        <v>1.482557919375E-4</v>
      </c>
      <c r="Q23" s="432">
        <f>(IFERROR(IF($A23&lt;BenefitStart,0,VLOOKUP(ROUND($C$7,0),'Emission Rates'!$C$5:$J$72,Q$15,FALSE)),0)*D23)/$C$9</f>
        <v>1.1083304783276249</v>
      </c>
      <c r="R23" s="554">
        <f>(IFERROR(IF($A23&lt;BenefitStart,0,VLOOKUP(ROUND($C$7,0),'Emission Rates'!$C$5:$J$72,R$15,FALSE)),0)*E23)/$C$9</f>
        <v>4.1163378775900127E-4</v>
      </c>
      <c r="S23" s="554">
        <f>(IFERROR(IF($A23&lt;BenefitStart,0,VLOOKUP(ROUND($C$7,0),'Emission Rates'!$C$5:$J$72,S$15,FALSE)),0)*F23)/$C$9</f>
        <v>3.5755581132155871E-5</v>
      </c>
      <c r="T23" s="554">
        <f>(IFERROR(IF($A23&lt;BenefitStart,0,VLOOKUP(ROUND($C$7,0),'Emission Rates'!$C$5:$J$72,T$15,FALSE)),0)*G23)/$C$9</f>
        <v>3.6245576012879992E-10</v>
      </c>
      <c r="U23" s="554">
        <f>(IFERROR(IF($A23&lt;BenefitStart,0,VLOOKUP(ROUND($C$7,0),'Emission Rates'!$C$5:$J$72,U$15,FALSE)),0)*H23)/$C$9</f>
        <v>4.6255807084500004E-10</v>
      </c>
      <c r="V23" s="434">
        <f>(IFERROR(IF($A23&lt;BenefitStart,0,VLOOKUP(ROUND($C$7,0),'Emission Rates'!$C$5:$J$72,V$15,FALSE)),0)*I23)/$C$9</f>
        <v>1.1563951771125001E-9</v>
      </c>
      <c r="W23" s="554">
        <f>(IFERROR(IF($A23&lt;BenefitStart,0,VLOOKUP(ROUND($C$7,0),'Emission Rates'!$C$74:$J$140,W$15,FALSE)),0)*D23)/$C$9</f>
        <v>0.41426143454062497</v>
      </c>
      <c r="X23" s="433">
        <f>(IFERROR(IF($A23&lt;BenefitStart,0,VLOOKUP(ROUND($C$7,0),'Emission Rates'!$C$74:$J$140,X$15,FALSE)),0)*D23)/$C$9</f>
        <v>3.4745665902071252</v>
      </c>
      <c r="Y23" s="433">
        <f>(IFERROR(IF($A23&lt;BenefitStart,0,VLOOKUP(ROUND($C$7,0),'Emission Rates'!$C$74:$J$140,Y$15,FALSE)),0)*E23)/$C$9</f>
        <v>5.2498388512127676E-6</v>
      </c>
      <c r="Z23" s="433">
        <f>(IFERROR(IF($A23&lt;BenefitStart,0,VLOOKUP(ROUND($C$7,0),'Emission Rates'!$C$74:$J$140,Z$15,FALSE)),0)*F23)/$C$9</f>
        <v>1.1700124716019592E-8</v>
      </c>
      <c r="AA23" s="433">
        <f>(IFERROR(IF($A23&lt;BenefitStart,0,VLOOKUP(ROUND($C$7,0),'Emission Rates'!$C$74:$J$140,AA$15,FALSE)),0)*G23)/$C$9</f>
        <v>3.185079992131829E-8</v>
      </c>
      <c r="AB23" s="433">
        <f>(IFERROR(IF($A23&lt;BenefitStart,0,VLOOKUP(ROUND($C$7,0),'Emission Rates'!$C$74:$J$140,AB$15,FALSE)),0)*H23)/$C$9</f>
        <v>1.1860463355000002E-13</v>
      </c>
      <c r="AC23" s="421">
        <f t="shared" si="8"/>
        <v>4.1076047936174991</v>
      </c>
      <c r="AD23" s="422">
        <f t="shared" si="9"/>
        <v>117.00083552640815</v>
      </c>
      <c r="AE23" s="422">
        <f t="shared" si="10"/>
        <v>0.45303394457986773</v>
      </c>
      <c r="AF23" s="422">
        <f t="shared" si="11"/>
        <v>1.18604597304424E-3</v>
      </c>
      <c r="AG23" s="422">
        <f t="shared" si="12"/>
        <v>0.57819758809369193</v>
      </c>
      <c r="AH23" s="423">
        <f t="shared" si="13"/>
        <v>2.9651146823548224E-3</v>
      </c>
      <c r="AI23" s="422">
        <f t="shared" si="14"/>
        <v>1.5353022294374996</v>
      </c>
      <c r="AJ23" s="422">
        <f t="shared" si="14"/>
        <v>12.877157725747498</v>
      </c>
      <c r="AK23" s="422">
        <f t="shared" si="14"/>
        <v>1.4921892960120862</v>
      </c>
      <c r="AL23" s="422">
        <f t="shared" si="14"/>
        <v>1.4824409181278398E-4</v>
      </c>
      <c r="AM23" s="422">
        <f t="shared" si="14"/>
        <v>0.10422378988126256</v>
      </c>
      <c r="AN23" s="422">
        <f t="shared" si="14"/>
        <v>1.4825579181889536E-4</v>
      </c>
      <c r="AO23" s="430">
        <f t="shared" si="1"/>
        <v>108.75</v>
      </c>
      <c r="AP23" s="32">
        <f t="shared" si="2"/>
        <v>58</v>
      </c>
      <c r="AQ23" s="32">
        <f t="shared" si="3"/>
        <v>17100</v>
      </c>
      <c r="AR23" s="32">
        <f t="shared" si="4"/>
        <v>827400</v>
      </c>
      <c r="AS23" s="32">
        <f t="shared" si="5"/>
        <v>46500</v>
      </c>
      <c r="AT23" s="431">
        <f t="shared" si="6"/>
        <v>1415</v>
      </c>
      <c r="AU23" s="32">
        <f t="shared" si="15"/>
        <v>66717.974647598676</v>
      </c>
      <c r="AV23" s="32">
        <f t="shared" si="16"/>
        <v>7532.9236086250276</v>
      </c>
      <c r="AW23" s="427">
        <f t="shared" si="17"/>
        <v>74250.898256223707</v>
      </c>
      <c r="AX23" s="428">
        <f>AV23/(1+0.03)^($A23-'A - Inputs'!$C$6)</f>
        <v>5946.5594580300531</v>
      </c>
      <c r="AY23" s="428">
        <f>AU23/(1+0.07)^($A23-'A - Inputs'!$C$6)</f>
        <v>38830.468683041843</v>
      </c>
      <c r="AZ23" s="429">
        <f t="shared" si="7"/>
        <v>44777.028141071896</v>
      </c>
      <c r="BA23" s="23"/>
      <c r="BB23" s="42">
        <v>2028</v>
      </c>
      <c r="BC23" s="33">
        <v>17100</v>
      </c>
      <c r="BD23" s="33">
        <v>46500</v>
      </c>
      <c r="BE23" s="33">
        <v>827400</v>
      </c>
      <c r="BF23" s="41">
        <f t="shared" si="20"/>
        <v>1415</v>
      </c>
      <c r="BG23" s="33">
        <v>58</v>
      </c>
      <c r="BH23" s="33">
        <f t="shared" si="18"/>
        <v>108.75</v>
      </c>
      <c r="BJ23" s="23"/>
      <c r="BK23" s="23"/>
      <c r="BL23" s="23"/>
      <c r="BM23" s="23"/>
      <c r="BN23" s="23"/>
      <c r="BO23" s="23"/>
      <c r="BP23" s="23"/>
      <c r="BQ23" s="23"/>
      <c r="BR23" s="23"/>
    </row>
    <row r="24" spans="1:70" x14ac:dyDescent="0.25">
      <c r="A24" s="34">
        <f t="shared" si="19"/>
        <v>2029</v>
      </c>
      <c r="B24" s="31">
        <f t="shared" si="19"/>
        <v>8</v>
      </c>
      <c r="C24" s="420">
        <f>'I - Travel Time'!D22*$C$5</f>
        <v>1503585.9447395832</v>
      </c>
      <c r="D24" s="420">
        <f>IF(A24&gt;=BenefitStart,('I - Travel Time'!E22*$C$5),C24)</f>
        <v>325750.46744791663</v>
      </c>
      <c r="E24" s="432">
        <f>(IFERROR(IF($A24&lt;BenefitStart,0,VLOOKUP(ROUND($C$7,0),'Emission Rates'!$C$5:$J$72,E$15,FALSE)),0)*$C24)/$C$9</f>
        <v>5.2899160707828017</v>
      </c>
      <c r="F24" s="554">
        <f>(IFERROR(IF($A24&lt;BenefitStart,0,VLOOKUP(ROUND($C$7,0),'Emission Rates'!$C$5:$J$72,F$15,FALSE)),0)*$C24)/$C$9</f>
        <v>118.6607473799308</v>
      </c>
      <c r="G24" s="554">
        <f>(IFERROR(IF($A24&lt;BenefitStart,0,VLOOKUP(ROUND($C$7,0),'Emission Rates'!$C$5:$J$72,G$15,FALSE)),0)*$C24)/$C$9</f>
        <v>0.4594958647124166</v>
      </c>
      <c r="H24" s="554">
        <f>(IFERROR(IF($A24&lt;BenefitStart,0,VLOOKUP(ROUND($C$7,0),'Emission Rates'!$C$5:$J$72,H$15,FALSE)),0)*$C24)/$C$9</f>
        <v>1.2028687557916666E-3</v>
      </c>
      <c r="I24" s="554">
        <f>(IFERROR(IF($A24&lt;BenefitStart,0,VLOOKUP(ROUND($C$7,0),'Emission Rates'!$C$5:$J$72,I$15,FALSE)),0)*$C24)/$C$9</f>
        <v>0.58639851844843749</v>
      </c>
      <c r="J24" s="434">
        <f>(IFERROR(IF($A24&lt;BenefitStart,0,VLOOKUP(ROUND($C$7,0),'Emission Rates'!$C$5:$J$72,J$15,FALSE)),0)*$C24)/$C$9</f>
        <v>3.0071718894791664E-3</v>
      </c>
      <c r="K24" s="554">
        <f>(IFERROR(IF($A24&lt;BenefitStart,0,VLOOKUP(ROUND($C$7,0),'Emission Rates'!$C$74:$J$140,K$15,FALSE)),0)*$C24)/$C$9</f>
        <v>1.9772155173325519</v>
      </c>
      <c r="L24" s="554">
        <f>(IFERROR(IF($A24&lt;BenefitStart,0,VLOOKUP(ROUND($C$7,0),'Emission Rates'!$C$74:$J$140,L$15,FALSE)),0)*$C24)/$C$9</f>
        <v>16.583650818910762</v>
      </c>
      <c r="M24" s="554">
        <f>(IFERROR(IF($A24&lt;BenefitStart,0,VLOOKUP(ROUND($C$7,0),'Emission Rates'!$C$74:$J$140,M$15,FALSE)),0)*$C24)/$C$9</f>
        <v>1.5133592533803903</v>
      </c>
      <c r="N24" s="554">
        <f>(IFERROR(IF($A24&lt;BenefitStart,0,VLOOKUP(ROUND($C$7,0),'Emission Rates'!$C$74:$J$140,N$15,FALSE)),0)*$C24)/$C$9</f>
        <v>1.5035859447395833E-4</v>
      </c>
      <c r="O24" s="554">
        <f>(IFERROR(IF($A24&lt;BenefitStart,0,VLOOKUP(ROUND($C$7,0),'Emission Rates'!$C$74:$J$140,O$15,FALSE)),0)*$C24)/$C$9</f>
        <v>0.1057020919151927</v>
      </c>
      <c r="P24" s="554">
        <f>(IFERROR(IF($A24&lt;BenefitStart,0,VLOOKUP(ROUND($C$7,0),'Emission Rates'!$C$74:$J$140,P$15,FALSE)),0)*$C24)/$C$9</f>
        <v>1.5035859447395833E-4</v>
      </c>
      <c r="Q24" s="432">
        <f>(IFERROR(IF($A24&lt;BenefitStart,0,VLOOKUP(ROUND($C$7,0),'Emission Rates'!$C$5:$J$72,Q$15,FALSE)),0)*D24)/$C$9</f>
        <v>1.1460552945752602</v>
      </c>
      <c r="R24" s="554">
        <f>(IFERROR(IF($A24&lt;BenefitStart,0,VLOOKUP(ROUND($C$7,0),'Emission Rates'!$C$5:$J$72,R$15,FALSE)),0)*E24)/$C$9</f>
        <v>4.1747224143207253E-4</v>
      </c>
      <c r="S24" s="554">
        <f>(IFERROR(IF($A24&lt;BenefitStart,0,VLOOKUP(ROUND($C$7,0),'Emission Rates'!$C$5:$J$72,S$15,FALSE)),0)*F24)/$C$9</f>
        <v>3.6262724399306849E-5</v>
      </c>
      <c r="T24" s="554">
        <f>(IFERROR(IF($A24&lt;BenefitStart,0,VLOOKUP(ROUND($C$7,0),'Emission Rates'!$C$5:$J$72,T$15,FALSE)),0)*G24)/$C$9</f>
        <v>3.6759669176993329E-10</v>
      </c>
      <c r="U24" s="554">
        <f>(IFERROR(IF($A24&lt;BenefitStart,0,VLOOKUP(ROUND($C$7,0),'Emission Rates'!$C$5:$J$72,U$15,FALSE)),0)*H24)/$C$9</f>
        <v>4.6911881475875001E-10</v>
      </c>
      <c r="V24" s="434">
        <f>(IFERROR(IF($A24&lt;BenefitStart,0,VLOOKUP(ROUND($C$7,0),'Emission Rates'!$C$5:$J$72,V$15,FALSE)),0)*I24)/$C$9</f>
        <v>1.1727970368968751E-9</v>
      </c>
      <c r="W24" s="554">
        <f>(IFERROR(IF($A24&lt;BenefitStart,0,VLOOKUP(ROUND($C$7,0),'Emission Rates'!$C$74:$J$140,W$15,FALSE)),0)*D24)/$C$9</f>
        <v>0.42836186469401033</v>
      </c>
      <c r="X24" s="433">
        <f>(IFERROR(IF($A24&lt;BenefitStart,0,VLOOKUP(ROUND($C$7,0),'Emission Rates'!$C$74:$J$140,X$15,FALSE)),0)*D24)/$C$9</f>
        <v>3.5928322056700517</v>
      </c>
      <c r="Y24" s="433">
        <f>(IFERROR(IF($A24&lt;BenefitStart,0,VLOOKUP(ROUND($C$7,0),'Emission Rates'!$C$74:$J$140,Y$15,FALSE)),0)*E24)/$C$9</f>
        <v>5.3243005252428893E-6</v>
      </c>
      <c r="Z24" s="433">
        <f>(IFERROR(IF($A24&lt;BenefitStart,0,VLOOKUP(ROUND($C$7,0),'Emission Rates'!$C$74:$J$140,Z$15,FALSE)),0)*F24)/$C$9</f>
        <v>1.1866074737993081E-8</v>
      </c>
      <c r="AA24" s="433">
        <f>(IFERROR(IF($A24&lt;BenefitStart,0,VLOOKUP(ROUND($C$7,0),'Emission Rates'!$C$74:$J$140,AA$15,FALSE)),0)*G24)/$C$9</f>
        <v>3.2302559289282891E-8</v>
      </c>
      <c r="AB24" s="433">
        <f>(IFERROR(IF($A24&lt;BenefitStart,0,VLOOKUP(ROUND($C$7,0),'Emission Rates'!$C$74:$J$140,AB$15,FALSE)),0)*H24)/$C$9</f>
        <v>1.2028687557916666E-13</v>
      </c>
      <c r="AC24" s="421">
        <f t="shared" si="8"/>
        <v>4.143860776207541</v>
      </c>
      <c r="AD24" s="422">
        <f t="shared" si="9"/>
        <v>118.66032990768936</v>
      </c>
      <c r="AE24" s="422">
        <f t="shared" si="10"/>
        <v>0.45945960198801727</v>
      </c>
      <c r="AF24" s="422">
        <f t="shared" si="11"/>
        <v>1.2028683881949748E-3</v>
      </c>
      <c r="AG24" s="422">
        <f t="shared" si="12"/>
        <v>0.58639851797931863</v>
      </c>
      <c r="AH24" s="423">
        <f t="shared" si="13"/>
        <v>3.0071707166821294E-3</v>
      </c>
      <c r="AI24" s="422">
        <f t="shared" si="14"/>
        <v>1.5488536526385415</v>
      </c>
      <c r="AJ24" s="422">
        <f t="shared" si="14"/>
        <v>12.990818613240711</v>
      </c>
      <c r="AK24" s="422">
        <f t="shared" si="14"/>
        <v>1.5133539290798652</v>
      </c>
      <c r="AL24" s="422">
        <f t="shared" si="14"/>
        <v>1.5034672839922032E-4</v>
      </c>
      <c r="AM24" s="422">
        <f t="shared" si="14"/>
        <v>0.1057020596126334</v>
      </c>
      <c r="AN24" s="422">
        <f t="shared" si="14"/>
        <v>1.5035859435367146E-4</v>
      </c>
      <c r="AO24" s="430">
        <f t="shared" si="1"/>
        <v>112.5</v>
      </c>
      <c r="AP24" s="32">
        <f t="shared" si="2"/>
        <v>60</v>
      </c>
      <c r="AQ24" s="32">
        <f t="shared" si="3"/>
        <v>17400</v>
      </c>
      <c r="AR24" s="32">
        <f t="shared" si="4"/>
        <v>840600</v>
      </c>
      <c r="AS24" s="32">
        <f t="shared" si="5"/>
        <v>47300</v>
      </c>
      <c r="AT24" s="431">
        <f t="shared" si="6"/>
        <v>1415</v>
      </c>
      <c r="AU24" s="32">
        <f t="shared" si="15"/>
        <v>68845.723664909863</v>
      </c>
      <c r="AV24" s="32">
        <f t="shared" si="16"/>
        <v>7899.0689112558039</v>
      </c>
      <c r="AW24" s="427">
        <f t="shared" si="17"/>
        <v>76744.792576165666</v>
      </c>
      <c r="AX24" s="428">
        <f>AV24/(1+0.03)^($A24-'A - Inputs'!$C$6)</f>
        <v>6053.9785835218045</v>
      </c>
      <c r="AY24" s="428">
        <f>AU24/(1+0.07)^($A24-'A - Inputs'!$C$6)</f>
        <v>37447.51213396847</v>
      </c>
      <c r="AZ24" s="429">
        <f t="shared" si="7"/>
        <v>43501.490717490276</v>
      </c>
      <c r="BA24" s="23"/>
      <c r="BB24" s="42">
        <v>2029</v>
      </c>
      <c r="BC24" s="33">
        <v>17400</v>
      </c>
      <c r="BD24" s="33">
        <v>47300</v>
      </c>
      <c r="BE24" s="33">
        <v>840600</v>
      </c>
      <c r="BF24" s="41">
        <f t="shared" si="20"/>
        <v>1415</v>
      </c>
      <c r="BG24" s="33">
        <v>60</v>
      </c>
      <c r="BH24" s="33">
        <f t="shared" si="18"/>
        <v>112.5</v>
      </c>
      <c r="BJ24" s="23"/>
      <c r="BK24" s="23"/>
      <c r="BL24" s="23"/>
      <c r="BM24" s="23"/>
      <c r="BN24" s="23"/>
      <c r="BO24" s="23"/>
      <c r="BP24" s="23"/>
      <c r="BQ24" s="23"/>
      <c r="BR24" s="23"/>
    </row>
    <row r="25" spans="1:70" x14ac:dyDescent="0.25">
      <c r="A25" s="34">
        <f t="shared" si="19"/>
        <v>2030</v>
      </c>
      <c r="B25" s="31">
        <f t="shared" si="19"/>
        <v>9</v>
      </c>
      <c r="C25" s="420">
        <f>'I - Travel Time'!D23*$C$5</f>
        <v>1524746.6783333335</v>
      </c>
      <c r="D25" s="420">
        <f>IF(A25&gt;=BenefitStart,('I - Travel Time'!E23*$C$5),C25)</f>
        <v>336560.90166666667</v>
      </c>
      <c r="E25" s="432">
        <f>(IFERROR(IF($A25&lt;BenefitStart,0,VLOOKUP(ROUND($C$7,0),'Emission Rates'!$C$5:$J$72,E$15,FALSE)),0)*$C25)/$C$9</f>
        <v>5.3643637637123343</v>
      </c>
      <c r="F25" s="554">
        <f>(IFERROR(IF($A25&lt;BenefitStart,0,VLOOKUP(ROUND($C$7,0),'Emission Rates'!$C$5:$J$72,F$15,FALSE)),0)*$C25)/$C$9</f>
        <v>120.33072073404917</v>
      </c>
      <c r="G25" s="554">
        <f>(IFERROR(IF($A25&lt;BenefitStart,0,VLOOKUP(ROUND($C$7,0),'Emission Rates'!$C$5:$J$72,G$15,FALSE)),0)*$C25)/$C$9</f>
        <v>0.46596258489866665</v>
      </c>
      <c r="H25" s="554">
        <f>(IFERROR(IF($A25&lt;BenefitStart,0,VLOOKUP(ROUND($C$7,0),'Emission Rates'!$C$5:$J$72,H$15,FALSE)),0)*$C25)/$C$9</f>
        <v>1.2197973426666666E-3</v>
      </c>
      <c r="I25" s="554">
        <f>(IFERROR(IF($A25&lt;BenefitStart,0,VLOOKUP(ROUND($C$7,0),'Emission Rates'!$C$5:$J$72,I$15,FALSE)),0)*$C25)/$C$9</f>
        <v>0.59465120454999998</v>
      </c>
      <c r="J25" s="434">
        <f>(IFERROR(IF($A25&lt;BenefitStart,0,VLOOKUP(ROUND($C$7,0),'Emission Rates'!$C$5:$J$72,J$15,FALSE)),0)*$C25)/$C$9</f>
        <v>3.049493356666667E-3</v>
      </c>
      <c r="K25" s="554">
        <f>(IFERROR(IF($A25&lt;BenefitStart,0,VLOOKUP(ROUND($C$7,0),'Emission Rates'!$C$74:$J$140,K$15,FALSE)),0)*$C25)/$C$9</f>
        <v>2.0050418820083333</v>
      </c>
      <c r="L25" s="554">
        <f>(IFERROR(IF($A25&lt;BenefitStart,0,VLOOKUP(ROUND($C$7,0),'Emission Rates'!$C$74:$J$140,L$15,FALSE)),0)*$C25)/$C$9</f>
        <v>16.817041014009668</v>
      </c>
      <c r="M25" s="554">
        <f>(IFERROR(IF($A25&lt;BenefitStart,0,VLOOKUP(ROUND($C$7,0),'Emission Rates'!$C$74:$J$140,M$15,FALSE)),0)*$C25)/$C$9</f>
        <v>1.5346575317425002</v>
      </c>
      <c r="N25" s="554">
        <f>(IFERROR(IF($A25&lt;BenefitStart,0,VLOOKUP(ROUND($C$7,0),'Emission Rates'!$C$74:$J$140,N$15,FALSE)),0)*$C25)/$C$9</f>
        <v>1.5247466783333333E-4</v>
      </c>
      <c r="O25" s="554">
        <f>(IFERROR(IF($A25&lt;BenefitStart,0,VLOOKUP(ROUND($C$7,0),'Emission Rates'!$C$74:$J$140,O$15,FALSE)),0)*$C25)/$C$9</f>
        <v>0.10718969148683334</v>
      </c>
      <c r="P25" s="554">
        <f>(IFERROR(IF($A25&lt;BenefitStart,0,VLOOKUP(ROUND($C$7,0),'Emission Rates'!$C$74:$J$140,P$15,FALSE)),0)*$C25)/$C$9</f>
        <v>1.5247466783333333E-4</v>
      </c>
      <c r="Q25" s="432">
        <f>(IFERROR(IF($A25&lt;BenefitStart,0,VLOOKUP(ROUND($C$7,0),'Emission Rates'!$C$5:$J$72,Q$15,FALSE)),0)*D25)/$C$9</f>
        <v>1.1840885642436669</v>
      </c>
      <c r="R25" s="554">
        <f>(IFERROR(IF($A25&lt;BenefitStart,0,VLOOKUP(ROUND($C$7,0),'Emission Rates'!$C$5:$J$72,R$15,FALSE)),0)*E25)/$C$9</f>
        <v>4.2334754168653181E-4</v>
      </c>
      <c r="S25" s="554">
        <f>(IFERROR(IF($A25&lt;BenefitStart,0,VLOOKUP(ROUND($C$7,0),'Emission Rates'!$C$5:$J$72,S$15,FALSE)),0)*F25)/$C$9</f>
        <v>3.6773068256325425E-5</v>
      </c>
      <c r="T25" s="554">
        <f>(IFERROR(IF($A25&lt;BenefitStart,0,VLOOKUP(ROUND($C$7,0),'Emission Rates'!$C$5:$J$72,T$15,FALSE)),0)*G25)/$C$9</f>
        <v>3.7277006791893336E-10</v>
      </c>
      <c r="U25" s="554">
        <f>(IFERROR(IF($A25&lt;BenefitStart,0,VLOOKUP(ROUND($C$7,0),'Emission Rates'!$C$5:$J$72,U$15,FALSE)),0)*H25)/$C$9</f>
        <v>4.7572096364000004E-10</v>
      </c>
      <c r="V25" s="434">
        <f>(IFERROR(IF($A25&lt;BenefitStart,0,VLOOKUP(ROUND($C$7,0),'Emission Rates'!$C$5:$J$72,V$15,FALSE)),0)*I25)/$C$9</f>
        <v>1.1893024091E-9</v>
      </c>
      <c r="W25" s="554">
        <f>(IFERROR(IF($A25&lt;BenefitStart,0,VLOOKUP(ROUND($C$7,0),'Emission Rates'!$C$74:$J$140,W$15,FALSE)),0)*D25)/$C$9</f>
        <v>0.44257758569166666</v>
      </c>
      <c r="X25" s="433">
        <f>(IFERROR(IF($A25&lt;BenefitStart,0,VLOOKUP(ROUND($C$7,0),'Emission Rates'!$C$74:$J$140,X$15,FALSE)),0)*D25)/$C$9</f>
        <v>3.7120648088423334</v>
      </c>
      <c r="Y25" s="433">
        <f>(IFERROR(IF($A25&lt;BenefitStart,0,VLOOKUP(ROUND($C$7,0),'Emission Rates'!$C$74:$J$140,Y$15,FALSE)),0)*E25)/$C$9</f>
        <v>5.3992321281764645E-6</v>
      </c>
      <c r="Z25" s="433">
        <f>(IFERROR(IF($A25&lt;BenefitStart,0,VLOOKUP(ROUND($C$7,0),'Emission Rates'!$C$74:$J$140,Z$15,FALSE)),0)*F25)/$C$9</f>
        <v>1.2033072073404917E-8</v>
      </c>
      <c r="AA25" s="433">
        <f>(IFERROR(IF($A25&lt;BenefitStart,0,VLOOKUP(ROUND($C$7,0),'Emission Rates'!$C$74:$J$140,AA$15,FALSE)),0)*G25)/$C$9</f>
        <v>3.2757169718376264E-8</v>
      </c>
      <c r="AB25" s="433">
        <f>(IFERROR(IF($A25&lt;BenefitStart,0,VLOOKUP(ROUND($C$7,0),'Emission Rates'!$C$74:$J$140,AB$15,FALSE)),0)*H25)/$C$9</f>
        <v>1.2197973426666668E-13</v>
      </c>
      <c r="AC25" s="421">
        <f t="shared" si="8"/>
        <v>4.1802751994686673</v>
      </c>
      <c r="AD25" s="422">
        <f t="shared" si="9"/>
        <v>120.33029738650748</v>
      </c>
      <c r="AE25" s="422">
        <f t="shared" si="10"/>
        <v>0.46592581183041032</v>
      </c>
      <c r="AF25" s="422">
        <f t="shared" si="11"/>
        <v>1.2197969698965988E-3</v>
      </c>
      <c r="AG25" s="422">
        <f t="shared" si="12"/>
        <v>0.59465120407427896</v>
      </c>
      <c r="AH25" s="423">
        <f t="shared" si="13"/>
        <v>3.0494921673642579E-3</v>
      </c>
      <c r="AI25" s="422">
        <f t="shared" si="14"/>
        <v>1.5624642963166666</v>
      </c>
      <c r="AJ25" s="422">
        <f t="shared" si="14"/>
        <v>13.104976205167334</v>
      </c>
      <c r="AK25" s="422">
        <f t="shared" si="14"/>
        <v>1.5346521325103719</v>
      </c>
      <c r="AL25" s="422">
        <f t="shared" si="14"/>
        <v>1.5246263476125993E-4</v>
      </c>
      <c r="AM25" s="422">
        <f t="shared" si="14"/>
        <v>0.10718965872966363</v>
      </c>
      <c r="AN25" s="422">
        <f t="shared" si="14"/>
        <v>1.5247466771135359E-4</v>
      </c>
      <c r="AO25" s="430">
        <f t="shared" si="1"/>
        <v>114.375</v>
      </c>
      <c r="AP25" s="32">
        <f t="shared" si="2"/>
        <v>61</v>
      </c>
      <c r="AQ25" s="32">
        <f t="shared" si="3"/>
        <v>17700</v>
      </c>
      <c r="AR25" s="32">
        <f t="shared" si="4"/>
        <v>854000</v>
      </c>
      <c r="AS25" s="32">
        <f t="shared" si="5"/>
        <v>48200</v>
      </c>
      <c r="AT25" s="431">
        <f t="shared" si="6"/>
        <v>1415</v>
      </c>
      <c r="AU25" s="32">
        <f t="shared" si="15"/>
        <v>71072.225517261759</v>
      </c>
      <c r="AV25" s="32">
        <f t="shared" si="16"/>
        <v>8139.5516890921635</v>
      </c>
      <c r="AW25" s="427">
        <f t="shared" si="17"/>
        <v>79211.777206353916</v>
      </c>
      <c r="AX25" s="428">
        <f>AV25/(1+0.03)^($A25-'A - Inputs'!$C$6)</f>
        <v>6056.5908818408398</v>
      </c>
      <c r="AY25" s="428">
        <f>AU25/(1+0.07)^($A25-'A - Inputs'!$C$6)</f>
        <v>36129.515532139041</v>
      </c>
      <c r="AZ25" s="429">
        <f t="shared" si="7"/>
        <v>42186.106413979884</v>
      </c>
      <c r="BA25" s="23"/>
      <c r="BB25" s="42">
        <v>2030</v>
      </c>
      <c r="BC25" s="33">
        <v>17700</v>
      </c>
      <c r="BD25" s="33">
        <v>48200</v>
      </c>
      <c r="BE25" s="33">
        <v>854000</v>
      </c>
      <c r="BF25" s="41">
        <f t="shared" si="20"/>
        <v>1415</v>
      </c>
      <c r="BG25" s="33">
        <v>61</v>
      </c>
      <c r="BH25" s="33">
        <f t="shared" si="18"/>
        <v>114.375</v>
      </c>
      <c r="BJ25" s="23"/>
      <c r="BK25" s="23"/>
      <c r="BL25" s="23"/>
      <c r="BM25" s="23"/>
      <c r="BN25" s="23"/>
      <c r="BO25" s="23"/>
      <c r="BP25" s="23"/>
      <c r="BQ25" s="23"/>
      <c r="BR25" s="23"/>
    </row>
    <row r="26" spans="1:70" x14ac:dyDescent="0.25">
      <c r="A26" s="34">
        <f t="shared" si="19"/>
        <v>2031</v>
      </c>
      <c r="B26" s="31">
        <f t="shared" si="19"/>
        <v>10</v>
      </c>
      <c r="C26" s="420">
        <f>'I - Travel Time'!D24*$C$5</f>
        <v>1546040.12015625</v>
      </c>
      <c r="D26" s="420">
        <f>IF(A26&gt;=BenefitStart,('I - Travel Time'!E24*$C$5),C26)</f>
        <v>347459.00953124999</v>
      </c>
      <c r="E26" s="432">
        <f>(IFERROR(IF($A26&lt;BenefitStart,0,VLOOKUP(ROUND($C$7,0),'Emission Rates'!$C$5:$J$72,E$15,FALSE)),0)*$C26)/$C$9</f>
        <v>5.4392783507337192</v>
      </c>
      <c r="F26" s="554">
        <f>(IFERROR(IF($A26&lt;BenefitStart,0,VLOOKUP(ROUND($C$7,0),'Emission Rates'!$C$5:$J$72,F$15,FALSE)),0)*$C26)/$C$9</f>
        <v>122.01116722255101</v>
      </c>
      <c r="G26" s="554">
        <f>(IFERROR(IF($A26&lt;BenefitStart,0,VLOOKUP(ROUND($C$7,0),'Emission Rates'!$C$5:$J$72,G$15,FALSE)),0)*$C26)/$C$9</f>
        <v>0.47246986071974995</v>
      </c>
      <c r="H26" s="554">
        <f>(IFERROR(IF($A26&lt;BenefitStart,0,VLOOKUP(ROUND($C$7,0),'Emission Rates'!$C$5:$J$72,H$15,FALSE)),0)*$C26)/$C$9</f>
        <v>1.2368320961250001E-3</v>
      </c>
      <c r="I26" s="554">
        <f>(IFERROR(IF($A26&lt;BenefitStart,0,VLOOKUP(ROUND($C$7,0),'Emission Rates'!$C$5:$J$72,I$15,FALSE)),0)*$C26)/$C$9</f>
        <v>0.6029556468609375</v>
      </c>
      <c r="J26" s="434">
        <f>(IFERROR(IF($A26&lt;BenefitStart,0,VLOOKUP(ROUND($C$7,0),'Emission Rates'!$C$5:$J$72,J$15,FALSE)),0)*$C26)/$C$9</f>
        <v>3.0920802403125E-3</v>
      </c>
      <c r="K26" s="554">
        <f>(IFERROR(IF($A26&lt;BenefitStart,0,VLOOKUP(ROUND($C$7,0),'Emission Rates'!$C$74:$J$140,K$15,FALSE)),0)*$C26)/$C$9</f>
        <v>2.0330427580054686</v>
      </c>
      <c r="L26" s="554">
        <f>(IFERROR(IF($A26&lt;BenefitStart,0,VLOOKUP(ROUND($C$7,0),'Emission Rates'!$C$74:$J$140,L$15,FALSE)),0)*$C26)/$C$9</f>
        <v>17.051894901251345</v>
      </c>
      <c r="M26" s="554">
        <f>(IFERROR(IF($A26&lt;BenefitStart,0,VLOOKUP(ROUND($C$7,0),'Emission Rates'!$C$74:$J$140,M$15,FALSE)),0)*$C26)/$C$9</f>
        <v>1.5560893809372656</v>
      </c>
      <c r="N26" s="554">
        <f>(IFERROR(IF($A26&lt;BenefitStart,0,VLOOKUP(ROUND($C$7,0),'Emission Rates'!$C$74:$J$140,N$15,FALSE)),0)*$C26)/$C$9</f>
        <v>1.5460401201562501E-4</v>
      </c>
      <c r="O26" s="554">
        <f>(IFERROR(IF($A26&lt;BenefitStart,0,VLOOKUP(ROUND($C$7,0),'Emission Rates'!$C$74:$J$140,O$15,FALSE)),0)*$C26)/$C$9</f>
        <v>0.10868662044698438</v>
      </c>
      <c r="P26" s="554">
        <f>(IFERROR(IF($A26&lt;BenefitStart,0,VLOOKUP(ROUND($C$7,0),'Emission Rates'!$C$74:$J$140,P$15,FALSE)),0)*$C26)/$C$9</f>
        <v>1.5460401201562501E-4</v>
      </c>
      <c r="Q26" s="432">
        <f>(IFERROR(IF($A26&lt;BenefitStart,0,VLOOKUP(ROUND($C$7,0),'Emission Rates'!$C$5:$J$72,Q$15,FALSE)),0)*D26)/$C$9</f>
        <v>1.2224302873328436</v>
      </c>
      <c r="R26" s="554">
        <f>(IFERROR(IF($A26&lt;BenefitStart,0,VLOOKUP(ROUND($C$7,0),'Emission Rates'!$C$5:$J$72,R$15,FALSE)),0)*E26)/$C$9</f>
        <v>4.2925968852237901E-4</v>
      </c>
      <c r="S26" s="554">
        <f>(IFERROR(IF($A26&lt;BenefitStart,0,VLOOKUP(ROUND($C$7,0),'Emission Rates'!$C$5:$J$72,S$15,FALSE)),0)*F26)/$C$9</f>
        <v>3.7286612703211587E-5</v>
      </c>
      <c r="T26" s="554">
        <f>(IFERROR(IF($A26&lt;BenefitStart,0,VLOOKUP(ROUND($C$7,0),'Emission Rates'!$C$5:$J$72,T$15,FALSE)),0)*G26)/$C$9</f>
        <v>3.7797588857579999E-10</v>
      </c>
      <c r="U26" s="554">
        <f>(IFERROR(IF($A26&lt;BenefitStart,0,VLOOKUP(ROUND($C$7,0),'Emission Rates'!$C$5:$J$72,U$15,FALSE)),0)*H26)/$C$9</f>
        <v>4.8236451748875002E-10</v>
      </c>
      <c r="V26" s="434">
        <f>(IFERROR(IF($A26&lt;BenefitStart,0,VLOOKUP(ROUND($C$7,0),'Emission Rates'!$C$5:$J$72,V$15,FALSE)),0)*I26)/$C$9</f>
        <v>1.205911293721875E-9</v>
      </c>
      <c r="W26" s="554">
        <f>(IFERROR(IF($A26&lt;BenefitStart,0,VLOOKUP(ROUND($C$7,0),'Emission Rates'!$C$74:$J$140,W$15,FALSE)),0)*D26)/$C$9</f>
        <v>0.4569085975335937</v>
      </c>
      <c r="X26" s="433">
        <f>(IFERROR(IF($A26&lt;BenefitStart,0,VLOOKUP(ROUND($C$7,0),'Emission Rates'!$C$74:$J$140,X$15,FALSE)),0)*D26)/$C$9</f>
        <v>3.8322643997239689</v>
      </c>
      <c r="Y26" s="433">
        <f>(IFERROR(IF($A26&lt;BenefitStart,0,VLOOKUP(ROUND($C$7,0),'Emission Rates'!$C$74:$J$140,Y$15,FALSE)),0)*E26)/$C$9</f>
        <v>5.4746336600134879E-6</v>
      </c>
      <c r="Z26" s="433">
        <f>(IFERROR(IF($A26&lt;BenefitStart,0,VLOOKUP(ROUND($C$7,0),'Emission Rates'!$C$74:$J$140,Z$15,FALSE)),0)*F26)/$C$9</f>
        <v>1.2201116722255101E-8</v>
      </c>
      <c r="AA26" s="433">
        <f>(IFERROR(IF($A26&lt;BenefitStart,0,VLOOKUP(ROUND($C$7,0),'Emission Rates'!$C$74:$J$140,AA$15,FALSE)),0)*G26)/$C$9</f>
        <v>3.3214631208598422E-8</v>
      </c>
      <c r="AB26" s="433">
        <f>(IFERROR(IF($A26&lt;BenefitStart,0,VLOOKUP(ROUND($C$7,0),'Emission Rates'!$C$74:$J$140,AB$15,FALSE)),0)*H26)/$C$9</f>
        <v>1.2368320961250001E-13</v>
      </c>
      <c r="AC26" s="421">
        <f t="shared" si="8"/>
        <v>4.2168480634008754</v>
      </c>
      <c r="AD26" s="422">
        <f t="shared" si="9"/>
        <v>122.01073796286249</v>
      </c>
      <c r="AE26" s="422">
        <f t="shared" si="10"/>
        <v>0.47243257410704675</v>
      </c>
      <c r="AF26" s="422">
        <f t="shared" si="11"/>
        <v>1.2368317181491114E-3</v>
      </c>
      <c r="AG26" s="422">
        <f t="shared" si="12"/>
        <v>0.60295564637857302</v>
      </c>
      <c r="AH26" s="423">
        <f t="shared" si="13"/>
        <v>3.0920790344012065E-3</v>
      </c>
      <c r="AI26" s="422">
        <f t="shared" si="14"/>
        <v>1.576134160471875</v>
      </c>
      <c r="AJ26" s="422">
        <f t="shared" si="14"/>
        <v>13.219630501527377</v>
      </c>
      <c r="AK26" s="422">
        <f t="shared" si="14"/>
        <v>1.5560839063036056</v>
      </c>
      <c r="AL26" s="422">
        <f t="shared" si="14"/>
        <v>1.5459181089890275E-4</v>
      </c>
      <c r="AM26" s="422">
        <f t="shared" si="14"/>
        <v>0.10868658723235317</v>
      </c>
      <c r="AN26" s="422">
        <f t="shared" si="14"/>
        <v>1.546040118919418E-4</v>
      </c>
      <c r="AO26" s="430">
        <f t="shared" si="1"/>
        <v>116.25</v>
      </c>
      <c r="AP26" s="32">
        <f t="shared" si="2"/>
        <v>62</v>
      </c>
      <c r="AQ26" s="32">
        <f t="shared" si="3"/>
        <v>18100</v>
      </c>
      <c r="AR26" s="32">
        <f t="shared" si="4"/>
        <v>867600</v>
      </c>
      <c r="AS26" s="32">
        <f t="shared" si="5"/>
        <v>49100</v>
      </c>
      <c r="AT26" s="431">
        <f t="shared" si="6"/>
        <v>1415</v>
      </c>
      <c r="AU26" s="32">
        <f t="shared" si="15"/>
        <v>73543.009259567058</v>
      </c>
      <c r="AV26" s="32">
        <f t="shared" si="16"/>
        <v>8384.2828447921711</v>
      </c>
      <c r="AW26" s="427">
        <f t="shared" si="17"/>
        <v>81927.292104359221</v>
      </c>
      <c r="AX26" s="428">
        <f>AV26/(1+0.03)^($A26-'A - Inputs'!$C$6)</f>
        <v>6056.9843160998626</v>
      </c>
      <c r="AY26" s="428">
        <f>AU26/(1+0.07)^($A26-'A - Inputs'!$C$6)</f>
        <v>34939.753923885895</v>
      </c>
      <c r="AZ26" s="429">
        <f t="shared" si="7"/>
        <v>40996.73823998576</v>
      </c>
      <c r="BA26" s="23"/>
      <c r="BB26" s="42">
        <v>2031</v>
      </c>
      <c r="BC26" s="33">
        <v>18100</v>
      </c>
      <c r="BD26" s="33">
        <v>49100</v>
      </c>
      <c r="BE26" s="33">
        <v>867600</v>
      </c>
      <c r="BF26" s="41">
        <f t="shared" si="20"/>
        <v>1415</v>
      </c>
      <c r="BG26" s="33">
        <v>62</v>
      </c>
      <c r="BH26" s="33">
        <f t="shared" si="18"/>
        <v>116.25</v>
      </c>
      <c r="BJ26" s="23"/>
      <c r="BK26" s="23"/>
      <c r="BL26" s="23"/>
      <c r="BM26" s="23"/>
      <c r="BN26" s="23"/>
      <c r="BO26" s="23"/>
      <c r="BP26" s="23"/>
      <c r="BQ26" s="23"/>
      <c r="BR26" s="23"/>
    </row>
    <row r="27" spans="1:70" x14ac:dyDescent="0.25">
      <c r="A27" s="34">
        <f t="shared" si="19"/>
        <v>2032</v>
      </c>
      <c r="B27" s="31">
        <f t="shared" si="19"/>
        <v>11</v>
      </c>
      <c r="C27" s="420">
        <f>'I - Travel Time'!D25*$C$5</f>
        <v>1567466.2702083336</v>
      </c>
      <c r="D27" s="420">
        <f>IF(A27&gt;=BenefitStart,('I - Travel Time'!E25*$C$5),C27)</f>
        <v>358444.79104166664</v>
      </c>
      <c r="E27" s="432">
        <f>(IFERROR(IF($A27&lt;BenefitStart,0,VLOOKUP(ROUND($C$7,0),'Emission Rates'!$C$5:$J$72,E$15,FALSE)),0)*$C27)/$C$9</f>
        <v>5.5146598318469602</v>
      </c>
      <c r="F27" s="554">
        <f>(IFERROR(IF($A27&lt;BenefitStart,0,VLOOKUP(ROUND($C$7,0),'Emission Rates'!$C$5:$J$72,F$15,FALSE)),0)*$C27)/$C$9</f>
        <v>123.70208684543637</v>
      </c>
      <c r="G27" s="554">
        <f>(IFERROR(IF($A27&lt;BenefitStart,0,VLOOKUP(ROUND($C$7,0),'Emission Rates'!$C$5:$J$72,G$15,FALSE)),0)*$C27)/$C$9</f>
        <v>0.47901769217566675</v>
      </c>
      <c r="H27" s="554">
        <f>(IFERROR(IF($A27&lt;BenefitStart,0,VLOOKUP(ROUND($C$7,0),'Emission Rates'!$C$5:$J$72,H$15,FALSE)),0)*$C27)/$C$9</f>
        <v>1.2539730161666668E-3</v>
      </c>
      <c r="I27" s="554">
        <f>(IFERROR(IF($A27&lt;BenefitStart,0,VLOOKUP(ROUND($C$7,0),'Emission Rates'!$C$5:$J$72,I$15,FALSE)),0)*$C27)/$C$9</f>
        <v>0.61131184538125016</v>
      </c>
      <c r="J27" s="434">
        <f>(IFERROR(IF($A27&lt;BenefitStart,0,VLOOKUP(ROUND($C$7,0),'Emission Rates'!$C$5:$J$72,J$15,FALSE)),0)*$C27)/$C$9</f>
        <v>3.1349325404166676E-3</v>
      </c>
      <c r="K27" s="554">
        <f>(IFERROR(IF($A27&lt;BenefitStart,0,VLOOKUP(ROUND($C$7,0),'Emission Rates'!$C$74:$J$140,K$15,FALSE)),0)*$C27)/$C$9</f>
        <v>2.0612181453239589</v>
      </c>
      <c r="L27" s="554">
        <f>(IFERROR(IF($A27&lt;BenefitStart,0,VLOOKUP(ROUND($C$7,0),'Emission Rates'!$C$74:$J$140,L$15,FALSE)),0)*$C27)/$C$9</f>
        <v>17.288212480635796</v>
      </c>
      <c r="M27" s="554">
        <f>(IFERROR(IF($A27&lt;BenefitStart,0,VLOOKUP(ROUND($C$7,0),'Emission Rates'!$C$74:$J$140,M$15,FALSE)),0)*$C27)/$C$9</f>
        <v>1.5776548009646878</v>
      </c>
      <c r="N27" s="554">
        <f>(IFERROR(IF($A27&lt;BenefitStart,0,VLOOKUP(ROUND($C$7,0),'Emission Rates'!$C$74:$J$140,N$15,FALSE)),0)*$C27)/$C$9</f>
        <v>1.5674662702083335E-4</v>
      </c>
      <c r="O27" s="554">
        <f>(IFERROR(IF($A27&lt;BenefitStart,0,VLOOKUP(ROUND($C$7,0),'Emission Rates'!$C$74:$J$140,O$15,FALSE)),0)*$C27)/$C$9</f>
        <v>0.11019287879564585</v>
      </c>
      <c r="P27" s="554">
        <f>(IFERROR(IF($A27&lt;BenefitStart,0,VLOOKUP(ROUND($C$7,0),'Emission Rates'!$C$74:$J$140,P$15,FALSE)),0)*$C27)/$C$9</f>
        <v>1.5674662702083335E-4</v>
      </c>
      <c r="Q27" s="432">
        <f>(IFERROR(IF($A27&lt;BenefitStart,0,VLOOKUP(ROUND($C$7,0),'Emission Rates'!$C$5:$J$72,Q$15,FALSE)),0)*D27)/$C$9</f>
        <v>1.2610804638427917</v>
      </c>
      <c r="R27" s="554">
        <f>(IFERROR(IF($A27&lt;BenefitStart,0,VLOOKUP(ROUND($C$7,0),'Emission Rates'!$C$5:$J$72,R$15,FALSE)),0)*E27)/$C$9</f>
        <v>4.3520868193961429E-4</v>
      </c>
      <c r="S27" s="554">
        <f>(IFERROR(IF($A27&lt;BenefitStart,0,VLOOKUP(ROUND($C$7,0),'Emission Rates'!$C$5:$J$72,S$15,FALSE)),0)*F27)/$C$9</f>
        <v>3.7803357739965347E-5</v>
      </c>
      <c r="T27" s="554">
        <f>(IFERROR(IF($A27&lt;BenefitStart,0,VLOOKUP(ROUND($C$7,0),'Emission Rates'!$C$5:$J$72,T$15,FALSE)),0)*G27)/$C$9</f>
        <v>3.8321415374053342E-10</v>
      </c>
      <c r="U27" s="554">
        <f>(IFERROR(IF($A27&lt;BenefitStart,0,VLOOKUP(ROUND($C$7,0),'Emission Rates'!$C$5:$J$72,U$15,FALSE)),0)*H27)/$C$9</f>
        <v>4.8904947630500007E-10</v>
      </c>
      <c r="V27" s="434">
        <f>(IFERROR(IF($A27&lt;BenefitStart,0,VLOOKUP(ROUND($C$7,0),'Emission Rates'!$C$5:$J$72,V$15,FALSE)),0)*I27)/$C$9</f>
        <v>1.2226236907625002E-9</v>
      </c>
      <c r="W27" s="554">
        <f>(IFERROR(IF($A27&lt;BenefitStart,0,VLOOKUP(ROUND($C$7,0),'Emission Rates'!$C$74:$J$140,W$15,FALSE)),0)*D27)/$C$9</f>
        <v>0.47135490021979165</v>
      </c>
      <c r="X27" s="433">
        <f>(IFERROR(IF($A27&lt;BenefitStart,0,VLOOKUP(ROUND($C$7,0),'Emission Rates'!$C$74:$J$140,X$15,FALSE)),0)*D27)/$C$9</f>
        <v>3.9534309783149584</v>
      </c>
      <c r="Y27" s="433">
        <f>(IFERROR(IF($A27&lt;BenefitStart,0,VLOOKUP(ROUND($C$7,0),'Emission Rates'!$C$74:$J$140,Y$15,FALSE)),0)*E27)/$C$9</f>
        <v>5.5505051207539656E-6</v>
      </c>
      <c r="Z27" s="433">
        <f>(IFERROR(IF($A27&lt;BenefitStart,0,VLOOKUP(ROUND($C$7,0),'Emission Rates'!$C$74:$J$140,Z$15,FALSE)),0)*F27)/$C$9</f>
        <v>1.2370208684543637E-8</v>
      </c>
      <c r="AA27" s="433">
        <f>(IFERROR(IF($A27&lt;BenefitStart,0,VLOOKUP(ROUND($C$7,0),'Emission Rates'!$C$74:$J$140,AA$15,FALSE)),0)*G27)/$C$9</f>
        <v>3.3674943759949371E-8</v>
      </c>
      <c r="AB27" s="433">
        <f>(IFERROR(IF($A27&lt;BenefitStart,0,VLOOKUP(ROUND($C$7,0),'Emission Rates'!$C$74:$J$140,AB$15,FALSE)),0)*H27)/$C$9</f>
        <v>1.2539730161666671E-13</v>
      </c>
      <c r="AC27" s="421">
        <f t="shared" si="8"/>
        <v>4.2535793680041687</v>
      </c>
      <c r="AD27" s="422">
        <f t="shared" si="9"/>
        <v>123.70165163675443</v>
      </c>
      <c r="AE27" s="422">
        <f t="shared" si="10"/>
        <v>0.4789798888179268</v>
      </c>
      <c r="AF27" s="422">
        <f t="shared" si="11"/>
        <v>1.253972632952513E-3</v>
      </c>
      <c r="AG27" s="422">
        <f t="shared" si="12"/>
        <v>0.6113118448922007</v>
      </c>
      <c r="AH27" s="423">
        <f t="shared" si="13"/>
        <v>3.1349313177929769E-3</v>
      </c>
      <c r="AI27" s="422">
        <f t="shared" si="14"/>
        <v>1.5898632451041672</v>
      </c>
      <c r="AJ27" s="422">
        <f t="shared" si="14"/>
        <v>13.334781502320837</v>
      </c>
      <c r="AK27" s="422">
        <f t="shared" si="14"/>
        <v>1.5776492504595669</v>
      </c>
      <c r="AL27" s="422">
        <f t="shared" si="14"/>
        <v>1.5673425681214881E-4</v>
      </c>
      <c r="AM27" s="422">
        <f t="shared" si="14"/>
        <v>0.11019284512070208</v>
      </c>
      <c r="AN27" s="422">
        <f t="shared" si="14"/>
        <v>1.5674662689543604E-4</v>
      </c>
      <c r="AO27" s="430">
        <f t="shared" si="1"/>
        <v>118.125</v>
      </c>
      <c r="AP27" s="32">
        <f t="shared" si="2"/>
        <v>63</v>
      </c>
      <c r="AQ27" s="32">
        <f t="shared" si="3"/>
        <v>18100</v>
      </c>
      <c r="AR27" s="32">
        <f t="shared" si="4"/>
        <v>867600</v>
      </c>
      <c r="AS27" s="32">
        <f t="shared" si="5"/>
        <v>49100</v>
      </c>
      <c r="AT27" s="431">
        <f t="shared" si="6"/>
        <v>1415</v>
      </c>
      <c r="AU27" s="32">
        <f t="shared" si="15"/>
        <v>74569.711381081128</v>
      </c>
      <c r="AV27" s="32">
        <f t="shared" si="16"/>
        <v>8633.2952877617408</v>
      </c>
      <c r="AW27" s="427">
        <f t="shared" si="17"/>
        <v>83203.006668842863</v>
      </c>
      <c r="AX27" s="428">
        <f>AV27/(1+0.03)^($A27-'A - Inputs'!$C$6)</f>
        <v>6055.2196146008901</v>
      </c>
      <c r="AY27" s="428">
        <f>AU27/(1+0.07)^($A27-'A - Inputs'!$C$6)</f>
        <v>33109.843650329989</v>
      </c>
      <c r="AZ27" s="429">
        <f t="shared" si="7"/>
        <v>39165.063264930883</v>
      </c>
      <c r="BA27" s="23"/>
      <c r="BB27" s="42">
        <v>2032</v>
      </c>
      <c r="BC27" s="33">
        <v>18100</v>
      </c>
      <c r="BD27" s="33">
        <v>49100</v>
      </c>
      <c r="BE27" s="33">
        <v>867600</v>
      </c>
      <c r="BF27" s="41">
        <f t="shared" si="20"/>
        <v>1415</v>
      </c>
      <c r="BG27" s="33">
        <v>63</v>
      </c>
      <c r="BH27" s="33">
        <f t="shared" si="18"/>
        <v>118.125</v>
      </c>
      <c r="BJ27" s="23"/>
      <c r="BK27" s="23"/>
      <c r="BL27" s="23"/>
      <c r="BM27" s="23"/>
      <c r="BN27" s="23"/>
      <c r="BO27" s="23"/>
      <c r="BP27" s="23"/>
      <c r="BQ27" s="23"/>
      <c r="BR27" s="23"/>
    </row>
    <row r="28" spans="1:70" x14ac:dyDescent="0.25">
      <c r="A28" s="34">
        <f t="shared" si="19"/>
        <v>2033</v>
      </c>
      <c r="B28" s="31">
        <f t="shared" si="19"/>
        <v>12</v>
      </c>
      <c r="C28" s="420">
        <f>'I - Travel Time'!D26*$C$5</f>
        <v>1589025.1284895833</v>
      </c>
      <c r="D28" s="420">
        <f>IF(A28&gt;=BenefitStart,('I - Travel Time'!E26*$C$5),C28)</f>
        <v>369518.24619791668</v>
      </c>
      <c r="E28" s="432">
        <f>(IFERROR(IF($A28&lt;BenefitStart,0,VLOOKUP(ROUND($C$7,0),'Emission Rates'!$C$5:$J$72,E$15,FALSE)),0)*$C28)/$C$9</f>
        <v>5.5905082070520518</v>
      </c>
      <c r="F28" s="554">
        <f>(IFERROR(IF($A28&lt;BenefitStart,0,VLOOKUP(ROUND($C$7,0),'Emission Rates'!$C$5:$J$72,F$15,FALSE)),0)*$C28)/$C$9</f>
        <v>125.40347960270516</v>
      </c>
      <c r="G28" s="554">
        <f>(IFERROR(IF($A28&lt;BenefitStart,0,VLOOKUP(ROUND($C$7,0),'Emission Rates'!$C$5:$J$72,G$15,FALSE)),0)*$C28)/$C$9</f>
        <v>0.48560607926641663</v>
      </c>
      <c r="H28" s="554">
        <f>(IFERROR(IF($A28&lt;BenefitStart,0,VLOOKUP(ROUND($C$7,0),'Emission Rates'!$C$5:$J$72,H$15,FALSE)),0)*$C28)/$C$9</f>
        <v>1.2712201027916667E-3</v>
      </c>
      <c r="I28" s="554">
        <f>(IFERROR(IF($A28&lt;BenefitStart,0,VLOOKUP(ROUND($C$7,0),'Emission Rates'!$C$5:$J$72,I$15,FALSE)),0)*$C28)/$C$9</f>
        <v>0.61971980011093741</v>
      </c>
      <c r="J28" s="434">
        <f>(IFERROR(IF($A28&lt;BenefitStart,0,VLOOKUP(ROUND($C$7,0),'Emission Rates'!$C$5:$J$72,J$15,FALSE)),0)*$C28)/$C$9</f>
        <v>3.1780502569791667E-3</v>
      </c>
      <c r="K28" s="554">
        <f>(IFERROR(IF($A28&lt;BenefitStart,0,VLOOKUP(ROUND($C$7,0),'Emission Rates'!$C$74:$J$140,K$15,FALSE)),0)*$C28)/$C$9</f>
        <v>2.0895680439638018</v>
      </c>
      <c r="L28" s="554">
        <f>(IFERROR(IF($A28&lt;BenefitStart,0,VLOOKUP(ROUND($C$7,0),'Emission Rates'!$C$74:$J$140,L$15,FALSE)),0)*$C28)/$C$9</f>
        <v>17.525993752163011</v>
      </c>
      <c r="M28" s="554">
        <f>(IFERROR(IF($A28&lt;BenefitStart,0,VLOOKUP(ROUND($C$7,0),'Emission Rates'!$C$74:$J$140,M$15,FALSE)),0)*$C28)/$C$9</f>
        <v>1.5993537918247656</v>
      </c>
      <c r="N28" s="554">
        <f>(IFERROR(IF($A28&lt;BenefitStart,0,VLOOKUP(ROUND($C$7,0),'Emission Rates'!$C$74:$J$140,N$15,FALSE)),0)*$C28)/$C$9</f>
        <v>1.5890251284895833E-4</v>
      </c>
      <c r="O28" s="554">
        <f>(IFERROR(IF($A28&lt;BenefitStart,0,VLOOKUP(ROUND($C$7,0),'Emission Rates'!$C$74:$J$140,O$15,FALSE)),0)*$C28)/$C$9</f>
        <v>0.11170846653281771</v>
      </c>
      <c r="P28" s="554">
        <f>(IFERROR(IF($A28&lt;BenefitStart,0,VLOOKUP(ROUND($C$7,0),'Emission Rates'!$C$74:$J$140,P$15,FALSE)),0)*$C28)/$C$9</f>
        <v>1.5890251284895833E-4</v>
      </c>
      <c r="Q28" s="432">
        <f>(IFERROR(IF($A28&lt;BenefitStart,0,VLOOKUP(ROUND($C$7,0),'Emission Rates'!$C$5:$J$72,Q$15,FALSE)),0)*D28)/$C$9</f>
        <v>1.3000390937735105</v>
      </c>
      <c r="R28" s="554">
        <f>(IFERROR(IF($A28&lt;BenefitStart,0,VLOOKUP(ROUND($C$7,0),'Emission Rates'!$C$5:$J$72,R$15,FALSE)),0)*E28)/$C$9</f>
        <v>4.4119452193823732E-4</v>
      </c>
      <c r="S28" s="554">
        <f>(IFERROR(IF($A28&lt;BenefitStart,0,VLOOKUP(ROUND($C$7,0),'Emission Rates'!$C$5:$J$72,S$15,FALSE)),0)*F28)/$C$9</f>
        <v>3.8323303366586692E-5</v>
      </c>
      <c r="T28" s="554">
        <f>(IFERROR(IF($A28&lt;BenefitStart,0,VLOOKUP(ROUND($C$7,0),'Emission Rates'!$C$5:$J$72,T$15,FALSE)),0)*G28)/$C$9</f>
        <v>3.8848486341313335E-10</v>
      </c>
      <c r="U28" s="554">
        <f>(IFERROR(IF($A28&lt;BenefitStart,0,VLOOKUP(ROUND($C$7,0),'Emission Rates'!$C$5:$J$72,U$15,FALSE)),0)*H28)/$C$9</f>
        <v>4.9577584008875006E-10</v>
      </c>
      <c r="V28" s="434">
        <f>(IFERROR(IF($A28&lt;BenefitStart,0,VLOOKUP(ROUND($C$7,0),'Emission Rates'!$C$5:$J$72,V$15,FALSE)),0)*I28)/$C$9</f>
        <v>1.2394396002218747E-9</v>
      </c>
      <c r="W28" s="554">
        <f>(IFERROR(IF($A28&lt;BenefitStart,0,VLOOKUP(ROUND($C$7,0),'Emission Rates'!$C$74:$J$140,W$15,FALSE)),0)*D28)/$C$9</f>
        <v>0.48591649375026047</v>
      </c>
      <c r="X28" s="433">
        <f>(IFERROR(IF($A28&lt;BenefitStart,0,VLOOKUP(ROUND($C$7,0),'Emission Rates'!$C$74:$J$140,X$15,FALSE)),0)*D28)/$C$9</f>
        <v>4.075564544615303</v>
      </c>
      <c r="Y28" s="433">
        <f>(IFERROR(IF($A28&lt;BenefitStart,0,VLOOKUP(ROUND($C$7,0),'Emission Rates'!$C$74:$J$140,Y$15,FALSE)),0)*E28)/$C$9</f>
        <v>5.6268465103978899E-6</v>
      </c>
      <c r="Z28" s="433">
        <f>(IFERROR(IF($A28&lt;BenefitStart,0,VLOOKUP(ROUND($C$7,0),'Emission Rates'!$C$74:$J$140,Z$15,FALSE)),0)*F28)/$C$9</f>
        <v>1.2540347960270515E-8</v>
      </c>
      <c r="AA28" s="433">
        <f>(IFERROR(IF($A28&lt;BenefitStart,0,VLOOKUP(ROUND($C$7,0),'Emission Rates'!$C$74:$J$140,AA$15,FALSE)),0)*G28)/$C$9</f>
        <v>3.4138107372429086E-8</v>
      </c>
      <c r="AB28" s="433">
        <f>(IFERROR(IF($A28&lt;BenefitStart,0,VLOOKUP(ROUND($C$7,0),'Emission Rates'!$C$74:$J$140,AB$15,FALSE)),0)*H28)/$C$9</f>
        <v>1.2712201027916669E-13</v>
      </c>
      <c r="AC28" s="421">
        <f t="shared" si="8"/>
        <v>4.2904691132785411</v>
      </c>
      <c r="AD28" s="422">
        <f t="shared" si="9"/>
        <v>125.40303840818322</v>
      </c>
      <c r="AE28" s="422">
        <f t="shared" si="10"/>
        <v>0.48556775596305007</v>
      </c>
      <c r="AF28" s="422">
        <f t="shared" si="11"/>
        <v>1.2712197143068032E-3</v>
      </c>
      <c r="AG28" s="422">
        <f t="shared" si="12"/>
        <v>0.61971979961516155</v>
      </c>
      <c r="AH28" s="423">
        <f t="shared" si="13"/>
        <v>3.1780490175395662E-3</v>
      </c>
      <c r="AI28" s="422">
        <f t="shared" si="14"/>
        <v>1.6036515502135413</v>
      </c>
      <c r="AJ28" s="422">
        <f t="shared" si="14"/>
        <v>13.450429207547707</v>
      </c>
      <c r="AK28" s="422">
        <f t="shared" si="14"/>
        <v>1.5993481649782553</v>
      </c>
      <c r="AL28" s="422">
        <f t="shared" si="14"/>
        <v>1.5888997250099806E-4</v>
      </c>
      <c r="AM28" s="422">
        <f t="shared" si="14"/>
        <v>0.11170843239471034</v>
      </c>
      <c r="AN28" s="422">
        <f t="shared" si="14"/>
        <v>1.5890251272183633E-4</v>
      </c>
      <c r="AO28" s="430">
        <f t="shared" si="1"/>
        <v>120</v>
      </c>
      <c r="AP28" s="32">
        <f t="shared" si="2"/>
        <v>64</v>
      </c>
      <c r="AQ28" s="32">
        <f t="shared" si="3"/>
        <v>18100</v>
      </c>
      <c r="AR28" s="32">
        <f t="shared" si="4"/>
        <v>867600</v>
      </c>
      <c r="AS28" s="32">
        <f t="shared" si="5"/>
        <v>49100</v>
      </c>
      <c r="AT28" s="431">
        <f t="shared" si="6"/>
        <v>1415</v>
      </c>
      <c r="AU28" s="32">
        <f t="shared" si="15"/>
        <v>75602.883791031156</v>
      </c>
      <c r="AV28" s="32">
        <f t="shared" si="16"/>
        <v>8886.6219274067789</v>
      </c>
      <c r="AW28" s="427">
        <f t="shared" si="17"/>
        <v>84489.50571843794</v>
      </c>
      <c r="AX28" s="428">
        <f>AV28/(1+0.03)^($A28-'A - Inputs'!$C$6)</f>
        <v>6051.3571094804038</v>
      </c>
      <c r="AY28" s="428">
        <f>AU28/(1+0.07)^($A28-'A - Inputs'!$C$6)</f>
        <v>31372.508931126515</v>
      </c>
      <c r="AZ28" s="429">
        <f t="shared" si="7"/>
        <v>37423.866040606918</v>
      </c>
      <c r="BA28" s="23"/>
      <c r="BB28" s="42">
        <v>2033</v>
      </c>
      <c r="BC28" s="33">
        <v>18100</v>
      </c>
      <c r="BD28" s="33">
        <v>49100</v>
      </c>
      <c r="BE28" s="33">
        <v>867600</v>
      </c>
      <c r="BF28" s="41">
        <f t="shared" si="20"/>
        <v>1415</v>
      </c>
      <c r="BG28" s="33">
        <v>64</v>
      </c>
      <c r="BH28" s="33">
        <f t="shared" si="18"/>
        <v>120</v>
      </c>
      <c r="BJ28" s="23"/>
      <c r="BK28" s="23"/>
      <c r="BL28" s="23"/>
      <c r="BM28" s="23"/>
      <c r="BN28" s="23"/>
      <c r="BO28" s="23"/>
      <c r="BP28" s="23"/>
      <c r="BQ28" s="23"/>
      <c r="BR28" s="23"/>
    </row>
    <row r="29" spans="1:70" x14ac:dyDescent="0.25">
      <c r="A29" s="34">
        <f t="shared" si="19"/>
        <v>2034</v>
      </c>
      <c r="B29" s="31">
        <f t="shared" si="19"/>
        <v>13</v>
      </c>
      <c r="C29" s="420">
        <f>'I - Travel Time'!D27*$C$5</f>
        <v>1610716.6949999998</v>
      </c>
      <c r="D29" s="420">
        <f>IF(A29&gt;=BenefitStart,('I - Travel Time'!E27*$C$5),C29)</f>
        <v>380679.375</v>
      </c>
      <c r="E29" s="432">
        <f>(IFERROR(IF($A29&lt;BenefitStart,0,VLOOKUP(ROUND($C$7,0),'Emission Rates'!$C$5:$J$72,E$15,FALSE)),0)*$C29)/$C$9</f>
        <v>5.6668234763490002</v>
      </c>
      <c r="F29" s="554">
        <f>(IFERROR(IF($A29&lt;BenefitStart,0,VLOOKUP(ROUND($C$7,0),'Emission Rates'!$C$5:$J$72,F$15,FALSE)),0)*$C29)/$C$9</f>
        <v>127.11534549435748</v>
      </c>
      <c r="G29" s="554">
        <f>(IFERROR(IF($A29&lt;BenefitStart,0,VLOOKUP(ROUND($C$7,0),'Emission Rates'!$C$5:$J$72,G$15,FALSE)),0)*$C29)/$C$9</f>
        <v>0.49223502199199992</v>
      </c>
      <c r="H29" s="554">
        <f>(IFERROR(IF($A29&lt;BenefitStart,0,VLOOKUP(ROUND($C$7,0),'Emission Rates'!$C$5:$J$72,H$15,FALSE)),0)*$C29)/$C$9</f>
        <v>1.288573356E-3</v>
      </c>
      <c r="I29" s="554">
        <f>(IFERROR(IF($A29&lt;BenefitStart,0,VLOOKUP(ROUND($C$7,0),'Emission Rates'!$C$5:$J$72,I$15,FALSE)),0)*$C29)/$C$9</f>
        <v>0.62817951104999992</v>
      </c>
      <c r="J29" s="434">
        <f>(IFERROR(IF($A29&lt;BenefitStart,0,VLOOKUP(ROUND($C$7,0),'Emission Rates'!$C$5:$J$72,J$15,FALSE)),0)*$C29)/$C$9</f>
        <v>3.2214333899999999E-3</v>
      </c>
      <c r="K29" s="554">
        <f>(IFERROR(IF($A29&lt;BenefitStart,0,VLOOKUP(ROUND($C$7,0),'Emission Rates'!$C$74:$J$140,K$15,FALSE)),0)*$C29)/$C$9</f>
        <v>2.1180924539249997</v>
      </c>
      <c r="L29" s="554">
        <f>(IFERROR(IF($A29&lt;BenefitStart,0,VLOOKUP(ROUND($C$7,0),'Emission Rates'!$C$74:$J$140,L$15,FALSE)),0)*$C29)/$C$9</f>
        <v>17.765238715833</v>
      </c>
      <c r="M29" s="554">
        <f>(IFERROR(IF($A29&lt;BenefitStart,0,VLOOKUP(ROUND($C$7,0),'Emission Rates'!$C$74:$J$140,M$15,FALSE)),0)*$C29)/$C$9</f>
        <v>1.6211863535174997</v>
      </c>
      <c r="N29" s="554">
        <f>(IFERROR(IF($A29&lt;BenefitStart,0,VLOOKUP(ROUND($C$7,0),'Emission Rates'!$C$74:$J$140,N$15,FALSE)),0)*$C29)/$C$9</f>
        <v>1.610716695E-4</v>
      </c>
      <c r="O29" s="554">
        <f>(IFERROR(IF($A29&lt;BenefitStart,0,VLOOKUP(ROUND($C$7,0),'Emission Rates'!$C$74:$J$140,O$15,FALSE)),0)*$C29)/$C$9</f>
        <v>0.1132333836585</v>
      </c>
      <c r="P29" s="554">
        <f>(IFERROR(IF($A29&lt;BenefitStart,0,VLOOKUP(ROUND($C$7,0),'Emission Rates'!$C$74:$J$140,P$15,FALSE)),0)*$C29)/$C$9</f>
        <v>1.610716695E-4</v>
      </c>
      <c r="Q29" s="432">
        <f>(IFERROR(IF($A29&lt;BenefitStart,0,VLOOKUP(ROUND($C$7,0),'Emission Rates'!$C$5:$J$72,Q$15,FALSE)),0)*D29)/$C$9</f>
        <v>1.3393061771250001</v>
      </c>
      <c r="R29" s="554">
        <f>(IFERROR(IF($A29&lt;BenefitStart,0,VLOOKUP(ROUND($C$7,0),'Emission Rates'!$C$5:$J$72,R$15,FALSE)),0)*E29)/$C$9</f>
        <v>4.4721720851824854E-4</v>
      </c>
      <c r="S29" s="554">
        <f>(IFERROR(IF($A29&lt;BenefitStart,0,VLOOKUP(ROUND($C$7,0),'Emission Rates'!$C$5:$J$72,S$15,FALSE)),0)*F29)/$C$9</f>
        <v>3.8846449583075643E-5</v>
      </c>
      <c r="T29" s="554">
        <f>(IFERROR(IF($A29&lt;BenefitStart,0,VLOOKUP(ROUND($C$7,0),'Emission Rates'!$C$5:$J$72,T$15,FALSE)),0)*G29)/$C$9</f>
        <v>3.9378801759359998E-10</v>
      </c>
      <c r="U29" s="554">
        <f>(IFERROR(IF($A29&lt;BenefitStart,0,VLOOKUP(ROUND($C$7,0),'Emission Rates'!$C$5:$J$72,U$15,FALSE)),0)*H29)/$C$9</f>
        <v>5.0254360884000002E-10</v>
      </c>
      <c r="V29" s="434">
        <f>(IFERROR(IF($A29&lt;BenefitStart,0,VLOOKUP(ROUND($C$7,0),'Emission Rates'!$C$5:$J$72,V$15,FALSE)),0)*I29)/$C$9</f>
        <v>1.2563590220999998E-9</v>
      </c>
      <c r="W29" s="554">
        <f>(IFERROR(IF($A29&lt;BenefitStart,0,VLOOKUP(ROUND($C$7,0),'Emission Rates'!$C$74:$J$140,W$15,FALSE)),0)*D29)/$C$9</f>
        <v>0.50059337812500004</v>
      </c>
      <c r="X29" s="433">
        <f>(IFERROR(IF($A29&lt;BenefitStart,0,VLOOKUP(ROUND($C$7,0),'Emission Rates'!$C$74:$J$140,X$15,FALSE)),0)*D29)/$C$9</f>
        <v>4.1986650986250007</v>
      </c>
      <c r="Y29" s="433">
        <f>(IFERROR(IF($A29&lt;BenefitStart,0,VLOOKUP(ROUND($C$7,0),'Emission Rates'!$C$74:$J$140,Y$15,FALSE)),0)*E29)/$C$9</f>
        <v>5.7036578289452685E-6</v>
      </c>
      <c r="Z29" s="433">
        <f>(IFERROR(IF($A29&lt;BenefitStart,0,VLOOKUP(ROUND($C$7,0),'Emission Rates'!$C$74:$J$140,Z$15,FALSE)),0)*F29)/$C$9</f>
        <v>1.2711534549435748E-8</v>
      </c>
      <c r="AA29" s="433">
        <f>(IFERROR(IF($A29&lt;BenefitStart,0,VLOOKUP(ROUND($C$7,0),'Emission Rates'!$C$74:$J$140,AA$15,FALSE)),0)*G29)/$C$9</f>
        <v>3.46041220460376E-8</v>
      </c>
      <c r="AB29" s="433">
        <f>(IFERROR(IF($A29&lt;BenefitStart,0,VLOOKUP(ROUND($C$7,0),'Emission Rates'!$C$74:$J$140,AB$15,FALSE)),0)*H29)/$C$9</f>
        <v>1.2885733560000001E-13</v>
      </c>
      <c r="AC29" s="421">
        <f t="shared" si="8"/>
        <v>4.3275172992240005</v>
      </c>
      <c r="AD29" s="422">
        <f t="shared" si="9"/>
        <v>127.11489827714897</v>
      </c>
      <c r="AE29" s="422">
        <f t="shared" si="10"/>
        <v>0.49219617554241685</v>
      </c>
      <c r="AF29" s="422">
        <f t="shared" si="11"/>
        <v>1.2885729622119824E-3</v>
      </c>
      <c r="AG29" s="422">
        <f t="shared" si="12"/>
        <v>0.62817951054745635</v>
      </c>
      <c r="AH29" s="423">
        <f t="shared" si="13"/>
        <v>3.2214321336409778E-3</v>
      </c>
      <c r="AI29" s="422">
        <f t="shared" si="14"/>
        <v>1.6174990757999996</v>
      </c>
      <c r="AJ29" s="422">
        <f t="shared" si="14"/>
        <v>13.566573617208</v>
      </c>
      <c r="AK29" s="422">
        <f t="shared" si="14"/>
        <v>1.6211806498596708</v>
      </c>
      <c r="AL29" s="422">
        <f t="shared" si="14"/>
        <v>1.6105895796545057E-4</v>
      </c>
      <c r="AM29" s="422">
        <f t="shared" si="14"/>
        <v>0.11323334905437796</v>
      </c>
      <c r="AN29" s="422">
        <f t="shared" si="14"/>
        <v>1.6107166937114265E-4</v>
      </c>
      <c r="AO29" s="430">
        <f t="shared" si="1"/>
        <v>121.875</v>
      </c>
      <c r="AP29" s="32">
        <f t="shared" si="2"/>
        <v>65</v>
      </c>
      <c r="AQ29" s="32">
        <f t="shared" si="3"/>
        <v>18100</v>
      </c>
      <c r="AR29" s="32">
        <f t="shared" si="4"/>
        <v>867600</v>
      </c>
      <c r="AS29" s="32">
        <f t="shared" si="5"/>
        <v>49100</v>
      </c>
      <c r="AT29" s="431">
        <f t="shared" si="6"/>
        <v>1415</v>
      </c>
      <c r="AU29" s="32">
        <f t="shared" si="15"/>
        <v>76642.527713761097</v>
      </c>
      <c r="AV29" s="32">
        <f t="shared" si="16"/>
        <v>9144.2956731332033</v>
      </c>
      <c r="AW29" s="427">
        <f t="shared" si="17"/>
        <v>85786.823386894306</v>
      </c>
      <c r="AX29" s="428">
        <f>AV29/(1+0.03)^($A29-'A - Inputs'!$C$6)</f>
        <v>6045.4566911785178</v>
      </c>
      <c r="AY29" s="428">
        <f>AU29/(1+0.07)^($A29-'A - Inputs'!$C$6)</f>
        <v>29723.29364254469</v>
      </c>
      <c r="AZ29" s="429">
        <f t="shared" si="7"/>
        <v>35768.750333723205</v>
      </c>
      <c r="BA29" s="23"/>
      <c r="BB29" s="42">
        <v>2034</v>
      </c>
      <c r="BC29" s="33">
        <v>18100</v>
      </c>
      <c r="BD29" s="33">
        <v>49100</v>
      </c>
      <c r="BE29" s="33">
        <v>867600</v>
      </c>
      <c r="BF29" s="41">
        <f t="shared" si="20"/>
        <v>1415</v>
      </c>
      <c r="BG29" s="33">
        <v>65</v>
      </c>
      <c r="BH29" s="33">
        <f t="shared" si="18"/>
        <v>121.875</v>
      </c>
      <c r="BJ29" s="23"/>
      <c r="BK29" s="23"/>
      <c r="BL29" s="23"/>
      <c r="BM29" s="23"/>
      <c r="BN29" s="23"/>
      <c r="BO29" s="23"/>
      <c r="BP29" s="23"/>
      <c r="BQ29" s="23"/>
      <c r="BR29" s="23"/>
    </row>
    <row r="30" spans="1:70" x14ac:dyDescent="0.25">
      <c r="A30" s="34">
        <f t="shared" si="19"/>
        <v>2035</v>
      </c>
      <c r="B30" s="31">
        <f t="shared" si="19"/>
        <v>14</v>
      </c>
      <c r="C30" s="420">
        <f>'I - Travel Time'!D28*$C$5</f>
        <v>1632540.9697395833</v>
      </c>
      <c r="D30" s="420">
        <f>IF(A30&gt;=BenefitStart,('I - Travel Time'!E28*$C$5),C30)</f>
        <v>391928.17744791671</v>
      </c>
      <c r="E30" s="432">
        <f>(IFERROR(IF($A30&lt;BenefitStart,0,VLOOKUP(ROUND($C$7,0),'Emission Rates'!$C$5:$J$72,E$15,FALSE)),0)*$C30)/$C$9</f>
        <v>5.7436056397378028</v>
      </c>
      <c r="F30" s="554">
        <f>(IFERROR(IF($A30&lt;BenefitStart,0,VLOOKUP(ROUND($C$7,0),'Emission Rates'!$C$5:$J$72,F$15,FALSE)),0)*$C30)/$C$9</f>
        <v>128.83768452039331</v>
      </c>
      <c r="G30" s="554">
        <f>(IFERROR(IF($A30&lt;BenefitStart,0,VLOOKUP(ROUND($C$7,0),'Emission Rates'!$C$5:$J$72,G$15,FALSE)),0)*$C30)/$C$9</f>
        <v>0.49890452035241661</v>
      </c>
      <c r="H30" s="554">
        <f>(IFERROR(IF($A30&lt;BenefitStart,0,VLOOKUP(ROUND($C$7,0),'Emission Rates'!$C$5:$J$72,H$15,FALSE)),0)*$C30)/$C$9</f>
        <v>1.3060327757916665E-3</v>
      </c>
      <c r="I30" s="554">
        <f>(IFERROR(IF($A30&lt;BenefitStart,0,VLOOKUP(ROUND($C$7,0),'Emission Rates'!$C$5:$J$72,I$15,FALSE)),0)*$C30)/$C$9</f>
        <v>0.63669097819843745</v>
      </c>
      <c r="J30" s="434">
        <f>(IFERROR(IF($A30&lt;BenefitStart,0,VLOOKUP(ROUND($C$7,0),'Emission Rates'!$C$5:$J$72,J$15,FALSE)),0)*$C30)/$C$9</f>
        <v>3.2650819394791663E-3</v>
      </c>
      <c r="K30" s="554">
        <f>(IFERROR(IF($A30&lt;BenefitStart,0,VLOOKUP(ROUND($C$7,0),'Emission Rates'!$C$74:$J$140,K$15,FALSE)),0)*$C30)/$C$9</f>
        <v>2.1467913752075516</v>
      </c>
      <c r="L30" s="554">
        <f>(IFERROR(IF($A30&lt;BenefitStart,0,VLOOKUP(ROUND($C$7,0),'Emission Rates'!$C$74:$J$140,L$15,FALSE)),0)*$C30)/$C$9</f>
        <v>18.00594737164576</v>
      </c>
      <c r="M30" s="554">
        <f>(IFERROR(IF($A30&lt;BenefitStart,0,VLOOKUP(ROUND($C$7,0),'Emission Rates'!$C$74:$J$140,M$15,FALSE)),0)*$C30)/$C$9</f>
        <v>1.6431524860428905</v>
      </c>
      <c r="N30" s="554">
        <f>(IFERROR(IF($A30&lt;BenefitStart,0,VLOOKUP(ROUND($C$7,0),'Emission Rates'!$C$74:$J$140,N$15,FALSE)),0)*$C30)/$C$9</f>
        <v>1.6325409697395832E-4</v>
      </c>
      <c r="O30" s="554">
        <f>(IFERROR(IF($A30&lt;BenefitStart,0,VLOOKUP(ROUND($C$7,0),'Emission Rates'!$C$74:$J$140,O$15,FALSE)),0)*$C30)/$C$9</f>
        <v>0.1147676301726927</v>
      </c>
      <c r="P30" s="554">
        <f>(IFERROR(IF($A30&lt;BenefitStart,0,VLOOKUP(ROUND($C$7,0),'Emission Rates'!$C$74:$J$140,P$15,FALSE)),0)*$C30)/$C$9</f>
        <v>1.6325409697395832E-4</v>
      </c>
      <c r="Q30" s="432">
        <f>(IFERROR(IF($A30&lt;BenefitStart,0,VLOOKUP(ROUND($C$7,0),'Emission Rates'!$C$5:$J$72,Q$15,FALSE)),0)*D30)/$C$9</f>
        <v>1.3788817138972607</v>
      </c>
      <c r="R30" s="554">
        <f>(IFERROR(IF($A30&lt;BenefitStart,0,VLOOKUP(ROUND($C$7,0),'Emission Rates'!$C$5:$J$72,R$15,FALSE)),0)*E30)/$C$9</f>
        <v>4.5327674167964778E-4</v>
      </c>
      <c r="S30" s="554">
        <f>(IFERROR(IF($A30&lt;BenefitStart,0,VLOOKUP(ROUND($C$7,0),'Emission Rates'!$C$5:$J$72,S$15,FALSE)),0)*F30)/$C$9</f>
        <v>3.9372796389432199E-5</v>
      </c>
      <c r="T30" s="554">
        <f>(IFERROR(IF($A30&lt;BenefitStart,0,VLOOKUP(ROUND($C$7,0),'Emission Rates'!$C$5:$J$72,T$15,FALSE)),0)*G30)/$C$9</f>
        <v>3.9912361628193327E-10</v>
      </c>
      <c r="U30" s="554">
        <f>(IFERROR(IF($A30&lt;BenefitStart,0,VLOOKUP(ROUND($C$7,0),'Emission Rates'!$C$5:$J$72,U$15,FALSE)),0)*H30)/$C$9</f>
        <v>5.0935278255874993E-10</v>
      </c>
      <c r="V30" s="434">
        <f>(IFERROR(IF($A30&lt;BenefitStart,0,VLOOKUP(ROUND($C$7,0),'Emission Rates'!$C$5:$J$72,V$15,FALSE)),0)*I30)/$C$9</f>
        <v>1.2733819563968749E-9</v>
      </c>
      <c r="W30" s="554">
        <f>(IFERROR(IF($A30&lt;BenefitStart,0,VLOOKUP(ROUND($C$7,0),'Emission Rates'!$C$74:$J$140,W$15,FALSE)),0)*D30)/$C$9</f>
        <v>0.51538555334401048</v>
      </c>
      <c r="X30" s="433">
        <f>(IFERROR(IF($A30&lt;BenefitStart,0,VLOOKUP(ROUND($C$7,0),'Emission Rates'!$C$74:$J$140,X$15,FALSE)),0)*D30)/$C$9</f>
        <v>4.3227326403440527</v>
      </c>
      <c r="Y30" s="433">
        <f>(IFERROR(IF($A30&lt;BenefitStart,0,VLOOKUP(ROUND($C$7,0),'Emission Rates'!$C$74:$J$140,Y$15,FALSE)),0)*E30)/$C$9</f>
        <v>5.7809390763960987E-6</v>
      </c>
      <c r="Z30" s="433">
        <f>(IFERROR(IF($A30&lt;BenefitStart,0,VLOOKUP(ROUND($C$7,0),'Emission Rates'!$C$74:$J$140,Z$15,FALSE)),0)*F30)/$C$9</f>
        <v>1.2883768452039332E-8</v>
      </c>
      <c r="AA30" s="433">
        <f>(IFERROR(IF($A30&lt;BenefitStart,0,VLOOKUP(ROUND($C$7,0),'Emission Rates'!$C$74:$J$140,AA$15,FALSE)),0)*G30)/$C$9</f>
        <v>3.5072987780774892E-8</v>
      </c>
      <c r="AB30" s="433">
        <f>(IFERROR(IF($A30&lt;BenefitStart,0,VLOOKUP(ROUND($C$7,0),'Emission Rates'!$C$74:$J$140,AB$15,FALSE)),0)*H30)/$C$9</f>
        <v>1.3060327757916666E-13</v>
      </c>
      <c r="AC30" s="421">
        <f t="shared" si="8"/>
        <v>4.3647239258405417</v>
      </c>
      <c r="AD30" s="422">
        <f t="shared" si="9"/>
        <v>128.83723124365164</v>
      </c>
      <c r="AE30" s="422">
        <f t="shared" si="10"/>
        <v>0.49886514755602718</v>
      </c>
      <c r="AF30" s="422">
        <f t="shared" si="11"/>
        <v>1.3060323766680502E-3</v>
      </c>
      <c r="AG30" s="422">
        <f t="shared" si="12"/>
        <v>0.63669097768908467</v>
      </c>
      <c r="AH30" s="423">
        <f t="shared" si="13"/>
        <v>3.26508066609721E-3</v>
      </c>
      <c r="AI30" s="422">
        <f t="shared" si="14"/>
        <v>1.6314058218635412</v>
      </c>
      <c r="AJ30" s="422">
        <f t="shared" si="14"/>
        <v>13.683214731301707</v>
      </c>
      <c r="AK30" s="422">
        <f t="shared" si="14"/>
        <v>1.6431467051038142</v>
      </c>
      <c r="AL30" s="422">
        <f t="shared" si="14"/>
        <v>1.6324121320550629E-4</v>
      </c>
      <c r="AM30" s="422">
        <f t="shared" si="14"/>
        <v>0.11476759509970492</v>
      </c>
      <c r="AN30" s="422">
        <f t="shared" si="14"/>
        <v>1.6325409684335505E-4</v>
      </c>
      <c r="AO30" s="430">
        <f t="shared" si="1"/>
        <v>123.75</v>
      </c>
      <c r="AP30" s="32">
        <f t="shared" si="2"/>
        <v>66</v>
      </c>
      <c r="AQ30" s="32">
        <f t="shared" si="3"/>
        <v>18100</v>
      </c>
      <c r="AR30" s="32">
        <f t="shared" si="4"/>
        <v>867600</v>
      </c>
      <c r="AS30" s="32">
        <f t="shared" si="5"/>
        <v>49100</v>
      </c>
      <c r="AT30" s="431">
        <f t="shared" si="6"/>
        <v>1415</v>
      </c>
      <c r="AU30" s="32">
        <f t="shared" si="15"/>
        <v>77688.644373614923</v>
      </c>
      <c r="AV30" s="32">
        <f t="shared" si="16"/>
        <v>9406.349434346921</v>
      </c>
      <c r="AW30" s="427">
        <f t="shared" si="17"/>
        <v>87094.993807961844</v>
      </c>
      <c r="AX30" s="428">
        <f>AV30/(1+0.03)^($A30-'A - Inputs'!$C$6)</f>
        <v>6037.5777658239285</v>
      </c>
      <c r="AY30" s="428">
        <f>AU30/(1+0.07)^($A30-'A - Inputs'!$C$6)</f>
        <v>28157.939924627528</v>
      </c>
      <c r="AZ30" s="429">
        <f t="shared" si="7"/>
        <v>34195.517690451459</v>
      </c>
      <c r="BA30" s="23"/>
      <c r="BB30" s="42">
        <v>2035</v>
      </c>
      <c r="BC30" s="33">
        <v>18100</v>
      </c>
      <c r="BD30" s="33">
        <v>49100</v>
      </c>
      <c r="BE30" s="33">
        <v>867600</v>
      </c>
      <c r="BF30" s="41">
        <f t="shared" si="20"/>
        <v>1415</v>
      </c>
      <c r="BG30" s="33">
        <v>66</v>
      </c>
      <c r="BH30" s="33">
        <f t="shared" si="18"/>
        <v>123.75</v>
      </c>
      <c r="BJ30" s="23"/>
      <c r="BK30" s="23"/>
      <c r="BL30" s="23"/>
      <c r="BM30" s="23"/>
      <c r="BN30" s="23"/>
      <c r="BO30" s="23"/>
      <c r="BP30" s="23"/>
      <c r="BQ30" s="23"/>
      <c r="BR30" s="23"/>
    </row>
    <row r="31" spans="1:70" x14ac:dyDescent="0.25">
      <c r="A31" s="34">
        <f t="shared" si="19"/>
        <v>2036</v>
      </c>
      <c r="B31" s="31">
        <f t="shared" si="19"/>
        <v>15</v>
      </c>
      <c r="C31" s="420">
        <f>'I - Travel Time'!D29*$C$5</f>
        <v>1654497.9527083333</v>
      </c>
      <c r="D31" s="420">
        <f>IF(A31&gt;=BenefitStart,('I - Travel Time'!E29*$C$5),C31)</f>
        <v>403264.65354166663</v>
      </c>
      <c r="E31" s="432">
        <f>(IFERROR(IF($A31&lt;BenefitStart,0,VLOOKUP(ROUND($C$7,0),'Emission Rates'!$C$5:$J$72,E$15,FALSE)),0)*$C31)/$C$9</f>
        <v>5.8208546972184578</v>
      </c>
      <c r="F31" s="554">
        <f>(IFERROR(IF($A31&lt;BenefitStart,0,VLOOKUP(ROUND($C$7,0),'Emission Rates'!$C$5:$J$72,F$15,FALSE)),0)*$C31)/$C$9</f>
        <v>130.5704966808126</v>
      </c>
      <c r="G31" s="554">
        <f>(IFERROR(IF($A31&lt;BenefitStart,0,VLOOKUP(ROUND($C$7,0),'Emission Rates'!$C$5:$J$72,G$15,FALSE)),0)*$C31)/$C$9</f>
        <v>0.50561457434766666</v>
      </c>
      <c r="H31" s="554">
        <f>(IFERROR(IF($A31&lt;BenefitStart,0,VLOOKUP(ROUND($C$7,0),'Emission Rates'!$C$5:$J$72,H$15,FALSE)),0)*$C31)/$C$9</f>
        <v>1.3235983621666667E-3</v>
      </c>
      <c r="I31" s="554">
        <f>(IFERROR(IF($A31&lt;BenefitStart,0,VLOOKUP(ROUND($C$7,0),'Emission Rates'!$C$5:$J$72,I$15,FALSE)),0)*$C31)/$C$9</f>
        <v>0.64525420155625002</v>
      </c>
      <c r="J31" s="434">
        <f>(IFERROR(IF($A31&lt;BenefitStart,0,VLOOKUP(ROUND($C$7,0),'Emission Rates'!$C$5:$J$72,J$15,FALSE)),0)*$C31)/$C$9</f>
        <v>3.3089959054166665E-3</v>
      </c>
      <c r="K31" s="554">
        <f>(IFERROR(IF($A31&lt;BenefitStart,0,VLOOKUP(ROUND($C$7,0),'Emission Rates'!$C$74:$J$140,K$15,FALSE)),0)*$C31)/$C$9</f>
        <v>2.175664807811458</v>
      </c>
      <c r="L31" s="554">
        <f>(IFERROR(IF($A31&lt;BenefitStart,0,VLOOKUP(ROUND($C$7,0),'Emission Rates'!$C$74:$J$140,L$15,FALSE)),0)*$C31)/$C$9</f>
        <v>18.248119719601291</v>
      </c>
      <c r="M31" s="554">
        <f>(IFERROR(IF($A31&lt;BenefitStart,0,VLOOKUP(ROUND($C$7,0),'Emission Rates'!$C$74:$J$140,M$15,FALSE)),0)*$C31)/$C$9</f>
        <v>1.6652521894009373</v>
      </c>
      <c r="N31" s="554">
        <f>(IFERROR(IF($A31&lt;BenefitStart,0,VLOOKUP(ROUND($C$7,0),'Emission Rates'!$C$74:$J$140,N$15,FALSE)),0)*$C31)/$C$9</f>
        <v>1.6544979527083334E-4</v>
      </c>
      <c r="O31" s="554">
        <f>(IFERROR(IF($A31&lt;BenefitStart,0,VLOOKUP(ROUND($C$7,0),'Emission Rates'!$C$74:$J$140,O$15,FALSE)),0)*$C31)/$C$9</f>
        <v>0.11631120607539584</v>
      </c>
      <c r="P31" s="554">
        <f>(IFERROR(IF($A31&lt;BenefitStart,0,VLOOKUP(ROUND($C$7,0),'Emission Rates'!$C$74:$J$140,P$15,FALSE)),0)*$C31)/$C$9</f>
        <v>1.6544979527083334E-4</v>
      </c>
      <c r="Q31" s="432">
        <f>(IFERROR(IF($A31&lt;BenefitStart,0,VLOOKUP(ROUND($C$7,0),'Emission Rates'!$C$5:$J$72,Q$15,FALSE)),0)*D31)/$C$9</f>
        <v>1.4187657040902917</v>
      </c>
      <c r="R31" s="554">
        <f>(IFERROR(IF($A31&lt;BenefitStart,0,VLOOKUP(ROUND($C$7,0),'Emission Rates'!$C$5:$J$72,R$15,FALSE)),0)*E31)/$C$9</f>
        <v>4.5937312142243483E-4</v>
      </c>
      <c r="S31" s="554">
        <f>(IFERROR(IF($A31&lt;BenefitStart,0,VLOOKUP(ROUND($C$7,0),'Emission Rates'!$C$5:$J$72,S$15,FALSE)),0)*F31)/$C$9</f>
        <v>3.9902343785656327E-5</v>
      </c>
      <c r="T31" s="554">
        <f>(IFERROR(IF($A31&lt;BenefitStart,0,VLOOKUP(ROUND($C$7,0),'Emission Rates'!$C$5:$J$72,T$15,FALSE)),0)*G31)/$C$9</f>
        <v>4.0449165947813332E-10</v>
      </c>
      <c r="U31" s="554">
        <f>(IFERROR(IF($A31&lt;BenefitStart,0,VLOOKUP(ROUND($C$7,0),'Emission Rates'!$C$5:$J$72,U$15,FALSE)),0)*H31)/$C$9</f>
        <v>5.162033612450001E-10</v>
      </c>
      <c r="V31" s="434">
        <f>(IFERROR(IF($A31&lt;BenefitStart,0,VLOOKUP(ROUND($C$7,0),'Emission Rates'!$C$5:$J$72,V$15,FALSE)),0)*I31)/$C$9</f>
        <v>1.2905084031125001E-9</v>
      </c>
      <c r="W31" s="554">
        <f>(IFERROR(IF($A31&lt;BenefitStart,0,VLOOKUP(ROUND($C$7,0),'Emission Rates'!$C$74:$J$140,W$15,FALSE)),0)*D31)/$C$9</f>
        <v>0.53029301940729157</v>
      </c>
      <c r="X31" s="433">
        <f>(IFERROR(IF($A31&lt;BenefitStart,0,VLOOKUP(ROUND($C$7,0),'Emission Rates'!$C$74:$J$140,X$15,FALSE)),0)*D31)/$C$9</f>
        <v>4.4477671697724581</v>
      </c>
      <c r="Y31" s="433">
        <f>(IFERROR(IF($A31&lt;BenefitStart,0,VLOOKUP(ROUND($C$7,0),'Emission Rates'!$C$74:$J$140,Y$15,FALSE)),0)*E31)/$C$9</f>
        <v>5.8586902527503773E-6</v>
      </c>
      <c r="Z31" s="433">
        <f>(IFERROR(IF($A31&lt;BenefitStart,0,VLOOKUP(ROUND($C$7,0),'Emission Rates'!$C$74:$J$140,Z$15,FALSE)),0)*F31)/$C$9</f>
        <v>1.3057049668081259E-8</v>
      </c>
      <c r="AA31" s="433">
        <f>(IFERROR(IF($A31&lt;BenefitStart,0,VLOOKUP(ROUND($C$7,0),'Emission Rates'!$C$74:$J$140,AA$15,FALSE)),0)*G31)/$C$9</f>
        <v>3.5544704576640969E-8</v>
      </c>
      <c r="AB31" s="433">
        <f>(IFERROR(IF($A31&lt;BenefitStart,0,VLOOKUP(ROUND($C$7,0),'Emission Rates'!$C$74:$J$140,AB$15,FALSE)),0)*H31)/$C$9</f>
        <v>1.3235983621666668E-13</v>
      </c>
      <c r="AC31" s="421">
        <f t="shared" si="8"/>
        <v>4.4020889931281664</v>
      </c>
      <c r="AD31" s="422">
        <f t="shared" si="9"/>
        <v>130.57003730769117</v>
      </c>
      <c r="AE31" s="422">
        <f t="shared" si="10"/>
        <v>0.50557467200388095</v>
      </c>
      <c r="AF31" s="422">
        <f t="shared" si="11"/>
        <v>1.3235979576750071E-3</v>
      </c>
      <c r="AG31" s="422">
        <f t="shared" si="12"/>
        <v>0.6452542010400466</v>
      </c>
      <c r="AH31" s="423">
        <f t="shared" si="13"/>
        <v>3.3089946149082632E-3</v>
      </c>
      <c r="AI31" s="422">
        <f t="shared" si="14"/>
        <v>1.6453717884041663</v>
      </c>
      <c r="AJ31" s="422">
        <f t="shared" si="14"/>
        <v>13.800352549828833</v>
      </c>
      <c r="AK31" s="422">
        <f t="shared" si="14"/>
        <v>1.6652463307106846</v>
      </c>
      <c r="AL31" s="422">
        <f t="shared" si="14"/>
        <v>1.6543673822116525E-4</v>
      </c>
      <c r="AM31" s="422">
        <f t="shared" si="14"/>
        <v>0.11631117053069126</v>
      </c>
      <c r="AN31" s="422">
        <f t="shared" si="14"/>
        <v>1.654497951384735E-4</v>
      </c>
      <c r="AO31" s="430">
        <f t="shared" si="1"/>
        <v>125.625</v>
      </c>
      <c r="AP31" s="32">
        <f t="shared" si="2"/>
        <v>67</v>
      </c>
      <c r="AQ31" s="32">
        <f t="shared" si="3"/>
        <v>18100</v>
      </c>
      <c r="AR31" s="32">
        <f t="shared" si="4"/>
        <v>867600</v>
      </c>
      <c r="AS31" s="32">
        <f t="shared" si="5"/>
        <v>49100</v>
      </c>
      <c r="AT31" s="431">
        <f t="shared" si="6"/>
        <v>1415</v>
      </c>
      <c r="AU31" s="32">
        <f t="shared" si="15"/>
        <v>78741.234994936603</v>
      </c>
      <c r="AV31" s="32">
        <f t="shared" si="16"/>
        <v>9672.8161204538392</v>
      </c>
      <c r="AW31" s="427">
        <f t="shared" si="17"/>
        <v>88414.051115390437</v>
      </c>
      <c r="AX31" s="428">
        <f>AV31/(1+0.03)^($A31-'A - Inputs'!$C$6)</f>
        <v>6027.7792154221997</v>
      </c>
      <c r="AY31" s="428">
        <f>AU31/(1+0.07)^($A31-'A - Inputs'!$C$6)</f>
        <v>26672.380566017247</v>
      </c>
      <c r="AZ31" s="429">
        <f t="shared" si="7"/>
        <v>32700.159781439448</v>
      </c>
      <c r="BA31" s="23"/>
      <c r="BB31" s="42">
        <v>2036</v>
      </c>
      <c r="BC31" s="33">
        <v>18100</v>
      </c>
      <c r="BD31" s="33">
        <v>49100</v>
      </c>
      <c r="BE31" s="33">
        <v>867600</v>
      </c>
      <c r="BF31" s="41">
        <f t="shared" si="20"/>
        <v>1415</v>
      </c>
      <c r="BG31" s="33">
        <v>67</v>
      </c>
      <c r="BH31" s="33">
        <f t="shared" si="18"/>
        <v>125.625</v>
      </c>
      <c r="BJ31" s="23"/>
      <c r="BK31" s="23"/>
      <c r="BL31" s="23"/>
      <c r="BM31" s="23"/>
      <c r="BN31" s="23"/>
      <c r="BO31" s="23"/>
      <c r="BP31" s="23"/>
      <c r="BQ31" s="23"/>
      <c r="BR31" s="23"/>
    </row>
    <row r="32" spans="1:70" x14ac:dyDescent="0.25">
      <c r="A32" s="34">
        <f t="shared" si="19"/>
        <v>2037</v>
      </c>
      <c r="B32" s="31">
        <f t="shared" si="19"/>
        <v>16</v>
      </c>
      <c r="C32" s="420">
        <f>'I - Travel Time'!D30*$C$5</f>
        <v>1676587.6439062501</v>
      </c>
      <c r="D32" s="420">
        <f>IF(A32&gt;=BenefitStart,('I - Travel Time'!E30*$C$5),C32)</f>
        <v>414688.80328124994</v>
      </c>
      <c r="E32" s="432">
        <f>(IFERROR(IF($A32&lt;BenefitStart,0,VLOOKUP(ROUND($C$7,0),'Emission Rates'!$C$5:$J$72,E$15,FALSE)),0)*$C32)/$C$9</f>
        <v>5.8985706487909697</v>
      </c>
      <c r="F32" s="554">
        <f>(IFERROR(IF($A32&lt;BenefitStart,0,VLOOKUP(ROUND($C$7,0),'Emission Rates'!$C$5:$J$72,F$15,FALSE)),0)*$C32)/$C$9</f>
        <v>132.3137819756154</v>
      </c>
      <c r="G32" s="554">
        <f>(IFERROR(IF($A32&lt;BenefitStart,0,VLOOKUP(ROUND($C$7,0),'Emission Rates'!$C$5:$J$72,G$15,FALSE)),0)*$C32)/$C$9</f>
        <v>0.51236518397774999</v>
      </c>
      <c r="H32" s="554">
        <f>(IFERROR(IF($A32&lt;BenefitStart,0,VLOOKUP(ROUND($C$7,0),'Emission Rates'!$C$5:$J$72,H$15,FALSE)),0)*$C32)/$C$9</f>
        <v>1.3412701151250001E-3</v>
      </c>
      <c r="I32" s="554">
        <f>(IFERROR(IF($A32&lt;BenefitStart,0,VLOOKUP(ROUND($C$7,0),'Emission Rates'!$C$5:$J$72,I$15,FALSE)),0)*$C32)/$C$9</f>
        <v>0.65386918112343761</v>
      </c>
      <c r="J32" s="434">
        <f>(IFERROR(IF($A32&lt;BenefitStart,0,VLOOKUP(ROUND($C$7,0),'Emission Rates'!$C$5:$J$72,J$15,FALSE)),0)*$C32)/$C$9</f>
        <v>3.3531752878125003E-3</v>
      </c>
      <c r="K32" s="554">
        <f>(IFERROR(IF($A32&lt;BenefitStart,0,VLOOKUP(ROUND($C$7,0),'Emission Rates'!$C$74:$J$140,K$15,FALSE)),0)*$C32)/$C$9</f>
        <v>2.2047127517367189</v>
      </c>
      <c r="L32" s="554">
        <f>(IFERROR(IF($A32&lt;BenefitStart,0,VLOOKUP(ROUND($C$7,0),'Emission Rates'!$C$74:$J$140,L$15,FALSE)),0)*$C32)/$C$9</f>
        <v>18.491755759699597</v>
      </c>
      <c r="M32" s="554">
        <f>(IFERROR(IF($A32&lt;BenefitStart,0,VLOOKUP(ROUND($C$7,0),'Emission Rates'!$C$74:$J$140,M$15,FALSE)),0)*$C32)/$C$9</f>
        <v>1.6874854635916405</v>
      </c>
      <c r="N32" s="554">
        <f>(IFERROR(IF($A32&lt;BenefitStart,0,VLOOKUP(ROUND($C$7,0),'Emission Rates'!$C$74:$J$140,N$15,FALSE)),0)*$C32)/$C$9</f>
        <v>1.6765876439062502E-4</v>
      </c>
      <c r="O32" s="554">
        <f>(IFERROR(IF($A32&lt;BenefitStart,0,VLOOKUP(ROUND($C$7,0),'Emission Rates'!$C$74:$J$140,O$15,FALSE)),0)*$C32)/$C$9</f>
        <v>0.11786411136660939</v>
      </c>
      <c r="P32" s="554">
        <f>(IFERROR(IF($A32&lt;BenefitStart,0,VLOOKUP(ROUND($C$7,0),'Emission Rates'!$C$74:$J$140,P$15,FALSE)),0)*$C32)/$C$9</f>
        <v>1.6765876439062502E-4</v>
      </c>
      <c r="Q32" s="432">
        <f>(IFERROR(IF($A32&lt;BenefitStart,0,VLOOKUP(ROUND($C$7,0),'Emission Rates'!$C$5:$J$72,Q$15,FALSE)),0)*D32)/$C$9</f>
        <v>1.4589581477040938</v>
      </c>
      <c r="R32" s="554">
        <f>(IFERROR(IF($A32&lt;BenefitStart,0,VLOOKUP(ROUND($C$7,0),'Emission Rates'!$C$5:$J$72,R$15,FALSE)),0)*E32)/$C$9</f>
        <v>4.6550634774661012E-4</v>
      </c>
      <c r="S32" s="554">
        <f>(IFERROR(IF($A32&lt;BenefitStart,0,VLOOKUP(ROUND($C$7,0),'Emission Rates'!$C$5:$J$72,S$15,FALSE)),0)*F32)/$C$9</f>
        <v>4.043509177174806E-5</v>
      </c>
      <c r="T32" s="554">
        <f>(IFERROR(IF($A32&lt;BenefitStart,0,VLOOKUP(ROUND($C$7,0),'Emission Rates'!$C$5:$J$72,T$15,FALSE)),0)*G32)/$C$9</f>
        <v>4.0989214718219997E-10</v>
      </c>
      <c r="U32" s="554">
        <f>(IFERROR(IF($A32&lt;BenefitStart,0,VLOOKUP(ROUND($C$7,0),'Emission Rates'!$C$5:$J$72,U$15,FALSE)),0)*H32)/$C$9</f>
        <v>5.2309534489875012E-10</v>
      </c>
      <c r="V32" s="434">
        <f>(IFERROR(IF($A32&lt;BenefitStart,0,VLOOKUP(ROUND($C$7,0),'Emission Rates'!$C$5:$J$72,V$15,FALSE)),0)*I32)/$C$9</f>
        <v>1.3077383622468753E-9</v>
      </c>
      <c r="W32" s="554">
        <f>(IFERROR(IF($A32&lt;BenefitStart,0,VLOOKUP(ROUND($C$7,0),'Emission Rates'!$C$74:$J$140,W$15,FALSE)),0)*D32)/$C$9</f>
        <v>0.54531577631484363</v>
      </c>
      <c r="X32" s="433">
        <f>(IFERROR(IF($A32&lt;BenefitStart,0,VLOOKUP(ROUND($C$7,0),'Emission Rates'!$C$74:$J$140,X$15,FALSE)),0)*D32)/$C$9</f>
        <v>4.5737686869102188</v>
      </c>
      <c r="Y32" s="433">
        <f>(IFERROR(IF($A32&lt;BenefitStart,0,VLOOKUP(ROUND($C$7,0),'Emission Rates'!$C$74:$J$140,Y$15,FALSE)),0)*E32)/$C$9</f>
        <v>5.936911358008111E-6</v>
      </c>
      <c r="Z32" s="433">
        <f>(IFERROR(IF($A32&lt;BenefitStart,0,VLOOKUP(ROUND($C$7,0),'Emission Rates'!$C$74:$J$140,Z$15,FALSE)),0)*F32)/$C$9</f>
        <v>1.323137819756154E-8</v>
      </c>
      <c r="AA32" s="433">
        <f>(IFERROR(IF($A32&lt;BenefitStart,0,VLOOKUP(ROUND($C$7,0),'Emission Rates'!$C$74:$J$140,AA$15,FALSE)),0)*G32)/$C$9</f>
        <v>3.6019272433635825E-8</v>
      </c>
      <c r="AB32" s="433">
        <f>(IFERROR(IF($A32&lt;BenefitStart,0,VLOOKUP(ROUND($C$7,0),'Emission Rates'!$C$74:$J$140,AB$15,FALSE)),0)*H32)/$C$9</f>
        <v>1.3412701151250003E-13</v>
      </c>
      <c r="AC32" s="421">
        <f t="shared" si="8"/>
        <v>4.4396125010868754</v>
      </c>
      <c r="AD32" s="422">
        <f t="shared" si="9"/>
        <v>132.31331646926765</v>
      </c>
      <c r="AE32" s="422">
        <f t="shared" si="10"/>
        <v>0.51232474888597823</v>
      </c>
      <c r="AF32" s="422">
        <f t="shared" si="11"/>
        <v>1.341269705232853E-3</v>
      </c>
      <c r="AG32" s="422">
        <f t="shared" si="12"/>
        <v>0.65386918060034227</v>
      </c>
      <c r="AH32" s="423">
        <f t="shared" si="13"/>
        <v>3.3531739800741383E-3</v>
      </c>
      <c r="AI32" s="422">
        <f t="shared" si="14"/>
        <v>1.6593969754218754</v>
      </c>
      <c r="AJ32" s="422">
        <f t="shared" si="14"/>
        <v>13.917987072789378</v>
      </c>
      <c r="AK32" s="422">
        <f t="shared" si="14"/>
        <v>1.6874795266802824</v>
      </c>
      <c r="AL32" s="422">
        <f t="shared" si="14"/>
        <v>1.6764553301242745E-4</v>
      </c>
      <c r="AM32" s="422">
        <f t="shared" si="14"/>
        <v>0.11786407534733695</v>
      </c>
      <c r="AN32" s="422">
        <f t="shared" si="14"/>
        <v>1.6765876425649801E-4</v>
      </c>
      <c r="AO32" s="430">
        <f t="shared" si="1"/>
        <v>129.375</v>
      </c>
      <c r="AP32" s="32">
        <f t="shared" si="2"/>
        <v>69</v>
      </c>
      <c r="AQ32" s="32">
        <f t="shared" si="3"/>
        <v>18100</v>
      </c>
      <c r="AR32" s="32">
        <f t="shared" si="4"/>
        <v>867600</v>
      </c>
      <c r="AS32" s="32">
        <f t="shared" si="5"/>
        <v>49100</v>
      </c>
      <c r="AT32" s="431">
        <f t="shared" si="6"/>
        <v>1415</v>
      </c>
      <c r="AU32" s="32">
        <f t="shared" si="15"/>
        <v>79811.73644483852</v>
      </c>
      <c r="AV32" s="32">
        <f t="shared" si="16"/>
        <v>10089.959944401935</v>
      </c>
      <c r="AW32" s="427">
        <f t="shared" si="17"/>
        <v>89901.69638924046</v>
      </c>
      <c r="AX32" s="428">
        <f>AV32/(1+0.03)^($A32-'A - Inputs'!$C$6)</f>
        <v>6104.5917042781639</v>
      </c>
      <c r="AY32" s="428">
        <f>AU32/(1+0.07)^($A32-'A - Inputs'!$C$6)</f>
        <v>25266.351816906961</v>
      </c>
      <c r="AZ32" s="429">
        <f t="shared" si="7"/>
        <v>31370.943521185123</v>
      </c>
      <c r="BA32" s="23"/>
      <c r="BB32" s="42">
        <v>2037</v>
      </c>
      <c r="BC32" s="33">
        <v>18100</v>
      </c>
      <c r="BD32" s="33">
        <v>49100</v>
      </c>
      <c r="BE32" s="33">
        <v>867600</v>
      </c>
      <c r="BF32" s="41">
        <f t="shared" si="20"/>
        <v>1415</v>
      </c>
      <c r="BG32" s="33">
        <v>69</v>
      </c>
      <c r="BH32" s="33">
        <f t="shared" si="18"/>
        <v>129.375</v>
      </c>
      <c r="BJ32" s="23"/>
      <c r="BK32" s="23"/>
      <c r="BL32" s="23"/>
      <c r="BM32" s="23"/>
      <c r="BN32" s="23"/>
      <c r="BO32" s="23"/>
      <c r="BP32" s="23"/>
      <c r="BQ32" s="23"/>
      <c r="BR32" s="23"/>
    </row>
    <row r="33" spans="1:70" x14ac:dyDescent="0.25">
      <c r="A33" s="34">
        <f t="shared" si="19"/>
        <v>2038</v>
      </c>
      <c r="B33" s="31">
        <f t="shared" si="19"/>
        <v>17</v>
      </c>
      <c r="C33" s="420">
        <f>'I - Travel Time'!D31*$C$5</f>
        <v>1698810.0433333332</v>
      </c>
      <c r="D33" s="420">
        <f>IF(A33&gt;=BenefitStart,('I - Travel Time'!E31*$C$5),C33)</f>
        <v>426200.62666666665</v>
      </c>
      <c r="E33" s="432">
        <f>(IFERROR(IF($A33&lt;BenefitStart,0,VLOOKUP(ROUND($C$7,0),'Emission Rates'!$C$5:$J$72,E$15,FALSE)),0)*$C33)/$C$9</f>
        <v>5.9767534944553331</v>
      </c>
      <c r="F33" s="554">
        <f>(IFERROR(IF($A33&lt;BenefitStart,0,VLOOKUP(ROUND($C$7,0),'Emission Rates'!$C$5:$J$72,F$15,FALSE)),0)*$C33)/$C$9</f>
        <v>134.06754040480166</v>
      </c>
      <c r="G33" s="554">
        <f>(IFERROR(IF($A33&lt;BenefitStart,0,VLOOKUP(ROUND($C$7,0),'Emission Rates'!$C$5:$J$72,G$15,FALSE)),0)*$C33)/$C$9</f>
        <v>0.51915634924266663</v>
      </c>
      <c r="H33" s="554">
        <f>(IFERROR(IF($A33&lt;BenefitStart,0,VLOOKUP(ROUND($C$7,0),'Emission Rates'!$C$5:$J$72,H$15,FALSE)),0)*$C33)/$C$9</f>
        <v>1.3590480346666665E-3</v>
      </c>
      <c r="I33" s="554">
        <f>(IFERROR(IF($A33&lt;BenefitStart,0,VLOOKUP(ROUND($C$7,0),'Emission Rates'!$C$5:$J$72,I$15,FALSE)),0)*$C33)/$C$9</f>
        <v>0.66253591689999991</v>
      </c>
      <c r="J33" s="434">
        <f>(IFERROR(IF($A33&lt;BenefitStart,0,VLOOKUP(ROUND($C$7,0),'Emission Rates'!$C$5:$J$72,J$15,FALSE)),0)*$C33)/$C$9</f>
        <v>3.3976200866666665E-3</v>
      </c>
      <c r="K33" s="554">
        <f>(IFERROR(IF($A33&lt;BenefitStart,0,VLOOKUP(ROUND($C$7,0),'Emission Rates'!$C$74:$J$140,K$15,FALSE)),0)*$C33)/$C$9</f>
        <v>2.2339352069833329</v>
      </c>
      <c r="L33" s="554">
        <f>(IFERROR(IF($A33&lt;BenefitStart,0,VLOOKUP(ROUND($C$7,0),'Emission Rates'!$C$74:$J$140,L$15,FALSE)),0)*$C33)/$C$9</f>
        <v>18.736855491940666</v>
      </c>
      <c r="M33" s="554">
        <f>(IFERROR(IF($A33&lt;BenefitStart,0,VLOOKUP(ROUND($C$7,0),'Emission Rates'!$C$74:$J$140,M$15,FALSE)),0)*$C33)/$C$9</f>
        <v>1.7098523086149997</v>
      </c>
      <c r="N33" s="554">
        <f>(IFERROR(IF($A33&lt;BenefitStart,0,VLOOKUP(ROUND($C$7,0),'Emission Rates'!$C$74:$J$140,N$15,FALSE)),0)*$C33)/$C$9</f>
        <v>1.6988100433333332E-4</v>
      </c>
      <c r="O33" s="554">
        <f>(IFERROR(IF($A33&lt;BenefitStart,0,VLOOKUP(ROUND($C$7,0),'Emission Rates'!$C$74:$J$140,O$15,FALSE)),0)*$C33)/$C$9</f>
        <v>0.11942634604633333</v>
      </c>
      <c r="P33" s="554">
        <f>(IFERROR(IF($A33&lt;BenefitStart,0,VLOOKUP(ROUND($C$7,0),'Emission Rates'!$C$74:$J$140,P$15,FALSE)),0)*$C33)/$C$9</f>
        <v>1.6988100433333332E-4</v>
      </c>
      <c r="Q33" s="432">
        <f>(IFERROR(IF($A33&lt;BenefitStart,0,VLOOKUP(ROUND($C$7,0),'Emission Rates'!$C$5:$J$72,Q$15,FALSE)),0)*D33)/$C$9</f>
        <v>1.4994590447386666</v>
      </c>
      <c r="R33" s="554">
        <f>(IFERROR(IF($A33&lt;BenefitStart,0,VLOOKUP(ROUND($C$7,0),'Emission Rates'!$C$5:$J$72,R$15,FALSE)),0)*E33)/$C$9</f>
        <v>4.7167642065217317E-4</v>
      </c>
      <c r="S33" s="554">
        <f>(IFERROR(IF($A33&lt;BenefitStart,0,VLOOKUP(ROUND($C$7,0),'Emission Rates'!$C$5:$J$72,S$15,FALSE)),0)*F33)/$C$9</f>
        <v>4.0971040347707385E-5</v>
      </c>
      <c r="T33" s="554">
        <f>(IFERROR(IF($A33&lt;BenefitStart,0,VLOOKUP(ROUND($C$7,0),'Emission Rates'!$C$5:$J$72,T$15,FALSE)),0)*G33)/$C$9</f>
        <v>4.1532507939413332E-10</v>
      </c>
      <c r="U33" s="554">
        <f>(IFERROR(IF($A33&lt;BenefitStart,0,VLOOKUP(ROUND($C$7,0),'Emission Rates'!$C$5:$J$72,U$15,FALSE)),0)*H33)/$C$9</f>
        <v>5.300287335199999E-10</v>
      </c>
      <c r="V33" s="434">
        <f>(IFERROR(IF($A33&lt;BenefitStart,0,VLOOKUP(ROUND($C$7,0),'Emission Rates'!$C$5:$J$72,V$15,FALSE)),0)*I33)/$C$9</f>
        <v>1.3250718337999998E-9</v>
      </c>
      <c r="W33" s="554">
        <f>(IFERROR(IF($A33&lt;BenefitStart,0,VLOOKUP(ROUND($C$7,0),'Emission Rates'!$C$74:$J$140,W$15,FALSE)),0)*D33)/$C$9</f>
        <v>0.56045382406666666</v>
      </c>
      <c r="X33" s="433">
        <f>(IFERROR(IF($A33&lt;BenefitStart,0,VLOOKUP(ROUND($C$7,0),'Emission Rates'!$C$74:$J$140,X$15,FALSE)),0)*D33)/$C$9</f>
        <v>4.7007371917573337</v>
      </c>
      <c r="Y33" s="433">
        <f>(IFERROR(IF($A33&lt;BenefitStart,0,VLOOKUP(ROUND($C$7,0),'Emission Rates'!$C$74:$J$140,Y$15,FALSE)),0)*E33)/$C$9</f>
        <v>6.0156023921692921E-6</v>
      </c>
      <c r="Z33" s="433">
        <f>(IFERROR(IF($A33&lt;BenefitStart,0,VLOOKUP(ROUND($C$7,0),'Emission Rates'!$C$74:$J$140,Z$15,FALSE)),0)*F33)/$C$9</f>
        <v>1.3406754040480166E-8</v>
      </c>
      <c r="AA33" s="433">
        <f>(IFERROR(IF($A33&lt;BenefitStart,0,VLOOKUP(ROUND($C$7,0),'Emission Rates'!$C$74:$J$140,AA$15,FALSE)),0)*G33)/$C$9</f>
        <v>3.6496691351759465E-8</v>
      </c>
      <c r="AB33" s="433">
        <f>(IFERROR(IF($A33&lt;BenefitStart,0,VLOOKUP(ROUND($C$7,0),'Emission Rates'!$C$74:$J$140,AB$15,FALSE)),0)*H33)/$C$9</f>
        <v>1.3590480346666667E-13</v>
      </c>
      <c r="AC33" s="421">
        <f t="shared" si="8"/>
        <v>4.4772944497166662</v>
      </c>
      <c r="AD33" s="422">
        <f t="shared" si="9"/>
        <v>134.067068728381</v>
      </c>
      <c r="AE33" s="422">
        <f t="shared" si="10"/>
        <v>0.5191153782023189</v>
      </c>
      <c r="AF33" s="422">
        <f t="shared" si="11"/>
        <v>1.3590476193415871E-3</v>
      </c>
      <c r="AG33" s="422">
        <f t="shared" si="12"/>
        <v>0.66253591636997122</v>
      </c>
      <c r="AH33" s="423">
        <f t="shared" si="13"/>
        <v>3.3976187615948326E-3</v>
      </c>
      <c r="AI33" s="422">
        <f t="shared" si="14"/>
        <v>1.6734813829166661</v>
      </c>
      <c r="AJ33" s="422">
        <f t="shared" si="14"/>
        <v>14.036118300183333</v>
      </c>
      <c r="AK33" s="422">
        <f t="shared" si="14"/>
        <v>1.7098462930126075</v>
      </c>
      <c r="AL33" s="422">
        <f t="shared" si="14"/>
        <v>1.6986759757929283E-4</v>
      </c>
      <c r="AM33" s="422">
        <f t="shared" si="14"/>
        <v>0.11942630954964198</v>
      </c>
      <c r="AN33" s="422">
        <f t="shared" si="14"/>
        <v>1.6988100419742852E-4</v>
      </c>
      <c r="AO33" s="430">
        <f t="shared" si="1"/>
        <v>131.25</v>
      </c>
      <c r="AP33" s="32">
        <f t="shared" si="2"/>
        <v>70</v>
      </c>
      <c r="AQ33" s="32">
        <f t="shared" si="3"/>
        <v>18100</v>
      </c>
      <c r="AR33" s="32">
        <f t="shared" si="4"/>
        <v>867600</v>
      </c>
      <c r="AS33" s="32">
        <f t="shared" si="5"/>
        <v>49100</v>
      </c>
      <c r="AT33" s="431">
        <f t="shared" si="6"/>
        <v>1415</v>
      </c>
      <c r="AU33" s="32">
        <f t="shared" si="15"/>
        <v>80877.375724045458</v>
      </c>
      <c r="AV33" s="32">
        <f t="shared" si="16"/>
        <v>10367.223091999502</v>
      </c>
      <c r="AW33" s="427">
        <f t="shared" si="17"/>
        <v>91244.598816044963</v>
      </c>
      <c r="AX33" s="428">
        <f>AV33/(1+0.03)^($A33-'A - Inputs'!$C$6)</f>
        <v>6089.6509401955127</v>
      </c>
      <c r="AY33" s="428">
        <f>AU33/(1+0.07)^($A33-'A - Inputs'!$C$6)</f>
        <v>23928.697123529448</v>
      </c>
      <c r="AZ33" s="429">
        <f t="shared" si="7"/>
        <v>30018.34806372496</v>
      </c>
      <c r="BA33" s="23"/>
      <c r="BB33" s="42">
        <v>2038</v>
      </c>
      <c r="BC33" s="33">
        <v>18100</v>
      </c>
      <c r="BD33" s="33">
        <v>49100</v>
      </c>
      <c r="BE33" s="33">
        <v>867600</v>
      </c>
      <c r="BF33" s="41">
        <f t="shared" si="20"/>
        <v>1415</v>
      </c>
      <c r="BG33" s="33">
        <v>70</v>
      </c>
      <c r="BH33" s="33">
        <f t="shared" si="18"/>
        <v>131.25</v>
      </c>
      <c r="BJ33" s="23"/>
      <c r="BK33" s="23"/>
      <c r="BL33" s="23"/>
      <c r="BM33" s="23"/>
      <c r="BN33" s="23"/>
      <c r="BO33" s="23"/>
      <c r="BP33" s="23"/>
      <c r="BQ33" s="23"/>
      <c r="BR33" s="23"/>
    </row>
    <row r="34" spans="1:70" x14ac:dyDescent="0.25">
      <c r="A34" s="34">
        <f t="shared" si="19"/>
        <v>2039</v>
      </c>
      <c r="B34" s="31">
        <f t="shared" si="19"/>
        <v>18</v>
      </c>
      <c r="C34" s="420">
        <f>'I - Travel Time'!D32*$C$5</f>
        <v>1721165.150989583</v>
      </c>
      <c r="D34" s="420">
        <f>IF(A34&gt;=BenefitStart,('I - Travel Time'!E32*$C$5),C34)</f>
        <v>437800.12369791669</v>
      </c>
      <c r="E34" s="432">
        <f>(IFERROR(IF($A34&lt;BenefitStart,0,VLOOKUP(ROUND($C$7,0),'Emission Rates'!$C$5:$J$72,E$15,FALSE)),0)*$C34)/$C$9</f>
        <v>6.0554032342115507</v>
      </c>
      <c r="F34" s="554">
        <f>(IFERROR(IF($A34&lt;BenefitStart,0,VLOOKUP(ROUND($C$7,0),'Emission Rates'!$C$5:$J$72,F$15,FALSE)),0)*$C34)/$C$9</f>
        <v>135.83177196837138</v>
      </c>
      <c r="G34" s="554">
        <f>(IFERROR(IF($A34&lt;BenefitStart,0,VLOOKUP(ROUND($C$7,0),'Emission Rates'!$C$5:$J$72,G$15,FALSE)),0)*$C34)/$C$9</f>
        <v>0.52598807014241655</v>
      </c>
      <c r="H34" s="554">
        <f>(IFERROR(IF($A34&lt;BenefitStart,0,VLOOKUP(ROUND($C$7,0),'Emission Rates'!$C$5:$J$72,H$15,FALSE)),0)*$C34)/$C$9</f>
        <v>1.3769321207916664E-3</v>
      </c>
      <c r="I34" s="554">
        <f>(IFERROR(IF($A34&lt;BenefitStart,0,VLOOKUP(ROUND($C$7,0),'Emission Rates'!$C$5:$J$72,I$15,FALSE)),0)*$C34)/$C$9</f>
        <v>0.67125440888593746</v>
      </c>
      <c r="J34" s="434">
        <f>(IFERROR(IF($A34&lt;BenefitStart,0,VLOOKUP(ROUND($C$7,0),'Emission Rates'!$C$5:$J$72,J$15,FALSE)),0)*$C34)/$C$9</f>
        <v>3.442330301979166E-3</v>
      </c>
      <c r="K34" s="554">
        <f>(IFERROR(IF($A34&lt;BenefitStart,0,VLOOKUP(ROUND($C$7,0),'Emission Rates'!$C$74:$J$140,K$15,FALSE)),0)*$C34)/$C$9</f>
        <v>2.2633321735513015</v>
      </c>
      <c r="L34" s="554">
        <f>(IFERROR(IF($A34&lt;BenefitStart,0,VLOOKUP(ROUND($C$7,0),'Emission Rates'!$C$74:$J$140,L$15,FALSE)),0)*$C34)/$C$9</f>
        <v>18.983418916324506</v>
      </c>
      <c r="M34" s="554">
        <f>(IFERROR(IF($A34&lt;BenefitStart,0,VLOOKUP(ROUND($C$7,0),'Emission Rates'!$C$74:$J$140,M$15,FALSE)),0)*$C34)/$C$9</f>
        <v>1.7323527244710151</v>
      </c>
      <c r="N34" s="554">
        <f>(IFERROR(IF($A34&lt;BenefitStart,0,VLOOKUP(ROUND($C$7,0),'Emission Rates'!$C$74:$J$140,N$15,FALSE)),0)*$C34)/$C$9</f>
        <v>1.721165150989583E-4</v>
      </c>
      <c r="O34" s="554">
        <f>(IFERROR(IF($A34&lt;BenefitStart,0,VLOOKUP(ROUND($C$7,0),'Emission Rates'!$C$74:$J$140,O$15,FALSE)),0)*$C34)/$C$9</f>
        <v>0.12099791011456769</v>
      </c>
      <c r="P34" s="554">
        <f>(IFERROR(IF($A34&lt;BenefitStart,0,VLOOKUP(ROUND($C$7,0),'Emission Rates'!$C$74:$J$140,P$15,FALSE)),0)*$C34)/$C$9</f>
        <v>1.721165150989583E-4</v>
      </c>
      <c r="Q34" s="432">
        <f>(IFERROR(IF($A34&lt;BenefitStart,0,VLOOKUP(ROUND($C$7,0),'Emission Rates'!$C$5:$J$72,Q$15,FALSE)),0)*D34)/$C$9</f>
        <v>1.5402683951940106</v>
      </c>
      <c r="R34" s="554">
        <f>(IFERROR(IF($A34&lt;BenefitStart,0,VLOOKUP(ROUND($C$7,0),'Emission Rates'!$C$5:$J$72,R$15,FALSE)),0)*E34)/$C$9</f>
        <v>4.7788334013912424E-4</v>
      </c>
      <c r="S34" s="554">
        <f>(IFERROR(IF($A34&lt;BenefitStart,0,VLOOKUP(ROUND($C$7,0),'Emission Rates'!$C$5:$J$72,S$15,FALSE)),0)*F34)/$C$9</f>
        <v>4.1510189513534295E-5</v>
      </c>
      <c r="T34" s="554">
        <f>(IFERROR(IF($A34&lt;BenefitStart,0,VLOOKUP(ROUND($C$7,0),'Emission Rates'!$C$5:$J$72,T$15,FALSE)),0)*G34)/$C$9</f>
        <v>4.2079045611393328E-10</v>
      </c>
      <c r="U34" s="554">
        <f>(IFERROR(IF($A34&lt;BenefitStart,0,VLOOKUP(ROUND($C$7,0),'Emission Rates'!$C$5:$J$72,U$15,FALSE)),0)*H34)/$C$9</f>
        <v>5.3700352710874983E-10</v>
      </c>
      <c r="V34" s="434">
        <f>(IFERROR(IF($A34&lt;BenefitStart,0,VLOOKUP(ROUND($C$7,0),'Emission Rates'!$C$5:$J$72,V$15,FALSE)),0)*I34)/$C$9</f>
        <v>1.3425088177718749E-9</v>
      </c>
      <c r="W34" s="554">
        <f>(IFERROR(IF($A34&lt;BenefitStart,0,VLOOKUP(ROUND($C$7,0),'Emission Rates'!$C$74:$J$140,W$15,FALSE)),0)*D34)/$C$9</f>
        <v>0.57570716266276045</v>
      </c>
      <c r="X34" s="433">
        <f>(IFERROR(IF($A34&lt;BenefitStart,0,VLOOKUP(ROUND($C$7,0),'Emission Rates'!$C$74:$J$140,X$15,FALSE)),0)*D34)/$C$9</f>
        <v>4.828672684313803</v>
      </c>
      <c r="Y34" s="433">
        <f>(IFERROR(IF($A34&lt;BenefitStart,0,VLOOKUP(ROUND($C$7,0),'Emission Rates'!$C$74:$J$140,Y$15,FALSE)),0)*E34)/$C$9</f>
        <v>6.0947633552339249E-6</v>
      </c>
      <c r="Z34" s="433">
        <f>(IFERROR(IF($A34&lt;BenefitStart,0,VLOOKUP(ROUND($C$7,0),'Emission Rates'!$C$74:$J$140,Z$15,FALSE)),0)*F34)/$C$9</f>
        <v>1.3583177196837139E-8</v>
      </c>
      <c r="AA34" s="433">
        <f>(IFERROR(IF($A34&lt;BenefitStart,0,VLOOKUP(ROUND($C$7,0),'Emission Rates'!$C$74:$J$140,AA$15,FALSE)),0)*G34)/$C$9</f>
        <v>3.6976961331011885E-8</v>
      </c>
      <c r="AB34" s="433">
        <f>(IFERROR(IF($A34&lt;BenefitStart,0,VLOOKUP(ROUND($C$7,0),'Emission Rates'!$C$74:$J$140,AB$15,FALSE)),0)*H34)/$C$9</f>
        <v>1.3769321207916664E-13</v>
      </c>
      <c r="AC34" s="421">
        <f t="shared" si="8"/>
        <v>4.5151348390175396</v>
      </c>
      <c r="AD34" s="422">
        <f t="shared" si="9"/>
        <v>135.83129408503123</v>
      </c>
      <c r="AE34" s="422">
        <f t="shared" si="10"/>
        <v>0.52594655995290307</v>
      </c>
      <c r="AF34" s="422">
        <f t="shared" si="11"/>
        <v>1.3769317000012103E-3</v>
      </c>
      <c r="AG34" s="422">
        <f t="shared" si="12"/>
        <v>0.67125440834893391</v>
      </c>
      <c r="AH34" s="423">
        <f t="shared" si="13"/>
        <v>3.4423289594703484E-3</v>
      </c>
      <c r="AI34" s="422">
        <f t="shared" si="14"/>
        <v>1.6876250108885409</v>
      </c>
      <c r="AJ34" s="422">
        <f t="shared" si="14"/>
        <v>14.154746232010703</v>
      </c>
      <c r="AK34" s="422">
        <f t="shared" si="14"/>
        <v>1.7323466297076597</v>
      </c>
      <c r="AL34" s="422">
        <f t="shared" si="14"/>
        <v>1.7210293192176145E-4</v>
      </c>
      <c r="AM34" s="422">
        <f t="shared" si="14"/>
        <v>0.12099787313760636</v>
      </c>
      <c r="AN34" s="422">
        <f t="shared" si="14"/>
        <v>1.7211651496126508E-4</v>
      </c>
      <c r="AO34" s="430">
        <f t="shared" si="1"/>
        <v>133.125</v>
      </c>
      <c r="AP34" s="32">
        <f t="shared" si="2"/>
        <v>71</v>
      </c>
      <c r="AQ34" s="32">
        <f t="shared" si="3"/>
        <v>18100</v>
      </c>
      <c r="AR34" s="32">
        <f t="shared" si="4"/>
        <v>867600</v>
      </c>
      <c r="AS34" s="32">
        <f t="shared" si="5"/>
        <v>49100</v>
      </c>
      <c r="AT34" s="431">
        <f t="shared" si="6"/>
        <v>1415</v>
      </c>
      <c r="AU34" s="32">
        <f t="shared" si="15"/>
        <v>81949.493045866751</v>
      </c>
      <c r="AV34" s="32">
        <f t="shared" si="16"/>
        <v>10649.008862509976</v>
      </c>
      <c r="AW34" s="427">
        <f t="shared" si="17"/>
        <v>92598.501908376726</v>
      </c>
      <c r="AX34" s="428">
        <f>AV34/(1+0.03)^($A34-'A - Inputs'!$C$6)</f>
        <v>6072.9809536857911</v>
      </c>
      <c r="AY34" s="428">
        <f>AU34/(1+0.07)^($A34-'A - Inputs'!$C$6)</f>
        <v>22659.717713195998</v>
      </c>
      <c r="AZ34" s="429">
        <f t="shared" si="7"/>
        <v>28732.698666881788</v>
      </c>
      <c r="BA34" s="23"/>
      <c r="BB34" s="42">
        <v>2039</v>
      </c>
      <c r="BC34" s="33">
        <v>18100</v>
      </c>
      <c r="BD34" s="33">
        <v>49100</v>
      </c>
      <c r="BE34" s="33">
        <v>867600</v>
      </c>
      <c r="BF34" s="41">
        <f t="shared" si="20"/>
        <v>1415</v>
      </c>
      <c r="BG34" s="33">
        <v>71</v>
      </c>
      <c r="BH34" s="33">
        <f t="shared" si="18"/>
        <v>133.125</v>
      </c>
      <c r="BJ34" s="23"/>
      <c r="BK34" s="23"/>
      <c r="BL34" s="23"/>
      <c r="BM34" s="23"/>
      <c r="BN34" s="23"/>
      <c r="BO34" s="23"/>
      <c r="BP34" s="23"/>
      <c r="BQ34" s="23"/>
      <c r="BR34" s="23"/>
    </row>
    <row r="35" spans="1:70" x14ac:dyDescent="0.25">
      <c r="A35" s="34">
        <f t="shared" ref="A35:B46" si="21">A34+1</f>
        <v>2040</v>
      </c>
      <c r="B35" s="31">
        <f t="shared" si="21"/>
        <v>19</v>
      </c>
      <c r="C35" s="420">
        <f>'I - Travel Time'!D33*$C$5</f>
        <v>1743652.9668749997</v>
      </c>
      <c r="D35" s="420">
        <f>IF(A35&gt;=BenefitStart,('I - Travel Time'!E33*$C$5),C35)</f>
        <v>449487.29437499994</v>
      </c>
      <c r="E35" s="432">
        <f>(IFERROR(IF($A35&lt;BenefitStart,0,VLOOKUP(ROUND($C$7,0),'Emission Rates'!$C$5:$J$72,E$15,FALSE)),0)*$C35)/$C$9</f>
        <v>6.1345198680596242</v>
      </c>
      <c r="F35" s="554">
        <f>(IFERROR(IF($A35&lt;BenefitStart,0,VLOOKUP(ROUND($C$7,0),'Emission Rates'!$C$5:$J$72,F$15,FALSE)),0)*$C35)/$C$9</f>
        <v>137.60647666632465</v>
      </c>
      <c r="G35" s="554">
        <f>(IFERROR(IF($A35&lt;BenefitStart,0,VLOOKUP(ROUND($C$7,0),'Emission Rates'!$C$5:$J$72,G$15,FALSE)),0)*$C35)/$C$9</f>
        <v>0.53286034667699977</v>
      </c>
      <c r="H35" s="554">
        <f>(IFERROR(IF($A35&lt;BenefitStart,0,VLOOKUP(ROUND($C$7,0),'Emission Rates'!$C$5:$J$72,H$15,FALSE)),0)*$C35)/$C$9</f>
        <v>1.3949223734999999E-3</v>
      </c>
      <c r="I35" s="554">
        <f>(IFERROR(IF($A35&lt;BenefitStart,0,VLOOKUP(ROUND($C$7,0),'Emission Rates'!$C$5:$J$72,I$15,FALSE)),0)*$C35)/$C$9</f>
        <v>0.68002465708124982</v>
      </c>
      <c r="J35" s="434">
        <f>(IFERROR(IF($A35&lt;BenefitStart,0,VLOOKUP(ROUND($C$7,0),'Emission Rates'!$C$5:$J$72,J$15,FALSE)),0)*$C35)/$C$9</f>
        <v>3.4873059337499996E-3</v>
      </c>
      <c r="K35" s="554">
        <f>(IFERROR(IF($A35&lt;BenefitStart,0,VLOOKUP(ROUND($C$7,0),'Emission Rates'!$C$74:$J$140,K$15,FALSE)),0)*$C35)/$C$9</f>
        <v>2.2929036514406245</v>
      </c>
      <c r="L35" s="554">
        <f>(IFERROR(IF($A35&lt;BenefitStart,0,VLOOKUP(ROUND($C$7,0),'Emission Rates'!$C$74:$J$140,L$15,FALSE)),0)*$C35)/$C$9</f>
        <v>19.231446032851121</v>
      </c>
      <c r="M35" s="554">
        <f>(IFERROR(IF($A35&lt;BenefitStart,0,VLOOKUP(ROUND($C$7,0),'Emission Rates'!$C$74:$J$140,M$15,FALSE)),0)*$C35)/$C$9</f>
        <v>1.7549867111596871</v>
      </c>
      <c r="N35" s="554">
        <f>(IFERROR(IF($A35&lt;BenefitStart,0,VLOOKUP(ROUND($C$7,0),'Emission Rates'!$C$74:$J$140,N$15,FALSE)),0)*$C35)/$C$9</f>
        <v>1.7436529668749998E-4</v>
      </c>
      <c r="O35" s="554">
        <f>(IFERROR(IF($A35&lt;BenefitStart,0,VLOOKUP(ROUND($C$7,0),'Emission Rates'!$C$74:$J$140,O$15,FALSE)),0)*$C35)/$C$9</f>
        <v>0.12257880357131248</v>
      </c>
      <c r="P35" s="554">
        <f>(IFERROR(IF($A35&lt;BenefitStart,0,VLOOKUP(ROUND($C$7,0),'Emission Rates'!$C$74:$J$140,P$15,FALSE)),0)*$C35)/$C$9</f>
        <v>1.7436529668749998E-4</v>
      </c>
      <c r="Q35" s="432">
        <f>(IFERROR(IF($A35&lt;BenefitStart,0,VLOOKUP(ROUND($C$7,0),'Emission Rates'!$C$5:$J$72,Q$15,FALSE)),0)*D35)/$C$9</f>
        <v>1.5813861990701248</v>
      </c>
      <c r="R35" s="554">
        <f>(IFERROR(IF($A35&lt;BenefitStart,0,VLOOKUP(ROUND($C$7,0),'Emission Rates'!$C$5:$J$72,R$15,FALSE)),0)*E35)/$C$9</f>
        <v>4.8412710620746345E-4</v>
      </c>
      <c r="S35" s="554">
        <f>(IFERROR(IF($A35&lt;BenefitStart,0,VLOOKUP(ROUND($C$7,0),'Emission Rates'!$C$5:$J$72,S$15,FALSE)),0)*F35)/$C$9</f>
        <v>4.205253926922881E-5</v>
      </c>
      <c r="T35" s="554">
        <f>(IFERROR(IF($A35&lt;BenefitStart,0,VLOOKUP(ROUND($C$7,0),'Emission Rates'!$C$5:$J$72,T$15,FALSE)),0)*G35)/$C$9</f>
        <v>4.2628827734159989E-10</v>
      </c>
      <c r="U35" s="554">
        <f>(IFERROR(IF($A35&lt;BenefitStart,0,VLOOKUP(ROUND($C$7,0),'Emission Rates'!$C$5:$J$72,U$15,FALSE)),0)*H35)/$C$9</f>
        <v>5.4401972566499993E-10</v>
      </c>
      <c r="V35" s="434">
        <f>(IFERROR(IF($A35&lt;BenefitStart,0,VLOOKUP(ROUND($C$7,0),'Emission Rates'!$C$5:$J$72,V$15,FALSE)),0)*I35)/$C$9</f>
        <v>1.3600493141624997E-9</v>
      </c>
      <c r="W35" s="554">
        <f>(IFERROR(IF($A35&lt;BenefitStart,0,VLOOKUP(ROUND($C$7,0),'Emission Rates'!$C$74:$J$140,W$15,FALSE)),0)*D35)/$C$9</f>
        <v>0.59107579210312489</v>
      </c>
      <c r="X35" s="433">
        <f>(IFERROR(IF($A35&lt;BenefitStart,0,VLOOKUP(ROUND($C$7,0),'Emission Rates'!$C$74:$J$140,X$15,FALSE)),0)*D35)/$C$9</f>
        <v>4.957575164579624</v>
      </c>
      <c r="Y35" s="433">
        <f>(IFERROR(IF($A35&lt;BenefitStart,0,VLOOKUP(ROUND($C$7,0),'Emission Rates'!$C$74:$J$140,Y$15,FALSE)),0)*E35)/$C$9</f>
        <v>6.1743942472020111E-6</v>
      </c>
      <c r="Z35" s="433">
        <f>(IFERROR(IF($A35&lt;BenefitStart,0,VLOOKUP(ROUND($C$7,0),'Emission Rates'!$C$74:$J$140,Z$15,FALSE)),0)*F35)/$C$9</f>
        <v>1.3760647666632466E-8</v>
      </c>
      <c r="AA35" s="433">
        <f>(IFERROR(IF($A35&lt;BenefitStart,0,VLOOKUP(ROUND($C$7,0),'Emission Rates'!$C$74:$J$140,AA$15,FALSE)),0)*G35)/$C$9</f>
        <v>3.7460082371393083E-8</v>
      </c>
      <c r="AB35" s="433">
        <f>(IFERROR(IF($A35&lt;BenefitStart,0,VLOOKUP(ROUND($C$7,0),'Emission Rates'!$C$74:$J$140,AB$15,FALSE)),0)*H35)/$C$9</f>
        <v>1.3949223735E-13</v>
      </c>
      <c r="AC35" s="421">
        <f t="shared" si="8"/>
        <v>4.5531336689894992</v>
      </c>
      <c r="AD35" s="422">
        <f t="shared" si="9"/>
        <v>137.60599253921845</v>
      </c>
      <c r="AE35" s="422">
        <f t="shared" si="10"/>
        <v>0.53281829413773052</v>
      </c>
      <c r="AF35" s="422">
        <f t="shared" si="11"/>
        <v>1.3949219472117226E-3</v>
      </c>
      <c r="AG35" s="422">
        <f t="shared" si="12"/>
        <v>0.6800246565372301</v>
      </c>
      <c r="AH35" s="423">
        <f t="shared" si="13"/>
        <v>3.4873045737006856E-3</v>
      </c>
      <c r="AI35" s="422">
        <f t="shared" si="14"/>
        <v>1.7018278593374996</v>
      </c>
      <c r="AJ35" s="422">
        <f t="shared" si="14"/>
        <v>14.273870868271498</v>
      </c>
      <c r="AK35" s="422">
        <f t="shared" si="14"/>
        <v>1.7549805367654399</v>
      </c>
      <c r="AL35" s="422">
        <f t="shared" si="14"/>
        <v>1.7435153603983334E-4</v>
      </c>
      <c r="AM35" s="422">
        <f t="shared" si="14"/>
        <v>0.12257876611123011</v>
      </c>
      <c r="AN35" s="422">
        <f t="shared" si="14"/>
        <v>1.7436529654800775E-4</v>
      </c>
      <c r="AO35" s="430">
        <f t="shared" si="1"/>
        <v>135</v>
      </c>
      <c r="AP35" s="32">
        <f t="shared" si="2"/>
        <v>72</v>
      </c>
      <c r="AQ35" s="32">
        <f t="shared" si="3"/>
        <v>18100</v>
      </c>
      <c r="AR35" s="32">
        <f t="shared" si="4"/>
        <v>867600</v>
      </c>
      <c r="AS35" s="32">
        <f t="shared" si="5"/>
        <v>49100</v>
      </c>
      <c r="AT35" s="431">
        <f t="shared" si="6"/>
        <v>1415</v>
      </c>
      <c r="AU35" s="32">
        <f t="shared" si="15"/>
        <v>83028.089634646371</v>
      </c>
      <c r="AV35" s="32">
        <f t="shared" si="16"/>
        <v>10935.350165339276</v>
      </c>
      <c r="AW35" s="427">
        <f t="shared" si="17"/>
        <v>93963.439799985645</v>
      </c>
      <c r="AX35" s="428">
        <f>AV35/(1+0.03)^($A35-'A - Inputs'!$C$6)</f>
        <v>6054.6382500858863</v>
      </c>
      <c r="AY35" s="428">
        <f>AU35/(1+0.07)^($A35-'A - Inputs'!$C$6)</f>
        <v>21456.036128925822</v>
      </c>
      <c r="AZ35" s="429">
        <f t="shared" si="7"/>
        <v>27510.674379011707</v>
      </c>
      <c r="BA35" s="23"/>
      <c r="BB35" s="42">
        <v>2040</v>
      </c>
      <c r="BC35" s="33">
        <v>18100</v>
      </c>
      <c r="BD35" s="33">
        <v>49100</v>
      </c>
      <c r="BE35" s="33">
        <v>867600</v>
      </c>
      <c r="BF35" s="41">
        <f t="shared" si="20"/>
        <v>1415</v>
      </c>
      <c r="BG35" s="33">
        <v>72</v>
      </c>
      <c r="BH35" s="33">
        <f t="shared" si="18"/>
        <v>135</v>
      </c>
      <c r="BJ35" s="23"/>
      <c r="BK35" s="23"/>
      <c r="BL35" s="23"/>
      <c r="BM35" s="23"/>
      <c r="BN35" s="23"/>
      <c r="BO35" s="23"/>
      <c r="BP35" s="23"/>
      <c r="BQ35" s="23"/>
      <c r="BR35" s="23"/>
    </row>
    <row r="36" spans="1:70" x14ac:dyDescent="0.25">
      <c r="A36" s="34">
        <f t="shared" si="21"/>
        <v>2041</v>
      </c>
      <c r="B36" s="31">
        <f t="shared" si="21"/>
        <v>20</v>
      </c>
      <c r="C36" s="420">
        <f>'I - Travel Time'!D34*$C$5</f>
        <v>1766273.4909895833</v>
      </c>
      <c r="D36" s="420">
        <f>IF(A36&gt;=BenefitStart,('I - Travel Time'!E34*$C$5),C36)</f>
        <v>461262.13869791664</v>
      </c>
      <c r="E36" s="432">
        <f>(IFERROR(IF($A36&lt;BenefitStart,0,VLOOKUP(ROUND($C$7,0),'Emission Rates'!$C$5:$J$72,E$15,FALSE)),0)*$C36)/$C$9</f>
        <v>6.2141033959995529</v>
      </c>
      <c r="F36" s="554">
        <f>(IFERROR(IF($A36&lt;BenefitStart,0,VLOOKUP(ROUND($C$7,0),'Emission Rates'!$C$5:$J$72,F$15,FALSE)),0)*$C36)/$C$9</f>
        <v>139.39165449866144</v>
      </c>
      <c r="G36" s="554">
        <f>(IFERROR(IF($A36&lt;BenefitStart,0,VLOOKUP(ROUND($C$7,0),'Emission Rates'!$C$5:$J$72,G$15,FALSE)),0)*$C36)/$C$9</f>
        <v>0.53977317884641662</v>
      </c>
      <c r="H36" s="554">
        <f>(IFERROR(IF($A36&lt;BenefitStart,0,VLOOKUP(ROUND($C$7,0),'Emission Rates'!$C$5:$J$72,H$15,FALSE)),0)*$C36)/$C$9</f>
        <v>1.4130187927916668E-3</v>
      </c>
      <c r="I36" s="554">
        <f>(IFERROR(IF($A36&lt;BenefitStart,0,VLOOKUP(ROUND($C$7,0),'Emission Rates'!$C$5:$J$72,I$15,FALSE)),0)*$C36)/$C$9</f>
        <v>0.68884666148593754</v>
      </c>
      <c r="J36" s="434">
        <f>(IFERROR(IF($A36&lt;BenefitStart,0,VLOOKUP(ROUND($C$7,0),'Emission Rates'!$C$5:$J$72,J$15,FALSE)),0)*$C36)/$C$9</f>
        <v>3.5325469819791665E-3</v>
      </c>
      <c r="K36" s="554">
        <f>(IFERROR(IF($A36&lt;BenefitStart,0,VLOOKUP(ROUND($C$7,0),'Emission Rates'!$C$74:$J$140,K$15,FALSE)),0)*$C36)/$C$9</f>
        <v>2.322649640651302</v>
      </c>
      <c r="L36" s="554">
        <f>(IFERROR(IF($A36&lt;BenefitStart,0,VLOOKUP(ROUND($C$7,0),'Emission Rates'!$C$74:$J$140,L$15,FALSE)),0)*$C36)/$C$9</f>
        <v>19.48093684152051</v>
      </c>
      <c r="M36" s="554">
        <f>(IFERROR(IF($A36&lt;BenefitStart,0,VLOOKUP(ROUND($C$7,0),'Emission Rates'!$C$74:$J$140,M$15,FALSE)),0)*$C36)/$C$9</f>
        <v>1.7777542686810155</v>
      </c>
      <c r="N36" s="554">
        <f>(IFERROR(IF($A36&lt;BenefitStart,0,VLOOKUP(ROUND($C$7,0),'Emission Rates'!$C$74:$J$140,N$15,FALSE)),0)*$C36)/$C$9</f>
        <v>1.7662734909895835E-4</v>
      </c>
      <c r="O36" s="554">
        <f>(IFERROR(IF($A36&lt;BenefitStart,0,VLOOKUP(ROUND($C$7,0),'Emission Rates'!$C$74:$J$140,O$15,FALSE)),0)*$C36)/$C$9</f>
        <v>0.12416902641656771</v>
      </c>
      <c r="P36" s="554">
        <f>(IFERROR(IF($A36&lt;BenefitStart,0,VLOOKUP(ROUND($C$7,0),'Emission Rates'!$C$74:$J$140,P$15,FALSE)),0)*$C36)/$C$9</f>
        <v>1.7662734909895835E-4</v>
      </c>
      <c r="Q36" s="432">
        <f>(IFERROR(IF($A36&lt;BenefitStart,0,VLOOKUP(ROUND($C$7,0),'Emission Rates'!$C$5:$J$72,Q$15,FALSE)),0)*D36)/$C$9</f>
        <v>1.6228124563670105</v>
      </c>
      <c r="R36" s="554">
        <f>(IFERROR(IF($A36&lt;BenefitStart,0,VLOOKUP(ROUND($C$7,0),'Emission Rates'!$C$5:$J$72,R$15,FALSE)),0)*E36)/$C$9</f>
        <v>4.9040771885719067E-4</v>
      </c>
      <c r="S36" s="554">
        <f>(IFERROR(IF($A36&lt;BenefitStart,0,VLOOKUP(ROUND($C$7,0),'Emission Rates'!$C$5:$J$72,S$15,FALSE)),0)*F36)/$C$9</f>
        <v>4.2598089614790938E-5</v>
      </c>
      <c r="T36" s="554">
        <f>(IFERROR(IF($A36&lt;BenefitStart,0,VLOOKUP(ROUND($C$7,0),'Emission Rates'!$C$5:$J$72,T$15,FALSE)),0)*G36)/$C$9</f>
        <v>4.3181854307713331E-10</v>
      </c>
      <c r="U36" s="554">
        <f>(IFERROR(IF($A36&lt;BenefitStart,0,VLOOKUP(ROUND($C$7,0),'Emission Rates'!$C$5:$J$72,U$15,FALSE)),0)*H36)/$C$9</f>
        <v>5.5107732918874998E-10</v>
      </c>
      <c r="V36" s="434">
        <f>(IFERROR(IF($A36&lt;BenefitStart,0,VLOOKUP(ROUND($C$7,0),'Emission Rates'!$C$5:$J$72,V$15,FALSE)),0)*I36)/$C$9</f>
        <v>1.377693322971875E-9</v>
      </c>
      <c r="W36" s="554">
        <f>(IFERROR(IF($A36&lt;BenefitStart,0,VLOOKUP(ROUND($C$7,0),'Emission Rates'!$C$74:$J$140,W$15,FALSE)),0)*D36)/$C$9</f>
        <v>0.60655971238776041</v>
      </c>
      <c r="X36" s="433">
        <f>(IFERROR(IF($A36&lt;BenefitStart,0,VLOOKUP(ROUND($C$7,0),'Emission Rates'!$C$74:$J$140,X$15,FALSE)),0)*D36)/$C$9</f>
        <v>5.0874446325548019</v>
      </c>
      <c r="Y36" s="433">
        <f>(IFERROR(IF($A36&lt;BenefitStart,0,VLOOKUP(ROUND($C$7,0),'Emission Rates'!$C$74:$J$140,Y$15,FALSE)),0)*E36)/$C$9</f>
        <v>6.2544950680735499E-6</v>
      </c>
      <c r="Z36" s="433">
        <f>(IFERROR(IF($A36&lt;BenefitStart,0,VLOOKUP(ROUND($C$7,0),'Emission Rates'!$C$74:$J$140,Z$15,FALSE)),0)*F36)/$C$9</f>
        <v>1.3939165449866145E-8</v>
      </c>
      <c r="AA36" s="433">
        <f>(IFERROR(IF($A36&lt;BenefitStart,0,VLOOKUP(ROUND($C$7,0),'Emission Rates'!$C$74:$J$140,AA$15,FALSE)),0)*G36)/$C$9</f>
        <v>3.7946054472903092E-8</v>
      </c>
      <c r="AB36" s="433">
        <f>(IFERROR(IF($A36&lt;BenefitStart,0,VLOOKUP(ROUND($C$7,0),'Emission Rates'!$C$74:$J$140,AB$15,FALSE)),0)*H36)/$C$9</f>
        <v>1.413018792791667E-13</v>
      </c>
      <c r="AC36" s="421">
        <f t="shared" si="8"/>
        <v>4.5912909396325423</v>
      </c>
      <c r="AD36" s="422">
        <f t="shared" si="9"/>
        <v>139.39116409094257</v>
      </c>
      <c r="AE36" s="422">
        <f t="shared" si="10"/>
        <v>0.5397305807568018</v>
      </c>
      <c r="AF36" s="422">
        <f t="shared" si="11"/>
        <v>1.4130183609731236E-3</v>
      </c>
      <c r="AG36" s="422">
        <f t="shared" si="12"/>
        <v>0.68884666093486024</v>
      </c>
      <c r="AH36" s="423">
        <f t="shared" si="13"/>
        <v>3.5325456042858434E-3</v>
      </c>
      <c r="AI36" s="422">
        <f t="shared" si="14"/>
        <v>1.7160899282635416</v>
      </c>
      <c r="AJ36" s="422">
        <f t="shared" si="14"/>
        <v>14.393492208965707</v>
      </c>
      <c r="AK36" s="422">
        <f t="shared" si="14"/>
        <v>1.7777480141859474</v>
      </c>
      <c r="AL36" s="422">
        <f t="shared" si="14"/>
        <v>1.7661340993350847E-4</v>
      </c>
      <c r="AM36" s="422">
        <f t="shared" si="14"/>
        <v>0.12416898847051323</v>
      </c>
      <c r="AN36" s="422">
        <f t="shared" si="14"/>
        <v>1.7662734895765647E-4</v>
      </c>
      <c r="AO36" s="430">
        <f t="shared" si="1"/>
        <v>136.875</v>
      </c>
      <c r="AP36" s="32">
        <f t="shared" si="2"/>
        <v>73</v>
      </c>
      <c r="AQ36" s="32">
        <f t="shared" si="3"/>
        <v>18100</v>
      </c>
      <c r="AR36" s="32">
        <f t="shared" si="4"/>
        <v>867600</v>
      </c>
      <c r="AS36" s="32">
        <f t="shared" si="5"/>
        <v>49100</v>
      </c>
      <c r="AT36" s="431">
        <f t="shared" si="6"/>
        <v>1415</v>
      </c>
      <c r="AU36" s="32">
        <f t="shared" si="15"/>
        <v>84113.166714728301</v>
      </c>
      <c r="AV36" s="32">
        <f t="shared" si="16"/>
        <v>11226.279909893305</v>
      </c>
      <c r="AW36" s="427">
        <f t="shared" si="17"/>
        <v>95339.446624621603</v>
      </c>
      <c r="AX36" s="428">
        <f>AV36/(1+0.03)^($A36-'A - Inputs'!$C$6)</f>
        <v>6034.6786367156083</v>
      </c>
      <c r="AY36" s="428">
        <f>AU36/(1+0.07)^($A36-'A - Inputs'!$C$6)</f>
        <v>20314.430528912879</v>
      </c>
      <c r="AZ36" s="429">
        <f t="shared" si="7"/>
        <v>26349.109165628488</v>
      </c>
      <c r="BA36" s="23"/>
      <c r="BB36" s="42">
        <v>2041</v>
      </c>
      <c r="BC36" s="33">
        <v>18100</v>
      </c>
      <c r="BD36" s="33">
        <v>49100</v>
      </c>
      <c r="BE36" s="33">
        <v>867600</v>
      </c>
      <c r="BF36" s="41">
        <f t="shared" si="20"/>
        <v>1415</v>
      </c>
      <c r="BG36" s="33">
        <v>73</v>
      </c>
      <c r="BH36" s="33">
        <f t="shared" si="18"/>
        <v>136.875</v>
      </c>
      <c r="BJ36" s="23"/>
      <c r="BK36" s="23"/>
      <c r="BL36" s="23"/>
      <c r="BM36" s="23"/>
      <c r="BN36" s="23"/>
      <c r="BO36" s="23"/>
      <c r="BP36" s="23"/>
      <c r="BQ36" s="23"/>
      <c r="BR36" s="23"/>
    </row>
    <row r="37" spans="1:70" x14ac:dyDescent="0.25">
      <c r="A37" s="34">
        <f t="shared" si="21"/>
        <v>2042</v>
      </c>
      <c r="B37" s="31">
        <f t="shared" si="21"/>
        <v>21</v>
      </c>
      <c r="C37" s="420">
        <f>'I - Travel Time'!D35*$C$5</f>
        <v>1789026.7233333332</v>
      </c>
      <c r="D37" s="420">
        <f>IF(A37&gt;=BenefitStart,('I - Travel Time'!E35*$C$5),C37)</f>
        <v>473124.65666666662</v>
      </c>
      <c r="E37" s="432">
        <f>(IFERROR(IF($A37&lt;BenefitStart,0,VLOOKUP(ROUND($C$7,0),'Emission Rates'!$C$5:$J$72,E$15,FALSE)),0)*$C37)/$C$9</f>
        <v>6.294153818031333</v>
      </c>
      <c r="F37" s="554">
        <f>(IFERROR(IF($A37&lt;BenefitStart,0,VLOOKUP(ROUND($C$7,0),'Emission Rates'!$C$5:$J$72,F$15,FALSE)),0)*$C37)/$C$9</f>
        <v>141.18730546538166</v>
      </c>
      <c r="G37" s="554">
        <f>(IFERROR(IF($A37&lt;BenefitStart,0,VLOOKUP(ROUND($C$7,0),'Emission Rates'!$C$5:$J$72,G$15,FALSE)),0)*$C37)/$C$9</f>
        <v>0.54672656665066655</v>
      </c>
      <c r="H37" s="554">
        <f>(IFERROR(IF($A37&lt;BenefitStart,0,VLOOKUP(ROUND($C$7,0),'Emission Rates'!$C$5:$J$72,H$15,FALSE)),0)*$C37)/$C$9</f>
        <v>1.4312213786666667E-3</v>
      </c>
      <c r="I37" s="554">
        <f>(IFERROR(IF($A37&lt;BenefitStart,0,VLOOKUP(ROUND($C$7,0),'Emission Rates'!$C$5:$J$72,I$15,FALSE)),0)*$C37)/$C$9</f>
        <v>0.69772042209999996</v>
      </c>
      <c r="J37" s="434">
        <f>(IFERROR(IF($A37&lt;BenefitStart,0,VLOOKUP(ROUND($C$7,0),'Emission Rates'!$C$5:$J$72,J$15,FALSE)),0)*$C37)/$C$9</f>
        <v>3.5780534466666662E-3</v>
      </c>
      <c r="K37" s="554">
        <f>(IFERROR(IF($A37&lt;BenefitStart,0,VLOOKUP(ROUND($C$7,0),'Emission Rates'!$C$74:$J$140,K$15,FALSE)),0)*$C37)/$C$9</f>
        <v>2.3525701411833331</v>
      </c>
      <c r="L37" s="554">
        <f>(IFERROR(IF($A37&lt;BenefitStart,0,VLOOKUP(ROUND($C$7,0),'Emission Rates'!$C$74:$J$140,L$15,FALSE)),0)*$C37)/$C$9</f>
        <v>19.731891342332666</v>
      </c>
      <c r="M37" s="554">
        <f>(IFERROR(IF($A37&lt;BenefitStart,0,VLOOKUP(ROUND($C$7,0),'Emission Rates'!$C$74:$J$140,M$15,FALSE)),0)*$C37)/$C$9</f>
        <v>1.8006553970349997</v>
      </c>
      <c r="N37" s="554">
        <f>(IFERROR(IF($A37&lt;BenefitStart,0,VLOOKUP(ROUND($C$7,0),'Emission Rates'!$C$74:$J$140,N$15,FALSE)),0)*$C37)/$C$9</f>
        <v>1.7890267233333334E-4</v>
      </c>
      <c r="O37" s="554">
        <f>(IFERROR(IF($A37&lt;BenefitStart,0,VLOOKUP(ROUND($C$7,0),'Emission Rates'!$C$74:$J$140,O$15,FALSE)),0)*$C37)/$C$9</f>
        <v>0.12576857865033333</v>
      </c>
      <c r="P37" s="554">
        <f>(IFERROR(IF($A37&lt;BenefitStart,0,VLOOKUP(ROUND($C$7,0),'Emission Rates'!$C$74:$J$140,P$15,FALSE)),0)*$C37)/$C$9</f>
        <v>1.7890267233333334E-4</v>
      </c>
      <c r="Q37" s="432">
        <f>(IFERROR(IF($A37&lt;BenefitStart,0,VLOOKUP(ROUND($C$7,0),'Emission Rates'!$C$5:$J$72,Q$15,FALSE)),0)*D37)/$C$9</f>
        <v>1.6645471670846668</v>
      </c>
      <c r="R37" s="554">
        <f>(IFERROR(IF($A37&lt;BenefitStart,0,VLOOKUP(ROUND($C$7,0),'Emission Rates'!$C$5:$J$72,R$15,FALSE)),0)*E37)/$C$9</f>
        <v>4.9672517808830566E-4</v>
      </c>
      <c r="S37" s="554">
        <f>(IFERROR(IF($A37&lt;BenefitStart,0,VLOOKUP(ROUND($C$7,0),'Emission Rates'!$C$5:$J$72,S$15,FALSE)),0)*F37)/$C$9</f>
        <v>4.314684055022063E-5</v>
      </c>
      <c r="T37" s="554">
        <f>(IFERROR(IF($A37&lt;BenefitStart,0,VLOOKUP(ROUND($C$7,0),'Emission Rates'!$C$5:$J$72,T$15,FALSE)),0)*G37)/$C$9</f>
        <v>4.3738125332053327E-10</v>
      </c>
      <c r="U37" s="554">
        <f>(IFERROR(IF($A37&lt;BenefitStart,0,VLOOKUP(ROUND($C$7,0),'Emission Rates'!$C$5:$J$72,U$15,FALSE)),0)*H37)/$C$9</f>
        <v>5.5817633767999998E-10</v>
      </c>
      <c r="V37" s="434">
        <f>(IFERROR(IF($A37&lt;BenefitStart,0,VLOOKUP(ROUND($C$7,0),'Emission Rates'!$C$5:$J$72,V$15,FALSE)),0)*I37)/$C$9</f>
        <v>1.3954408442E-9</v>
      </c>
      <c r="W37" s="554">
        <f>(IFERROR(IF($A37&lt;BenefitStart,0,VLOOKUP(ROUND($C$7,0),'Emission Rates'!$C$74:$J$140,W$15,FALSE)),0)*D37)/$C$9</f>
        <v>0.62215892351666668</v>
      </c>
      <c r="X37" s="433">
        <f>(IFERROR(IF($A37&lt;BenefitStart,0,VLOOKUP(ROUND($C$7,0),'Emission Rates'!$C$74:$J$140,X$15,FALSE)),0)*D37)/$C$9</f>
        <v>5.2182810882393333</v>
      </c>
      <c r="Y37" s="433">
        <f>(IFERROR(IF($A37&lt;BenefitStart,0,VLOOKUP(ROUND($C$7,0),'Emission Rates'!$C$74:$J$140,Y$15,FALSE)),0)*E37)/$C$9</f>
        <v>6.335065817848537E-6</v>
      </c>
      <c r="Z37" s="433">
        <f>(IFERROR(IF($A37&lt;BenefitStart,0,VLOOKUP(ROUND($C$7,0),'Emission Rates'!$C$74:$J$140,Z$15,FALSE)),0)*F37)/$C$9</f>
        <v>1.4118730546538166E-8</v>
      </c>
      <c r="AA37" s="433">
        <f>(IFERROR(IF($A37&lt;BenefitStart,0,VLOOKUP(ROUND($C$7,0),'Emission Rates'!$C$74:$J$140,AA$15,FALSE)),0)*G37)/$C$9</f>
        <v>3.843487763554186E-8</v>
      </c>
      <c r="AB37" s="433">
        <f>(IFERROR(IF($A37&lt;BenefitStart,0,VLOOKUP(ROUND($C$7,0),'Emission Rates'!$C$74:$J$140,AB$15,FALSE)),0)*H37)/$C$9</f>
        <v>1.4312213786666666E-13</v>
      </c>
      <c r="AC37" s="421">
        <f t="shared" si="8"/>
        <v>4.6296066509466662</v>
      </c>
      <c r="AD37" s="422">
        <f t="shared" si="9"/>
        <v>141.18680874020356</v>
      </c>
      <c r="AE37" s="422">
        <f t="shared" si="10"/>
        <v>0.54668341981011637</v>
      </c>
      <c r="AF37" s="422">
        <f t="shared" si="11"/>
        <v>1.4312209412854133E-3</v>
      </c>
      <c r="AG37" s="422">
        <f t="shared" si="12"/>
        <v>0.69772042154182368</v>
      </c>
      <c r="AH37" s="423">
        <f t="shared" si="13"/>
        <v>3.5780520512258222E-3</v>
      </c>
      <c r="AI37" s="422">
        <f t="shared" si="14"/>
        <v>1.7304112176666664</v>
      </c>
      <c r="AJ37" s="422">
        <f t="shared" si="14"/>
        <v>14.513610254093333</v>
      </c>
      <c r="AK37" s="422">
        <f t="shared" si="14"/>
        <v>1.8006490619691817</v>
      </c>
      <c r="AL37" s="422">
        <f t="shared" si="14"/>
        <v>1.7888855360278681E-4</v>
      </c>
      <c r="AM37" s="422">
        <f t="shared" si="14"/>
        <v>0.12576854021545569</v>
      </c>
      <c r="AN37" s="422">
        <f t="shared" si="14"/>
        <v>1.789026721902112E-4</v>
      </c>
      <c r="AO37" s="430">
        <f t="shared" si="1"/>
        <v>138.75</v>
      </c>
      <c r="AP37" s="32">
        <f t="shared" si="2"/>
        <v>74</v>
      </c>
      <c r="AQ37" s="32">
        <f t="shared" si="3"/>
        <v>18100</v>
      </c>
      <c r="AR37" s="32">
        <f t="shared" si="4"/>
        <v>867600</v>
      </c>
      <c r="AS37" s="32">
        <f t="shared" si="5"/>
        <v>49100</v>
      </c>
      <c r="AT37" s="431">
        <f t="shared" si="6"/>
        <v>1415</v>
      </c>
      <c r="AU37" s="32">
        <f t="shared" si="15"/>
        <v>85204.725510456439</v>
      </c>
      <c r="AV37" s="32">
        <f t="shared" si="16"/>
        <v>11521.831005577969</v>
      </c>
      <c r="AW37" s="427">
        <f t="shared" si="17"/>
        <v>96726.556516034412</v>
      </c>
      <c r="AX37" s="428">
        <f>AV37/(1+0.03)^($A37-'A - Inputs'!$C$6)</f>
        <v>6013.1571982476016</v>
      </c>
      <c r="AY37" s="428">
        <f>AU37/(1+0.07)^($A37-'A - Inputs'!$C$6)</f>
        <v>19231.82828320513</v>
      </c>
      <c r="AZ37" s="429">
        <f t="shared" si="7"/>
        <v>25244.985481452732</v>
      </c>
      <c r="BA37" s="23"/>
      <c r="BB37" s="42">
        <v>2042</v>
      </c>
      <c r="BC37" s="33">
        <v>18100</v>
      </c>
      <c r="BD37" s="33">
        <v>49100</v>
      </c>
      <c r="BE37" s="33">
        <v>867600</v>
      </c>
      <c r="BF37" s="41">
        <f t="shared" si="20"/>
        <v>1415</v>
      </c>
      <c r="BG37" s="33">
        <v>74</v>
      </c>
      <c r="BH37" s="33">
        <f t="shared" si="18"/>
        <v>138.75</v>
      </c>
      <c r="BJ37" s="23"/>
      <c r="BK37" s="23"/>
      <c r="BL37" s="23"/>
      <c r="BM37" s="23"/>
      <c r="BN37" s="23"/>
      <c r="BO37" s="23"/>
      <c r="BP37" s="23"/>
      <c r="BQ37" s="23"/>
      <c r="BR37" s="23"/>
    </row>
    <row r="38" spans="1:70" x14ac:dyDescent="0.25">
      <c r="A38" s="34">
        <f t="shared" si="21"/>
        <v>2043</v>
      </c>
      <c r="B38" s="31">
        <f t="shared" si="21"/>
        <v>22</v>
      </c>
      <c r="C38" s="420">
        <f>'I - Travel Time'!D36*$C$5</f>
        <v>1811912.6639062499</v>
      </c>
      <c r="D38" s="420">
        <f>IF(A38&gt;=BenefitStart,('I - Travel Time'!E36*$C$5),C38)</f>
        <v>485074.84828124993</v>
      </c>
      <c r="E38" s="432">
        <f>(IFERROR(IF($A38&lt;BenefitStart,0,VLOOKUP(ROUND($C$7,0),'Emission Rates'!$C$5:$J$72,E$15,FALSE)),0)*$C38)/$C$9</f>
        <v>6.3746711341549691</v>
      </c>
      <c r="F38" s="554">
        <f>(IFERROR(IF($A38&lt;BenefitStart,0,VLOOKUP(ROUND($C$7,0),'Emission Rates'!$C$5:$J$72,F$15,FALSE)),0)*$C38)/$C$9</f>
        <v>142.99342956648539</v>
      </c>
      <c r="G38" s="554">
        <f>(IFERROR(IF($A38&lt;BenefitStart,0,VLOOKUP(ROUND($C$7,0),'Emission Rates'!$C$5:$J$72,G$15,FALSE)),0)*$C38)/$C$9</f>
        <v>0.55372051008974998</v>
      </c>
      <c r="H38" s="554">
        <f>(IFERROR(IF($A38&lt;BenefitStart,0,VLOOKUP(ROUND($C$7,0),'Emission Rates'!$C$5:$J$72,H$15,FALSE)),0)*$C38)/$C$9</f>
        <v>1.4495301311250001E-3</v>
      </c>
      <c r="I38" s="554">
        <f>(IFERROR(IF($A38&lt;BenefitStart,0,VLOOKUP(ROUND($C$7,0),'Emission Rates'!$C$5:$J$72,I$15,FALSE)),0)*$C38)/$C$9</f>
        <v>0.70664593892343752</v>
      </c>
      <c r="J38" s="434">
        <f>(IFERROR(IF($A38&lt;BenefitStart,0,VLOOKUP(ROUND($C$7,0),'Emission Rates'!$C$5:$J$72,J$15,FALSE)),0)*$C38)/$C$9</f>
        <v>3.6238253278125E-3</v>
      </c>
      <c r="K38" s="554">
        <f>(IFERROR(IF($A38&lt;BenefitStart,0,VLOOKUP(ROUND($C$7,0),'Emission Rates'!$C$74:$J$140,K$15,FALSE)),0)*$C38)/$C$9</f>
        <v>2.3826651530367187</v>
      </c>
      <c r="L38" s="554">
        <f>(IFERROR(IF($A38&lt;BenefitStart,0,VLOOKUP(ROUND($C$7,0),'Emission Rates'!$C$74:$J$140,L$15,FALSE)),0)*$C38)/$C$9</f>
        <v>19.984309535287593</v>
      </c>
      <c r="M38" s="554">
        <f>(IFERROR(IF($A38&lt;BenefitStart,0,VLOOKUP(ROUND($C$7,0),'Emission Rates'!$C$74:$J$140,M$15,FALSE)),0)*$C38)/$C$9</f>
        <v>1.8236900962216405</v>
      </c>
      <c r="N38" s="554">
        <f>(IFERROR(IF($A38&lt;BenefitStart,0,VLOOKUP(ROUND($C$7,0),'Emission Rates'!$C$74:$J$140,N$15,FALSE)),0)*$C38)/$C$9</f>
        <v>1.8119126639062501E-4</v>
      </c>
      <c r="O38" s="554">
        <f>(IFERROR(IF($A38&lt;BenefitStart,0,VLOOKUP(ROUND($C$7,0),'Emission Rates'!$C$74:$J$140,O$15,FALSE)),0)*$C38)/$C$9</f>
        <v>0.12737746027260938</v>
      </c>
      <c r="P38" s="554">
        <f>(IFERROR(IF($A38&lt;BenefitStart,0,VLOOKUP(ROUND($C$7,0),'Emission Rates'!$C$74:$J$140,P$15,FALSE)),0)*$C38)/$C$9</f>
        <v>1.8119126639062501E-4</v>
      </c>
      <c r="Q38" s="432">
        <f>(IFERROR(IF($A38&lt;BenefitStart,0,VLOOKUP(ROUND($C$7,0),'Emission Rates'!$C$5:$J$72,Q$15,FALSE)),0)*D38)/$C$9</f>
        <v>1.7065903312230937</v>
      </c>
      <c r="R38" s="554">
        <f>(IFERROR(IF($A38&lt;BenefitStart,0,VLOOKUP(ROUND($C$7,0),'Emission Rates'!$C$5:$J$72,R$15,FALSE)),0)*E38)/$C$9</f>
        <v>5.0307948390080888E-4</v>
      </c>
      <c r="S38" s="554">
        <f>(IFERROR(IF($A38&lt;BenefitStart,0,VLOOKUP(ROUND($C$7,0),'Emission Rates'!$C$5:$J$72,S$15,FALSE)),0)*F38)/$C$9</f>
        <v>4.3698792075517934E-5</v>
      </c>
      <c r="T38" s="554">
        <f>(IFERROR(IF($A38&lt;BenefitStart,0,VLOOKUP(ROUND($C$7,0),'Emission Rates'!$C$5:$J$72,T$15,FALSE)),0)*G38)/$C$9</f>
        <v>4.429764080718E-10</v>
      </c>
      <c r="U38" s="554">
        <f>(IFERROR(IF($A38&lt;BenefitStart,0,VLOOKUP(ROUND($C$7,0),'Emission Rates'!$C$5:$J$72,U$15,FALSE)),0)*H38)/$C$9</f>
        <v>5.6531675113875005E-10</v>
      </c>
      <c r="V38" s="434">
        <f>(IFERROR(IF($A38&lt;BenefitStart,0,VLOOKUP(ROUND($C$7,0),'Emission Rates'!$C$5:$J$72,V$15,FALSE)),0)*I38)/$C$9</f>
        <v>1.4132918778468752E-9</v>
      </c>
      <c r="W38" s="554">
        <f>(IFERROR(IF($A38&lt;BenefitStart,0,VLOOKUP(ROUND($C$7,0),'Emission Rates'!$C$74:$J$140,W$15,FALSE)),0)*D38)/$C$9</f>
        <v>0.6378734254898436</v>
      </c>
      <c r="X38" s="433">
        <f>(IFERROR(IF($A38&lt;BenefitStart,0,VLOOKUP(ROUND($C$7,0),'Emission Rates'!$C$74:$J$140,X$15,FALSE)),0)*D38)/$C$9</f>
        <v>5.3500845316332191</v>
      </c>
      <c r="Y38" s="433">
        <f>(IFERROR(IF($A38&lt;BenefitStart,0,VLOOKUP(ROUND($C$7,0),'Emission Rates'!$C$74:$J$140,Y$15,FALSE)),0)*E38)/$C$9</f>
        <v>6.4161064965269758E-6</v>
      </c>
      <c r="Z38" s="433">
        <f>(IFERROR(IF($A38&lt;BenefitStart,0,VLOOKUP(ROUND($C$7,0),'Emission Rates'!$C$74:$J$140,Z$15,FALSE)),0)*F38)/$C$9</f>
        <v>1.4299342956648539E-8</v>
      </c>
      <c r="AA38" s="433">
        <f>(IFERROR(IF($A38&lt;BenefitStart,0,VLOOKUP(ROUND($C$7,0),'Emission Rates'!$C$74:$J$140,AA$15,FALSE)),0)*G38)/$C$9</f>
        <v>3.8926551859309427E-8</v>
      </c>
      <c r="AB38" s="433">
        <f>(IFERROR(IF($A38&lt;BenefitStart,0,VLOOKUP(ROUND($C$7,0),'Emission Rates'!$C$74:$J$140,AB$15,FALSE)),0)*H38)/$C$9</f>
        <v>1.4495301311250001E-13</v>
      </c>
      <c r="AC38" s="421">
        <f t="shared" si="8"/>
        <v>4.6680808029318754</v>
      </c>
      <c r="AD38" s="422">
        <f t="shared" si="9"/>
        <v>142.99292648700148</v>
      </c>
      <c r="AE38" s="422">
        <f t="shared" si="10"/>
        <v>0.55367681129767443</v>
      </c>
      <c r="AF38" s="422">
        <f t="shared" si="11"/>
        <v>1.4495296881485919E-3</v>
      </c>
      <c r="AG38" s="422">
        <f t="shared" si="12"/>
        <v>0.70664593835812073</v>
      </c>
      <c r="AH38" s="423">
        <f t="shared" si="13"/>
        <v>3.623823914520622E-3</v>
      </c>
      <c r="AI38" s="422">
        <f t="shared" ref="AI38:AN46" si="22">K38-W38</f>
        <v>1.7447917275468749</v>
      </c>
      <c r="AJ38" s="422">
        <f t="shared" si="22"/>
        <v>14.634225003654375</v>
      </c>
      <c r="AK38" s="422">
        <f t="shared" si="22"/>
        <v>1.8236836801151439</v>
      </c>
      <c r="AL38" s="422">
        <f t="shared" si="22"/>
        <v>1.8117696704766836E-4</v>
      </c>
      <c r="AM38" s="422">
        <f t="shared" si="22"/>
        <v>0.12737742134605751</v>
      </c>
      <c r="AN38" s="422">
        <f t="shared" si="22"/>
        <v>1.81191266245672E-4</v>
      </c>
      <c r="AO38" s="430">
        <f t="shared" si="1"/>
        <v>140.625</v>
      </c>
      <c r="AP38" s="32">
        <f t="shared" si="2"/>
        <v>75</v>
      </c>
      <c r="AQ38" s="32">
        <f t="shared" si="3"/>
        <v>18100</v>
      </c>
      <c r="AR38" s="32">
        <f t="shared" si="4"/>
        <v>867600</v>
      </c>
      <c r="AS38" s="32">
        <f t="shared" si="5"/>
        <v>49100</v>
      </c>
      <c r="AT38" s="431">
        <f t="shared" si="6"/>
        <v>1415</v>
      </c>
      <c r="AU38" s="32">
        <f t="shared" si="15"/>
        <v>86302.767246174801</v>
      </c>
      <c r="AV38" s="32">
        <f t="shared" si="16"/>
        <v>11822.036361799188</v>
      </c>
      <c r="AW38" s="427">
        <f t="shared" si="17"/>
        <v>98124.803607973983</v>
      </c>
      <c r="AX38" s="428">
        <f>AV38/(1+0.03)^($A38-'A - Inputs'!$C$6)</f>
        <v>5990.1282741594569</v>
      </c>
      <c r="AY38" s="428">
        <f>AU38/(1+0.07)^($A38-'A - Inputs'!$C$6)</f>
        <v>18205.299774647829</v>
      </c>
      <c r="AZ38" s="429">
        <f t="shared" si="7"/>
        <v>24195.428048807284</v>
      </c>
      <c r="BA38" s="23"/>
      <c r="BB38" s="42">
        <v>2043</v>
      </c>
      <c r="BC38" s="33">
        <v>18100</v>
      </c>
      <c r="BD38" s="33">
        <v>49100</v>
      </c>
      <c r="BE38" s="33">
        <v>867600</v>
      </c>
      <c r="BF38" s="41">
        <f t="shared" si="20"/>
        <v>1415</v>
      </c>
      <c r="BG38" s="33">
        <v>75</v>
      </c>
      <c r="BH38" s="33">
        <f t="shared" si="18"/>
        <v>140.625</v>
      </c>
      <c r="BJ38" s="23"/>
      <c r="BK38" s="23"/>
      <c r="BL38" s="23"/>
      <c r="BM38" s="23"/>
      <c r="BN38" s="23"/>
      <c r="BO38" s="23"/>
      <c r="BP38" s="23"/>
      <c r="BQ38" s="23"/>
      <c r="BR38" s="23"/>
    </row>
    <row r="39" spans="1:70" x14ac:dyDescent="0.25">
      <c r="A39" s="34">
        <f t="shared" si="21"/>
        <v>2044</v>
      </c>
      <c r="B39" s="31">
        <f t="shared" si="21"/>
        <v>23</v>
      </c>
      <c r="C39" s="420">
        <f>'I - Travel Time'!D37*$C$5</f>
        <v>1834931.3127083331</v>
      </c>
      <c r="D39" s="420">
        <f>IF(A39&gt;=BenefitStart,('I - Travel Time'!E37*$C$5),C39)</f>
        <v>497112.71354166663</v>
      </c>
      <c r="E39" s="432">
        <f>(IFERROR(IF($A39&lt;BenefitStart,0,VLOOKUP(ROUND($C$7,0),'Emission Rates'!$C$5:$J$72,E$15,FALSE)),0)*$C39)/$C$9</f>
        <v>6.4556553443704585</v>
      </c>
      <c r="F39" s="554">
        <f>(IFERROR(IF($A39&lt;BenefitStart,0,VLOOKUP(ROUND($C$7,0),'Emission Rates'!$C$5:$J$72,F$15,FALSE)),0)*$C39)/$C$9</f>
        <v>144.81002680197255</v>
      </c>
      <c r="G39" s="554">
        <f>(IFERROR(IF($A39&lt;BenefitStart,0,VLOOKUP(ROUND($C$7,0),'Emission Rates'!$C$5:$J$72,G$15,FALSE)),0)*$C39)/$C$9</f>
        <v>0.5607550091636665</v>
      </c>
      <c r="H39" s="554">
        <f>(IFERROR(IF($A39&lt;BenefitStart,0,VLOOKUP(ROUND($C$7,0),'Emission Rates'!$C$5:$J$72,H$15,FALSE)),0)*$C39)/$C$9</f>
        <v>1.4679450501666666E-3</v>
      </c>
      <c r="I39" s="554">
        <f>(IFERROR(IF($A39&lt;BenefitStart,0,VLOOKUP(ROUND($C$7,0),'Emission Rates'!$C$5:$J$72,I$15,FALSE)),0)*$C39)/$C$9</f>
        <v>0.71562321195624989</v>
      </c>
      <c r="J39" s="434">
        <f>(IFERROR(IF($A39&lt;BenefitStart,0,VLOOKUP(ROUND($C$7,0),'Emission Rates'!$C$5:$J$72,J$15,FALSE)),0)*$C39)/$C$9</f>
        <v>3.6698626254166667E-3</v>
      </c>
      <c r="K39" s="554">
        <f>(IFERROR(IF($A39&lt;BenefitStart,0,VLOOKUP(ROUND($C$7,0),'Emission Rates'!$C$74:$J$140,K$15,FALSE)),0)*$C39)/$C$9</f>
        <v>2.4129346762114583</v>
      </c>
      <c r="L39" s="554">
        <f>(IFERROR(IF($A39&lt;BenefitStart,0,VLOOKUP(ROUND($C$7,0),'Emission Rates'!$C$74:$J$140,L$15,FALSE)),0)*$C39)/$C$9</f>
        <v>20.238191420385292</v>
      </c>
      <c r="M39" s="554">
        <f>(IFERROR(IF($A39&lt;BenefitStart,0,VLOOKUP(ROUND($C$7,0),'Emission Rates'!$C$74:$J$140,M$15,FALSE)),0)*$C39)/$C$9</f>
        <v>1.8468583662409372</v>
      </c>
      <c r="N39" s="554">
        <f>(IFERROR(IF($A39&lt;BenefitStart,0,VLOOKUP(ROUND($C$7,0),'Emission Rates'!$C$74:$J$140,N$15,FALSE)),0)*$C39)/$C$9</f>
        <v>1.8349313127083333E-4</v>
      </c>
      <c r="O39" s="554">
        <f>(IFERROR(IF($A39&lt;BenefitStart,0,VLOOKUP(ROUND($C$7,0),'Emission Rates'!$C$74:$J$140,O$15,FALSE)),0)*$C39)/$C$9</f>
        <v>0.12899567128339581</v>
      </c>
      <c r="P39" s="554">
        <f>(IFERROR(IF($A39&lt;BenefitStart,0,VLOOKUP(ROUND($C$7,0),'Emission Rates'!$C$74:$J$140,P$15,FALSE)),0)*$C39)/$C$9</f>
        <v>1.8349313127083333E-4</v>
      </c>
      <c r="Q39" s="432">
        <f>(IFERROR(IF($A39&lt;BenefitStart,0,VLOOKUP(ROUND($C$7,0),'Emission Rates'!$C$5:$J$72,Q$15,FALSE)),0)*D39)/$C$9</f>
        <v>1.7489419487822917</v>
      </c>
      <c r="R39" s="554">
        <f>(IFERROR(IF($A39&lt;BenefitStart,0,VLOOKUP(ROUND($C$7,0),'Emission Rates'!$C$5:$J$72,R$15,FALSE)),0)*E39)/$C$9</f>
        <v>5.0947063629470002E-4</v>
      </c>
      <c r="S39" s="554">
        <f>(IFERROR(IF($A39&lt;BenefitStart,0,VLOOKUP(ROUND($C$7,0),'Emission Rates'!$C$5:$J$72,S$15,FALSE)),0)*F39)/$C$9</f>
        <v>4.4253944190682811E-5</v>
      </c>
      <c r="T39" s="554">
        <f>(IFERROR(IF($A39&lt;BenefitStart,0,VLOOKUP(ROUND($C$7,0),'Emission Rates'!$C$5:$J$72,T$15,FALSE)),0)*G39)/$C$9</f>
        <v>4.4860400733093322E-10</v>
      </c>
      <c r="U39" s="554">
        <f>(IFERROR(IF($A39&lt;BenefitStart,0,VLOOKUP(ROUND($C$7,0),'Emission Rates'!$C$5:$J$72,U$15,FALSE)),0)*H39)/$C$9</f>
        <v>5.7249856956500006E-10</v>
      </c>
      <c r="V39" s="434">
        <f>(IFERROR(IF($A39&lt;BenefitStart,0,VLOOKUP(ROUND($C$7,0),'Emission Rates'!$C$5:$J$72,V$15,FALSE)),0)*I39)/$C$9</f>
        <v>1.4312464239125E-9</v>
      </c>
      <c r="W39" s="554">
        <f>(IFERROR(IF($A39&lt;BenefitStart,0,VLOOKUP(ROUND($C$7,0),'Emission Rates'!$C$74:$J$140,W$15,FALSE)),0)*D39)/$C$9</f>
        <v>0.65370321830729161</v>
      </c>
      <c r="X39" s="433">
        <f>(IFERROR(IF($A39&lt;BenefitStart,0,VLOOKUP(ROUND($C$7,0),'Emission Rates'!$C$74:$J$140,X$15,FALSE)),0)*D39)/$C$9</f>
        <v>5.4828549627364582</v>
      </c>
      <c r="Y39" s="433">
        <f>(IFERROR(IF($A39&lt;BenefitStart,0,VLOOKUP(ROUND($C$7,0),'Emission Rates'!$C$74:$J$140,Y$15,FALSE)),0)*E39)/$C$9</f>
        <v>6.4976171041088662E-6</v>
      </c>
      <c r="Z39" s="433">
        <f>(IFERROR(IF($A39&lt;BenefitStart,0,VLOOKUP(ROUND($C$7,0),'Emission Rates'!$C$74:$J$140,Z$15,FALSE)),0)*F39)/$C$9</f>
        <v>1.4481002680197256E-8</v>
      </c>
      <c r="AA39" s="433">
        <f>(IFERROR(IF($A39&lt;BenefitStart,0,VLOOKUP(ROUND($C$7,0),'Emission Rates'!$C$74:$J$140,AA$15,FALSE)),0)*G39)/$C$9</f>
        <v>3.9421077144205759E-8</v>
      </c>
      <c r="AB39" s="433">
        <f>(IFERROR(IF($A39&lt;BenefitStart,0,VLOOKUP(ROUND($C$7,0),'Emission Rates'!$C$74:$J$140,AB$15,FALSE)),0)*H39)/$C$9</f>
        <v>1.4679450501666666E-13</v>
      </c>
      <c r="AC39" s="421">
        <f t="shared" si="8"/>
        <v>4.7067133955881673</v>
      </c>
      <c r="AD39" s="422">
        <f t="shared" si="9"/>
        <v>144.80951733133625</v>
      </c>
      <c r="AE39" s="422">
        <f t="shared" si="10"/>
        <v>0.56071075521947578</v>
      </c>
      <c r="AF39" s="422">
        <f t="shared" si="11"/>
        <v>1.4679446015626594E-3</v>
      </c>
      <c r="AG39" s="422">
        <f t="shared" si="12"/>
        <v>0.71562321138375129</v>
      </c>
      <c r="AH39" s="423">
        <f t="shared" si="13"/>
        <v>3.6698611941702428E-3</v>
      </c>
      <c r="AI39" s="422">
        <f t="shared" si="22"/>
        <v>1.7592314579041668</v>
      </c>
      <c r="AJ39" s="422">
        <f t="shared" si="22"/>
        <v>14.755336457648834</v>
      </c>
      <c r="AK39" s="422">
        <f t="shared" si="22"/>
        <v>1.8468518686238331</v>
      </c>
      <c r="AL39" s="422">
        <f t="shared" si="22"/>
        <v>1.8347865026815312E-4</v>
      </c>
      <c r="AM39" s="422">
        <f t="shared" si="22"/>
        <v>0.12899563186231866</v>
      </c>
      <c r="AN39" s="422">
        <f t="shared" si="22"/>
        <v>1.8349313112403883E-4</v>
      </c>
      <c r="AO39" s="430">
        <f t="shared" si="1"/>
        <v>144.375</v>
      </c>
      <c r="AP39" s="32">
        <f t="shared" si="2"/>
        <v>77</v>
      </c>
      <c r="AQ39" s="32">
        <f t="shared" si="3"/>
        <v>18100</v>
      </c>
      <c r="AR39" s="32">
        <f t="shared" si="4"/>
        <v>867600</v>
      </c>
      <c r="AS39" s="32">
        <f t="shared" si="5"/>
        <v>49100</v>
      </c>
      <c r="AT39" s="431">
        <f t="shared" si="6"/>
        <v>1415</v>
      </c>
      <c r="AU39" s="32">
        <f t="shared" si="15"/>
        <v>87419.4167928276</v>
      </c>
      <c r="AV39" s="32">
        <f t="shared" si="16"/>
        <v>12286.493741751852</v>
      </c>
      <c r="AW39" s="427">
        <f t="shared" si="17"/>
        <v>99705.910534579452</v>
      </c>
      <c r="AX39" s="428">
        <f>AV39/(1+0.03)^($A39-'A - Inputs'!$C$6)</f>
        <v>6044.1407728919885</v>
      </c>
      <c r="AY39" s="428">
        <f>AU39/(1+0.07)^($A39-'A - Inputs'!$C$6)</f>
        <v>17234.442538601008</v>
      </c>
      <c r="AZ39" s="429">
        <f t="shared" si="7"/>
        <v>23278.583311492996</v>
      </c>
      <c r="BA39" s="23"/>
      <c r="BB39" s="42">
        <v>2044</v>
      </c>
      <c r="BC39" s="33">
        <v>18100</v>
      </c>
      <c r="BD39" s="33">
        <v>49100</v>
      </c>
      <c r="BE39" s="33">
        <v>867600</v>
      </c>
      <c r="BF39" s="41">
        <f t="shared" si="20"/>
        <v>1415</v>
      </c>
      <c r="BG39" s="33">
        <v>77</v>
      </c>
      <c r="BH39" s="33">
        <f t="shared" si="18"/>
        <v>144.375</v>
      </c>
      <c r="BJ39" s="23"/>
      <c r="BK39" s="23"/>
      <c r="BL39" s="23"/>
      <c r="BM39" s="23"/>
      <c r="BN39" s="23"/>
      <c r="BO39" s="23"/>
      <c r="BP39" s="23"/>
      <c r="BQ39" s="23"/>
      <c r="BR39" s="23"/>
    </row>
    <row r="40" spans="1:70" x14ac:dyDescent="0.25">
      <c r="A40" s="34">
        <f t="shared" si="21"/>
        <v>2045</v>
      </c>
      <c r="B40" s="31">
        <f t="shared" si="21"/>
        <v>24</v>
      </c>
      <c r="C40" s="420">
        <f>'I - Travel Time'!D38*$C$5</f>
        <v>1858082.6697395833</v>
      </c>
      <c r="D40" s="420">
        <f>IF(A40&gt;=BenefitStart,('I - Travel Time'!E38*$C$5),C40)</f>
        <v>509238.25244791672</v>
      </c>
      <c r="E40" s="432">
        <f>(IFERROR(IF($A40&lt;BenefitStart,0,VLOOKUP(ROUND($C$7,0),'Emission Rates'!$C$5:$J$72,E$15,FALSE)),0)*$C40)/$C$9</f>
        <v>6.5371064486778021</v>
      </c>
      <c r="F40" s="554">
        <f>(IFERROR(IF($A40&lt;BenefitStart,0,VLOOKUP(ROUND($C$7,0),'Emission Rates'!$C$5:$J$72,F$15,FALSE)),0)*$C40)/$C$9</f>
        <v>146.63709717184329</v>
      </c>
      <c r="G40" s="554">
        <f>(IFERROR(IF($A40&lt;BenefitStart,0,VLOOKUP(ROUND($C$7,0),'Emission Rates'!$C$5:$J$72,G$15,FALSE)),0)*$C40)/$C$9</f>
        <v>0.56783006387241663</v>
      </c>
      <c r="H40" s="554">
        <f>(IFERROR(IF($A40&lt;BenefitStart,0,VLOOKUP(ROUND($C$7,0),'Emission Rates'!$C$5:$J$72,H$15,FALSE)),0)*$C40)/$C$9</f>
        <v>1.4864661357916666E-3</v>
      </c>
      <c r="I40" s="554">
        <f>(IFERROR(IF($A40&lt;BenefitStart,0,VLOOKUP(ROUND($C$7,0),'Emission Rates'!$C$5:$J$72,I$15,FALSE)),0)*$C40)/$C$9</f>
        <v>0.72465224119843752</v>
      </c>
      <c r="J40" s="434">
        <f>(IFERROR(IF($A40&lt;BenefitStart,0,VLOOKUP(ROUND($C$7,0),'Emission Rates'!$C$5:$J$72,J$15,FALSE)),0)*$C40)/$C$9</f>
        <v>3.7161653394791666E-3</v>
      </c>
      <c r="K40" s="554">
        <f>(IFERROR(IF($A40&lt;BenefitStart,0,VLOOKUP(ROUND($C$7,0),'Emission Rates'!$C$74:$J$140,K$15,FALSE)),0)*$C40)/$C$9</f>
        <v>2.443378710707552</v>
      </c>
      <c r="L40" s="554">
        <f>(IFERROR(IF($A40&lt;BenefitStart,0,VLOOKUP(ROUND($C$7,0),'Emission Rates'!$C$74:$J$140,L$15,FALSE)),0)*$C40)/$C$9</f>
        <v>20.49353699762576</v>
      </c>
      <c r="M40" s="554">
        <f>(IFERROR(IF($A40&lt;BenefitStart,0,VLOOKUP(ROUND($C$7,0),'Emission Rates'!$C$74:$J$140,M$15,FALSE)),0)*$C40)/$C$9</f>
        <v>1.8701602070928904</v>
      </c>
      <c r="N40" s="554">
        <f>(IFERROR(IF($A40&lt;BenefitStart,0,VLOOKUP(ROUND($C$7,0),'Emission Rates'!$C$74:$J$140,N$15,FALSE)),0)*$C40)/$C$9</f>
        <v>1.8580826697395833E-4</v>
      </c>
      <c r="O40" s="554">
        <f>(IFERROR(IF($A40&lt;BenefitStart,0,VLOOKUP(ROUND($C$7,0),'Emission Rates'!$C$74:$J$140,O$15,FALSE)),0)*$C40)/$C$9</f>
        <v>0.1306232116826927</v>
      </c>
      <c r="P40" s="554">
        <f>(IFERROR(IF($A40&lt;BenefitStart,0,VLOOKUP(ROUND($C$7,0),'Emission Rates'!$C$74:$J$140,P$15,FALSE)),0)*$C40)/$C$9</f>
        <v>1.8580826697395833E-4</v>
      </c>
      <c r="Q40" s="432">
        <f>(IFERROR(IF($A40&lt;BenefitStart,0,VLOOKUP(ROUND($C$7,0),'Emission Rates'!$C$5:$J$72,Q$15,FALSE)),0)*D40)/$C$9</f>
        <v>1.7916020197622606</v>
      </c>
      <c r="R40" s="554">
        <f>(IFERROR(IF($A40&lt;BenefitStart,0,VLOOKUP(ROUND($C$7,0),'Emission Rates'!$C$5:$J$72,R$15,FALSE)),0)*E40)/$C$9</f>
        <v>5.1589863526997908E-4</v>
      </c>
      <c r="S40" s="554">
        <f>(IFERROR(IF($A40&lt;BenefitStart,0,VLOOKUP(ROUND($C$7,0),'Emission Rates'!$C$5:$J$72,S$15,FALSE)),0)*F40)/$C$9</f>
        <v>4.4812296895715306E-5</v>
      </c>
      <c r="T40" s="554">
        <f>(IFERROR(IF($A40&lt;BenefitStart,0,VLOOKUP(ROUND($C$7,0),'Emission Rates'!$C$5:$J$72,T$15,FALSE)),0)*G40)/$C$9</f>
        <v>4.5426405109793336E-10</v>
      </c>
      <c r="U40" s="554">
        <f>(IFERROR(IF($A40&lt;BenefitStart,0,VLOOKUP(ROUND($C$7,0),'Emission Rates'!$C$5:$J$72,U$15,FALSE)),0)*H40)/$C$9</f>
        <v>5.7972179295875004E-10</v>
      </c>
      <c r="V40" s="434">
        <f>(IFERROR(IF($A40&lt;BenefitStart,0,VLOOKUP(ROUND($C$7,0),'Emission Rates'!$C$5:$J$72,V$15,FALSE)),0)*I40)/$C$9</f>
        <v>1.449304482396875E-9</v>
      </c>
      <c r="W40" s="554">
        <f>(IFERROR(IF($A40&lt;BenefitStart,0,VLOOKUP(ROUND($C$7,0),'Emission Rates'!$C$74:$J$140,W$15,FALSE)),0)*D40)/$C$9</f>
        <v>0.66964830196901048</v>
      </c>
      <c r="X40" s="433">
        <f>(IFERROR(IF($A40&lt;BenefitStart,0,VLOOKUP(ROUND($C$7,0),'Emission Rates'!$C$74:$J$140,X$15,FALSE)),0)*D40)/$C$9</f>
        <v>5.6165923815490526</v>
      </c>
      <c r="Y40" s="433">
        <f>(IFERROR(IF($A40&lt;BenefitStart,0,VLOOKUP(ROUND($C$7,0),'Emission Rates'!$C$74:$J$140,Y$15,FALSE)),0)*E40)/$C$9</f>
        <v>6.5795976405942076E-6</v>
      </c>
      <c r="Z40" s="433">
        <f>(IFERROR(IF($A40&lt;BenefitStart,0,VLOOKUP(ROUND($C$7,0),'Emission Rates'!$C$74:$J$140,Z$15,FALSE)),0)*F40)/$C$9</f>
        <v>1.466370971718433E-8</v>
      </c>
      <c r="AA40" s="433">
        <f>(IFERROR(IF($A40&lt;BenefitStart,0,VLOOKUP(ROUND($C$7,0),'Emission Rates'!$C$74:$J$140,AA$15,FALSE)),0)*G40)/$C$9</f>
        <v>3.9918453490230889E-8</v>
      </c>
      <c r="AB40" s="433">
        <f>(IFERROR(IF($A40&lt;BenefitStart,0,VLOOKUP(ROUND($C$7,0),'Emission Rates'!$C$74:$J$140,AB$15,FALSE)),0)*H40)/$C$9</f>
        <v>1.4864661357916666E-13</v>
      </c>
      <c r="AC40" s="421">
        <f t="shared" si="8"/>
        <v>4.7455044289155417</v>
      </c>
      <c r="AD40" s="422">
        <f t="shared" si="9"/>
        <v>146.63658127320804</v>
      </c>
      <c r="AE40" s="422">
        <f t="shared" si="10"/>
        <v>0.56778525157552096</v>
      </c>
      <c r="AF40" s="422">
        <f t="shared" si="11"/>
        <v>1.4864656815276156E-3</v>
      </c>
      <c r="AG40" s="422">
        <f t="shared" si="12"/>
        <v>0.72465224061871569</v>
      </c>
      <c r="AH40" s="423">
        <f t="shared" si="13"/>
        <v>3.7161638901746842E-3</v>
      </c>
      <c r="AI40" s="422">
        <f t="shared" si="22"/>
        <v>1.7737304087385415</v>
      </c>
      <c r="AJ40" s="422">
        <f t="shared" si="22"/>
        <v>14.876944616076708</v>
      </c>
      <c r="AK40" s="422">
        <f t="shared" si="22"/>
        <v>1.8701536274952499</v>
      </c>
      <c r="AL40" s="422">
        <f t="shared" si="22"/>
        <v>1.8579360326424115E-4</v>
      </c>
      <c r="AM40" s="422">
        <f t="shared" si="22"/>
        <v>0.13062317176423921</v>
      </c>
      <c r="AN40" s="422">
        <f t="shared" si="22"/>
        <v>1.8580826682531172E-4</v>
      </c>
      <c r="AO40" s="430">
        <f t="shared" si="1"/>
        <v>146.25</v>
      </c>
      <c r="AP40" s="32">
        <f t="shared" si="2"/>
        <v>78</v>
      </c>
      <c r="AQ40" s="32">
        <f t="shared" si="3"/>
        <v>18100</v>
      </c>
      <c r="AR40" s="32">
        <f t="shared" si="4"/>
        <v>867600</v>
      </c>
      <c r="AS40" s="32">
        <f t="shared" si="5"/>
        <v>49100</v>
      </c>
      <c r="AT40" s="431">
        <f t="shared" si="6"/>
        <v>1415</v>
      </c>
      <c r="AU40" s="32">
        <f t="shared" si="15"/>
        <v>88530.528000278515</v>
      </c>
      <c r="AV40" s="32">
        <f t="shared" si="16"/>
        <v>12598.05501936421</v>
      </c>
      <c r="AW40" s="427">
        <f t="shared" si="17"/>
        <v>101128.58301964273</v>
      </c>
      <c r="AX40" s="428">
        <f>AV40/(1+0.03)^($A40-'A - Inputs'!$C$6)</f>
        <v>6016.9012391131528</v>
      </c>
      <c r="AY40" s="428">
        <f>AU40/(1+0.07)^($A40-'A - Inputs'!$C$6)</f>
        <v>16311.676969660917</v>
      </c>
      <c r="AZ40" s="429">
        <f t="shared" si="7"/>
        <v>22328.57820877407</v>
      </c>
      <c r="BA40" s="23"/>
      <c r="BB40" s="42">
        <v>2045</v>
      </c>
      <c r="BC40" s="33">
        <v>18100</v>
      </c>
      <c r="BD40" s="33">
        <v>49100</v>
      </c>
      <c r="BE40" s="33">
        <v>867600</v>
      </c>
      <c r="BF40" s="41">
        <f t="shared" si="20"/>
        <v>1415</v>
      </c>
      <c r="BG40" s="33">
        <v>78</v>
      </c>
      <c r="BH40" s="33">
        <f t="shared" si="18"/>
        <v>146.25</v>
      </c>
      <c r="BJ40" s="23"/>
      <c r="BK40" s="23"/>
      <c r="BL40" s="23"/>
      <c r="BM40" s="23"/>
      <c r="BN40" s="23"/>
      <c r="BO40" s="23"/>
      <c r="BP40" s="23"/>
      <c r="BQ40" s="23"/>
      <c r="BR40" s="23"/>
    </row>
    <row r="41" spans="1:70" x14ac:dyDescent="0.25">
      <c r="A41" s="34">
        <f t="shared" si="21"/>
        <v>2046</v>
      </c>
      <c r="B41" s="31">
        <f t="shared" si="21"/>
        <v>25</v>
      </c>
      <c r="C41" s="420">
        <f>'I - Travel Time'!D39*$C$5</f>
        <v>1881366.7349999999</v>
      </c>
      <c r="D41" s="420">
        <f>IF(A41&gt;=BenefitStart,('I - Travel Time'!E39*$C$5),C41)</f>
        <v>521451.46499999997</v>
      </c>
      <c r="E41" s="432">
        <f>(IFERROR(IF($A41&lt;BenefitStart,0,VLOOKUP(ROUND($C$7,0),'Emission Rates'!$C$5:$J$72,E$15,FALSE)),0)*$C41)/$C$9</f>
        <v>6.6190244470769999</v>
      </c>
      <c r="F41" s="554">
        <f>(IFERROR(IF($A41&lt;BenefitStart,0,VLOOKUP(ROUND($C$7,0),'Emission Rates'!$C$5:$J$72,F$15,FALSE)),0)*$C41)/$C$9</f>
        <v>148.47464067609749</v>
      </c>
      <c r="G41" s="554">
        <f>(IFERROR(IF($A41&lt;BenefitStart,0,VLOOKUP(ROUND($C$7,0),'Emission Rates'!$C$5:$J$72,G$15,FALSE)),0)*$C41)/$C$9</f>
        <v>0.57494567421599985</v>
      </c>
      <c r="H41" s="554">
        <f>(IFERROR(IF($A41&lt;BenefitStart,0,VLOOKUP(ROUND($C$7,0),'Emission Rates'!$C$5:$J$72,H$15,FALSE)),0)*$C41)/$C$9</f>
        <v>1.5050933880000001E-3</v>
      </c>
      <c r="I41" s="554">
        <f>(IFERROR(IF($A41&lt;BenefitStart,0,VLOOKUP(ROUND($C$7,0),'Emission Rates'!$C$5:$J$72,I$15,FALSE)),0)*$C41)/$C$9</f>
        <v>0.73373302665000006</v>
      </c>
      <c r="J41" s="434">
        <f>(IFERROR(IF($A41&lt;BenefitStart,0,VLOOKUP(ROUND($C$7,0),'Emission Rates'!$C$5:$J$72,J$15,FALSE)),0)*$C41)/$C$9</f>
        <v>3.7627334699999997E-3</v>
      </c>
      <c r="K41" s="554">
        <f>(IFERROR(IF($A41&lt;BenefitStart,0,VLOOKUP(ROUND($C$7,0),'Emission Rates'!$C$74:$J$140,K$15,FALSE)),0)*$C41)/$C$9</f>
        <v>2.4739972565249997</v>
      </c>
      <c r="L41" s="554">
        <f>(IFERROR(IF($A41&lt;BenefitStart,0,VLOOKUP(ROUND($C$7,0),'Emission Rates'!$C$74:$J$140,L$15,FALSE)),0)*$C41)/$C$9</f>
        <v>20.750346267009</v>
      </c>
      <c r="M41" s="554">
        <f>(IFERROR(IF($A41&lt;BenefitStart,0,VLOOKUP(ROUND($C$7,0),'Emission Rates'!$C$74:$J$140,M$15,FALSE)),0)*$C41)/$C$9</f>
        <v>1.8935956187774998</v>
      </c>
      <c r="N41" s="554">
        <f>(IFERROR(IF($A41&lt;BenefitStart,0,VLOOKUP(ROUND($C$7,0),'Emission Rates'!$C$74:$J$140,N$15,FALSE)),0)*$C41)/$C$9</f>
        <v>1.8813667350000001E-4</v>
      </c>
      <c r="O41" s="554">
        <f>(IFERROR(IF($A41&lt;BenefitStart,0,VLOOKUP(ROUND($C$7,0),'Emission Rates'!$C$74:$J$140,O$15,FALSE)),0)*$C41)/$C$9</f>
        <v>0.13226008147049997</v>
      </c>
      <c r="P41" s="554">
        <f>(IFERROR(IF($A41&lt;BenefitStart,0,VLOOKUP(ROUND($C$7,0),'Emission Rates'!$C$74:$J$140,P$15,FALSE)),0)*$C41)/$C$9</f>
        <v>1.8813667350000001E-4</v>
      </c>
      <c r="Q41" s="432">
        <f>(IFERROR(IF($A41&lt;BenefitStart,0,VLOOKUP(ROUND($C$7,0),'Emission Rates'!$C$5:$J$72,Q$15,FALSE)),0)*D41)/$C$9</f>
        <v>1.834570544163</v>
      </c>
      <c r="R41" s="554">
        <f>(IFERROR(IF($A41&lt;BenefitStart,0,VLOOKUP(ROUND($C$7,0),'Emission Rates'!$C$5:$J$72,R$15,FALSE)),0)*E41)/$C$9</f>
        <v>5.2236348082664616E-4</v>
      </c>
      <c r="S41" s="554">
        <f>(IFERROR(IF($A41&lt;BenefitStart,0,VLOOKUP(ROUND($C$7,0),'Emission Rates'!$C$5:$J$72,S$15,FALSE)),0)*F41)/$C$9</f>
        <v>4.5373850190615392E-5</v>
      </c>
      <c r="T41" s="554">
        <f>(IFERROR(IF($A41&lt;BenefitStart,0,VLOOKUP(ROUND($C$7,0),'Emission Rates'!$C$5:$J$72,T$15,FALSE)),0)*G41)/$C$9</f>
        <v>4.5995653937279994E-10</v>
      </c>
      <c r="U41" s="554">
        <f>(IFERROR(IF($A41&lt;BenefitStart,0,VLOOKUP(ROUND($C$7,0),'Emission Rates'!$C$5:$J$72,U$15,FALSE)),0)*H41)/$C$9</f>
        <v>5.8698642131999997E-10</v>
      </c>
      <c r="V41" s="434">
        <f>(IFERROR(IF($A41&lt;BenefitStart,0,VLOOKUP(ROUND($C$7,0),'Emission Rates'!$C$5:$J$72,V$15,FALSE)),0)*I41)/$C$9</f>
        <v>1.4674660533000001E-9</v>
      </c>
      <c r="W41" s="554">
        <f>(IFERROR(IF($A41&lt;BenefitStart,0,VLOOKUP(ROUND($C$7,0),'Emission Rates'!$C$74:$J$140,W$15,FALSE)),0)*D41)/$C$9</f>
        <v>0.685708676475</v>
      </c>
      <c r="X41" s="433">
        <f>(IFERROR(IF($A41&lt;BenefitStart,0,VLOOKUP(ROUND($C$7,0),'Emission Rates'!$C$74:$J$140,X$15,FALSE)),0)*D41)/$C$9</f>
        <v>5.7512967880710004</v>
      </c>
      <c r="Y41" s="433">
        <f>(IFERROR(IF($A41&lt;BenefitStart,0,VLOOKUP(ROUND($C$7,0),'Emission Rates'!$C$74:$J$140,Y$15,FALSE)),0)*E41)/$C$9</f>
        <v>6.6620481059829998E-6</v>
      </c>
      <c r="Z41" s="433">
        <f>(IFERROR(IF($A41&lt;BenefitStart,0,VLOOKUP(ROUND($C$7,0),'Emission Rates'!$C$74:$J$140,Z$15,FALSE)),0)*F41)/$C$9</f>
        <v>1.4847464067609751E-8</v>
      </c>
      <c r="AA41" s="433">
        <f>(IFERROR(IF($A41&lt;BenefitStart,0,VLOOKUP(ROUND($C$7,0),'Emission Rates'!$C$74:$J$140,AA$15,FALSE)),0)*G41)/$C$9</f>
        <v>4.0418680897384791E-8</v>
      </c>
      <c r="AB41" s="433">
        <f>(IFERROR(IF($A41&lt;BenefitStart,0,VLOOKUP(ROUND($C$7,0),'Emission Rates'!$C$74:$J$140,AB$15,FALSE)),0)*H41)/$C$9</f>
        <v>1.5050933880000001E-13</v>
      </c>
      <c r="AC41" s="421">
        <f t="shared" si="8"/>
        <v>4.7844539029139996</v>
      </c>
      <c r="AD41" s="422">
        <f t="shared" si="9"/>
        <v>148.47411831261667</v>
      </c>
      <c r="AE41" s="422">
        <f t="shared" si="10"/>
        <v>0.57490030036580919</v>
      </c>
      <c r="AF41" s="422">
        <f t="shared" si="11"/>
        <v>1.5050929280434606E-3</v>
      </c>
      <c r="AG41" s="422">
        <f t="shared" si="12"/>
        <v>0.7337330260630136</v>
      </c>
      <c r="AH41" s="423">
        <f t="shared" si="13"/>
        <v>3.7627320025339465E-3</v>
      </c>
      <c r="AI41" s="422">
        <f t="shared" si="22"/>
        <v>1.7882885800499997</v>
      </c>
      <c r="AJ41" s="422">
        <f t="shared" si="22"/>
        <v>14.999049478938</v>
      </c>
      <c r="AK41" s="422">
        <f t="shared" si="22"/>
        <v>1.8935889567293938</v>
      </c>
      <c r="AL41" s="422">
        <f t="shared" si="22"/>
        <v>1.8812182603593239E-4</v>
      </c>
      <c r="AM41" s="422">
        <f t="shared" si="22"/>
        <v>0.13226004105181907</v>
      </c>
      <c r="AN41" s="422">
        <f t="shared" si="22"/>
        <v>1.8813667334949066E-4</v>
      </c>
      <c r="AO41" s="430">
        <f t="shared" si="1"/>
        <v>148.125</v>
      </c>
      <c r="AP41" s="32">
        <f t="shared" si="2"/>
        <v>79</v>
      </c>
      <c r="AQ41" s="32">
        <f t="shared" si="3"/>
        <v>18100</v>
      </c>
      <c r="AR41" s="32">
        <f t="shared" si="4"/>
        <v>867600</v>
      </c>
      <c r="AS41" s="32">
        <f t="shared" si="5"/>
        <v>49100</v>
      </c>
      <c r="AT41" s="431">
        <f t="shared" si="6"/>
        <v>1415</v>
      </c>
      <c r="AU41" s="32">
        <f t="shared" si="15"/>
        <v>89648.126228866153</v>
      </c>
      <c r="AV41" s="32">
        <f t="shared" si="16"/>
        <v>12914.380255532818</v>
      </c>
      <c r="AW41" s="427">
        <f t="shared" si="17"/>
        <v>102562.50648439897</v>
      </c>
      <c r="AX41" s="428">
        <f>AV41/(1+0.03)^($A41-'A - Inputs'!$C$6)</f>
        <v>5988.3300326264934</v>
      </c>
      <c r="AY41" s="428">
        <f>AU41/(1+0.07)^($A41-'A - Inputs'!$C$6)</f>
        <v>15437.003293531312</v>
      </c>
      <c r="AZ41" s="429">
        <f t="shared" si="7"/>
        <v>21425.333326157805</v>
      </c>
      <c r="BA41" s="23"/>
      <c r="BB41" s="42">
        <v>2046</v>
      </c>
      <c r="BC41" s="33">
        <v>18100</v>
      </c>
      <c r="BD41" s="33">
        <v>49100</v>
      </c>
      <c r="BE41" s="33">
        <v>867600</v>
      </c>
      <c r="BF41" s="41">
        <f t="shared" si="20"/>
        <v>1415</v>
      </c>
      <c r="BG41" s="33">
        <v>79</v>
      </c>
      <c r="BH41" s="33">
        <f t="shared" si="18"/>
        <v>148.125</v>
      </c>
      <c r="BJ41" s="23"/>
      <c r="BK41" s="23"/>
      <c r="BL41" s="23"/>
      <c r="BM41" s="23"/>
      <c r="BN41" s="23"/>
      <c r="BO41" s="23"/>
      <c r="BP41" s="23"/>
      <c r="BQ41" s="23"/>
      <c r="BR41" s="23"/>
    </row>
    <row r="42" spans="1:70" x14ac:dyDescent="0.25">
      <c r="A42" s="34">
        <f t="shared" si="21"/>
        <v>2047</v>
      </c>
      <c r="B42" s="31">
        <f t="shared" si="21"/>
        <v>26</v>
      </c>
      <c r="C42" s="420">
        <f>'I - Travel Time'!D40*$C$5</f>
        <v>1904783.5084895834</v>
      </c>
      <c r="D42" s="420">
        <f>IF(A42&gt;=BenefitStart,('I - Travel Time'!E40*$C$5),C42)</f>
        <v>533752.35119791667</v>
      </c>
      <c r="E42" s="432">
        <f>(IFERROR(IF($A42&lt;BenefitStart,0,VLOOKUP(ROUND($C$7,0),'Emission Rates'!$C$5:$J$72,E$15,FALSE)),0)*$C42)/$C$9</f>
        <v>6.7014093395680527</v>
      </c>
      <c r="F42" s="554">
        <f>(IFERROR(IF($A42&lt;BenefitStart,0,VLOOKUP(ROUND($C$7,0),'Emission Rates'!$C$5:$J$72,F$15,FALSE)),0)*$C42)/$C$9</f>
        <v>150.32265731473518</v>
      </c>
      <c r="G42" s="554">
        <f>(IFERROR(IF($A42&lt;BenefitStart,0,VLOOKUP(ROUND($C$7,0),'Emission Rates'!$C$5:$J$72,G$15,FALSE)),0)*$C42)/$C$9</f>
        <v>0.58210184019441669</v>
      </c>
      <c r="H42" s="554">
        <f>(IFERROR(IF($A42&lt;BenefitStart,0,VLOOKUP(ROUND($C$7,0),'Emission Rates'!$C$5:$J$72,H$15,FALSE)),0)*$C42)/$C$9</f>
        <v>1.5238268067916667E-3</v>
      </c>
      <c r="I42" s="554">
        <f>(IFERROR(IF($A42&lt;BenefitStart,0,VLOOKUP(ROUND($C$7,0),'Emission Rates'!$C$5:$J$72,I$15,FALSE)),0)*$C42)/$C$9</f>
        <v>0.74286556831093753</v>
      </c>
      <c r="J42" s="434">
        <f>(IFERROR(IF($A42&lt;BenefitStart,0,VLOOKUP(ROUND($C$7,0),'Emission Rates'!$C$5:$J$72,J$15,FALSE)),0)*$C42)/$C$9</f>
        <v>3.809567016979167E-3</v>
      </c>
      <c r="K42" s="554">
        <f>(IFERROR(IF($A42&lt;BenefitStart,0,VLOOKUP(ROUND($C$7,0),'Emission Rates'!$C$74:$J$140,K$15,FALSE)),0)*$C42)/$C$9</f>
        <v>2.5047903136638019</v>
      </c>
      <c r="L42" s="554">
        <f>(IFERROR(IF($A42&lt;BenefitStart,0,VLOOKUP(ROUND($C$7,0),'Emission Rates'!$C$74:$J$140,L$15,FALSE)),0)*$C42)/$C$9</f>
        <v>21.008619228535011</v>
      </c>
      <c r="M42" s="554">
        <f>(IFERROR(IF($A42&lt;BenefitStart,0,VLOOKUP(ROUND($C$7,0),'Emission Rates'!$C$74:$J$140,M$15,FALSE)),0)*$C42)/$C$9</f>
        <v>1.9171646012947654</v>
      </c>
      <c r="N42" s="554">
        <f>(IFERROR(IF($A42&lt;BenefitStart,0,VLOOKUP(ROUND($C$7,0),'Emission Rates'!$C$74:$J$140,N$15,FALSE)),0)*$C42)/$C$9</f>
        <v>1.9047835084895834E-4</v>
      </c>
      <c r="O42" s="554">
        <f>(IFERROR(IF($A42&lt;BenefitStart,0,VLOOKUP(ROUND($C$7,0),'Emission Rates'!$C$74:$J$140,O$15,FALSE)),0)*$C42)/$C$9</f>
        <v>0.1339062806468177</v>
      </c>
      <c r="P42" s="554">
        <f>(IFERROR(IF($A42&lt;BenefitStart,0,VLOOKUP(ROUND($C$7,0),'Emission Rates'!$C$74:$J$140,P$15,FALSE)),0)*$C42)/$C$9</f>
        <v>1.9047835084895834E-4</v>
      </c>
      <c r="Q42" s="432">
        <f>(IFERROR(IF($A42&lt;BenefitStart,0,VLOOKUP(ROUND($C$7,0),'Emission Rates'!$C$5:$J$72,Q$15,FALSE)),0)*D42)/$C$9</f>
        <v>1.8778475219845105</v>
      </c>
      <c r="R42" s="554">
        <f>(IFERROR(IF($A42&lt;BenefitStart,0,VLOOKUP(ROUND($C$7,0),'Emission Rates'!$C$5:$J$72,R$15,FALSE)),0)*E42)/$C$9</f>
        <v>5.2886517296470126E-4</v>
      </c>
      <c r="S42" s="554">
        <f>(IFERROR(IF($A42&lt;BenefitStart,0,VLOOKUP(ROUND($C$7,0),'Emission Rates'!$C$5:$J$72,S$15,FALSE)),0)*F42)/$C$9</f>
        <v>4.5938604075383071E-5</v>
      </c>
      <c r="T42" s="554">
        <f>(IFERROR(IF($A42&lt;BenefitStart,0,VLOOKUP(ROUND($C$7,0),'Emission Rates'!$C$5:$J$72,T$15,FALSE)),0)*G42)/$C$9</f>
        <v>4.6568147215553333E-10</v>
      </c>
      <c r="U42" s="554">
        <f>(IFERROR(IF($A42&lt;BenefitStart,0,VLOOKUP(ROUND($C$7,0),'Emission Rates'!$C$5:$J$72,U$15,FALSE)),0)*H42)/$C$9</f>
        <v>5.9429245464875006E-10</v>
      </c>
      <c r="V42" s="434">
        <f>(IFERROR(IF($A42&lt;BenefitStart,0,VLOOKUP(ROUND($C$7,0),'Emission Rates'!$C$5:$J$72,V$15,FALSE)),0)*I42)/$C$9</f>
        <v>1.4857311366218751E-9</v>
      </c>
      <c r="W42" s="554">
        <f>(IFERROR(IF($A42&lt;BenefitStart,0,VLOOKUP(ROUND($C$7,0),'Emission Rates'!$C$74:$J$140,W$15,FALSE)),0)*D42)/$C$9</f>
        <v>0.70188434182526038</v>
      </c>
      <c r="X42" s="433">
        <f>(IFERROR(IF($A42&lt;BenefitStart,0,VLOOKUP(ROUND($C$7,0),'Emission Rates'!$C$74:$J$140,X$15,FALSE)),0)*D42)/$C$9</f>
        <v>5.8869681823023026</v>
      </c>
      <c r="Y42" s="433">
        <f>(IFERROR(IF($A42&lt;BenefitStart,0,VLOOKUP(ROUND($C$7,0),'Emission Rates'!$C$74:$J$140,Y$15,FALSE)),0)*E42)/$C$9</f>
        <v>6.7449685002752445E-6</v>
      </c>
      <c r="Z42" s="433">
        <f>(IFERROR(IF($A42&lt;BenefitStart,0,VLOOKUP(ROUND($C$7,0),'Emission Rates'!$C$74:$J$140,Z$15,FALSE)),0)*F42)/$C$9</f>
        <v>1.503226573147352E-8</v>
      </c>
      <c r="AA42" s="433">
        <f>(IFERROR(IF($A42&lt;BenefitStart,0,VLOOKUP(ROUND($C$7,0),'Emission Rates'!$C$74:$J$140,AA$15,FALSE)),0)*G42)/$C$9</f>
        <v>4.0921759365667492E-8</v>
      </c>
      <c r="AB42" s="433">
        <f>(IFERROR(IF($A42&lt;BenefitStart,0,VLOOKUP(ROUND($C$7,0),'Emission Rates'!$C$74:$J$140,AB$15,FALSE)),0)*H42)/$C$9</f>
        <v>1.5238268067916668E-13</v>
      </c>
      <c r="AC42" s="421">
        <f t="shared" si="8"/>
        <v>4.823561817583542</v>
      </c>
      <c r="AD42" s="422">
        <f t="shared" si="9"/>
        <v>150.32212844956223</v>
      </c>
      <c r="AE42" s="422">
        <f t="shared" si="10"/>
        <v>0.58205590159034126</v>
      </c>
      <c r="AF42" s="422">
        <f t="shared" si="11"/>
        <v>1.5238263411101946E-3</v>
      </c>
      <c r="AG42" s="422">
        <f t="shared" si="12"/>
        <v>0.74286556771664503</v>
      </c>
      <c r="AH42" s="423">
        <f t="shared" si="13"/>
        <v>3.8095655312480304E-3</v>
      </c>
      <c r="AI42" s="422">
        <f t="shared" si="22"/>
        <v>1.8029059718385416</v>
      </c>
      <c r="AJ42" s="422">
        <f t="shared" si="22"/>
        <v>15.121651046232708</v>
      </c>
      <c r="AK42" s="422">
        <f t="shared" si="22"/>
        <v>1.9171578563262652</v>
      </c>
      <c r="AL42" s="422">
        <f t="shared" si="22"/>
        <v>1.9046331858322687E-4</v>
      </c>
      <c r="AM42" s="422">
        <f t="shared" si="22"/>
        <v>0.13390623972505833</v>
      </c>
      <c r="AN42" s="422">
        <f t="shared" si="22"/>
        <v>1.9047835069657565E-4</v>
      </c>
      <c r="AO42" s="430">
        <f t="shared" si="1"/>
        <v>150</v>
      </c>
      <c r="AP42" s="32">
        <f t="shared" si="2"/>
        <v>80</v>
      </c>
      <c r="AQ42" s="32">
        <f t="shared" si="3"/>
        <v>18100</v>
      </c>
      <c r="AR42" s="32">
        <f t="shared" si="4"/>
        <v>867600</v>
      </c>
      <c r="AS42" s="32">
        <f t="shared" si="5"/>
        <v>49100</v>
      </c>
      <c r="AT42" s="431">
        <f t="shared" si="6"/>
        <v>1415</v>
      </c>
      <c r="AU42" s="32">
        <f t="shared" si="15"/>
        <v>90772.212702934499</v>
      </c>
      <c r="AV42" s="32">
        <f t="shared" si="16"/>
        <v>13235.502359663595</v>
      </c>
      <c r="AW42" s="427">
        <f t="shared" si="17"/>
        <v>104007.71506259809</v>
      </c>
      <c r="AX42" s="428">
        <f>AV42/(1+0.03)^($A42-'A - Inputs'!$C$6)</f>
        <v>5958.4783098795087</v>
      </c>
      <c r="AY42" s="428">
        <f>AU42/(1+0.07)^($A42-'A - Inputs'!$C$6)</f>
        <v>14608.005530954202</v>
      </c>
      <c r="AZ42" s="429">
        <f t="shared" si="7"/>
        <v>20566.483840833709</v>
      </c>
      <c r="BA42" s="23"/>
      <c r="BB42" s="42">
        <v>2047</v>
      </c>
      <c r="BC42" s="33">
        <v>18100</v>
      </c>
      <c r="BD42" s="33">
        <v>49100</v>
      </c>
      <c r="BE42" s="33">
        <v>867600</v>
      </c>
      <c r="BF42" s="41">
        <f t="shared" si="20"/>
        <v>1415</v>
      </c>
      <c r="BG42" s="33">
        <v>80</v>
      </c>
      <c r="BH42" s="33">
        <f t="shared" si="18"/>
        <v>150</v>
      </c>
      <c r="BJ42" s="23"/>
      <c r="BK42" s="23"/>
      <c r="BL42" s="23"/>
      <c r="BM42" s="23"/>
      <c r="BN42" s="23"/>
      <c r="BO42" s="23"/>
      <c r="BP42" s="23"/>
      <c r="BQ42" s="23"/>
      <c r="BR42" s="23"/>
    </row>
    <row r="43" spans="1:70" x14ac:dyDescent="0.25">
      <c r="A43" s="34">
        <f t="shared" si="21"/>
        <v>2048</v>
      </c>
      <c r="B43" s="31">
        <f t="shared" si="21"/>
        <v>27</v>
      </c>
      <c r="C43" s="420">
        <f>'I - Travel Time'!D41*$C$5</f>
        <v>1928332.9902083334</v>
      </c>
      <c r="D43" s="420">
        <f>IF(A43&gt;=BenefitStart,('I - Travel Time'!E41*$C$5),C43)</f>
        <v>546140.91104166664</v>
      </c>
      <c r="E43" s="432">
        <f>(IFERROR(IF($A43&lt;BenefitStart,0,VLOOKUP(ROUND($C$7,0),'Emission Rates'!$C$5:$J$72,E$15,FALSE)),0)*$C43)/$C$9</f>
        <v>6.7842611261509589</v>
      </c>
      <c r="F43" s="554">
        <f>(IFERROR(IF($A43&lt;BenefitStart,0,VLOOKUP(ROUND($C$7,0),'Emission Rates'!$C$5:$J$72,F$15,FALSE)),0)*$C43)/$C$9</f>
        <v>152.18114708775633</v>
      </c>
      <c r="G43" s="554">
        <f>(IFERROR(IF($A43&lt;BenefitStart,0,VLOOKUP(ROUND($C$7,0),'Emission Rates'!$C$5:$J$72,G$15,FALSE)),0)*$C43)/$C$9</f>
        <v>0.58929856180766671</v>
      </c>
      <c r="H43" s="554">
        <f>(IFERROR(IF($A43&lt;BenefitStart,0,VLOOKUP(ROUND($C$7,0),'Emission Rates'!$C$5:$J$72,H$15,FALSE)),0)*$C43)/$C$9</f>
        <v>1.5426663921666668E-3</v>
      </c>
      <c r="I43" s="554">
        <f>(IFERROR(IF($A43&lt;BenefitStart,0,VLOOKUP(ROUND($C$7,0),'Emission Rates'!$C$5:$J$72,I$15,FALSE)),0)*$C43)/$C$9</f>
        <v>0.75204986618125003</v>
      </c>
      <c r="J43" s="434">
        <f>(IFERROR(IF($A43&lt;BenefitStart,0,VLOOKUP(ROUND($C$7,0),'Emission Rates'!$C$5:$J$72,J$15,FALSE)),0)*$C43)/$C$9</f>
        <v>3.8566659804166667E-3</v>
      </c>
      <c r="K43" s="554">
        <f>(IFERROR(IF($A43&lt;BenefitStart,0,VLOOKUP(ROUND($C$7,0),'Emission Rates'!$C$74:$J$140,K$15,FALSE)),0)*$C43)/$C$9</f>
        <v>2.5357578821239581</v>
      </c>
      <c r="L43" s="554">
        <f>(IFERROR(IF($A43&lt;BenefitStart,0,VLOOKUP(ROUND($C$7,0),'Emission Rates'!$C$74:$J$140,L$15,FALSE)),0)*$C43)/$C$9</f>
        <v>21.268355882203796</v>
      </c>
      <c r="M43" s="554">
        <f>(IFERROR(IF($A43&lt;BenefitStart,0,VLOOKUP(ROUND($C$7,0),'Emission Rates'!$C$74:$J$140,M$15,FALSE)),0)*$C43)/$C$9</f>
        <v>1.9408671546446874</v>
      </c>
      <c r="N43" s="554">
        <f>(IFERROR(IF($A43&lt;BenefitStart,0,VLOOKUP(ROUND($C$7,0),'Emission Rates'!$C$74:$J$140,N$15,FALSE)),0)*$C43)/$C$9</f>
        <v>1.9283329902083335E-4</v>
      </c>
      <c r="O43" s="554">
        <f>(IFERROR(IF($A43&lt;BenefitStart,0,VLOOKUP(ROUND($C$7,0),'Emission Rates'!$C$74:$J$140,O$15,FALSE)),0)*$C43)/$C$9</f>
        <v>0.13556180921164582</v>
      </c>
      <c r="P43" s="554">
        <f>(IFERROR(IF($A43&lt;BenefitStart,0,VLOOKUP(ROUND($C$7,0),'Emission Rates'!$C$74:$J$140,P$15,FALSE)),0)*$C43)/$C$9</f>
        <v>1.9283329902083335E-4</v>
      </c>
      <c r="Q43" s="432">
        <f>(IFERROR(IF($A43&lt;BenefitStart,0,VLOOKUP(ROUND($C$7,0),'Emission Rates'!$C$5:$J$72,Q$15,FALSE)),0)*D43)/$C$9</f>
        <v>1.9214329532267918</v>
      </c>
      <c r="R43" s="554">
        <f>(IFERROR(IF($A43&lt;BenefitStart,0,VLOOKUP(ROUND($C$7,0),'Emission Rates'!$C$5:$J$72,R$15,FALSE)),0)*E43)/$C$9</f>
        <v>5.354037116841445E-4</v>
      </c>
      <c r="S43" s="554">
        <f>(IFERROR(IF($A43&lt;BenefitStart,0,VLOOKUP(ROUND($C$7,0),'Emission Rates'!$C$5:$J$72,S$15,FALSE)),0)*F43)/$C$9</f>
        <v>4.6506558550018335E-5</v>
      </c>
      <c r="T43" s="554">
        <f>(IFERROR(IF($A43&lt;BenefitStart,0,VLOOKUP(ROUND($C$7,0),'Emission Rates'!$C$5:$J$72,T$15,FALSE)),0)*G43)/$C$9</f>
        <v>4.7143884944613343E-10</v>
      </c>
      <c r="U43" s="554">
        <f>(IFERROR(IF($A43&lt;BenefitStart,0,VLOOKUP(ROUND($C$7,0),'Emission Rates'!$C$5:$J$72,U$15,FALSE)),0)*H43)/$C$9</f>
        <v>6.016398929450001E-10</v>
      </c>
      <c r="V43" s="434">
        <f>(IFERROR(IF($A43&lt;BenefitStart,0,VLOOKUP(ROUND($C$7,0),'Emission Rates'!$C$5:$J$72,V$15,FALSE)),0)*I43)/$C$9</f>
        <v>1.5040997323625E-9</v>
      </c>
      <c r="W43" s="554">
        <f>(IFERROR(IF($A43&lt;BenefitStart,0,VLOOKUP(ROUND($C$7,0),'Emission Rates'!$C$74:$J$140,W$15,FALSE)),0)*D43)/$C$9</f>
        <v>0.71817529801979163</v>
      </c>
      <c r="X43" s="433">
        <f>(IFERROR(IF($A43&lt;BenefitStart,0,VLOOKUP(ROUND($C$7,0),'Emission Rates'!$C$74:$J$140,X$15,FALSE)),0)*D43)/$C$9</f>
        <v>6.0236065642429582</v>
      </c>
      <c r="Y43" s="433">
        <f>(IFERROR(IF($A43&lt;BenefitStart,0,VLOOKUP(ROUND($C$7,0),'Emission Rates'!$C$74:$J$140,Y$15,FALSE)),0)*E43)/$C$9</f>
        <v>6.8283588234709401E-6</v>
      </c>
      <c r="Z43" s="433">
        <f>(IFERROR(IF($A43&lt;BenefitStart,0,VLOOKUP(ROUND($C$7,0),'Emission Rates'!$C$74:$J$140,Z$15,FALSE)),0)*F43)/$C$9</f>
        <v>1.5218114708775635E-8</v>
      </c>
      <c r="AA43" s="433">
        <f>(IFERROR(IF($A43&lt;BenefitStart,0,VLOOKUP(ROUND($C$7,0),'Emission Rates'!$C$74:$J$140,AA$15,FALSE)),0)*G43)/$C$9</f>
        <v>4.1427688895078971E-8</v>
      </c>
      <c r="AB43" s="433">
        <f>(IFERROR(IF($A43&lt;BenefitStart,0,VLOOKUP(ROUND($C$7,0),'Emission Rates'!$C$74:$J$140,AB$15,FALSE)),0)*H43)/$C$9</f>
        <v>1.5426663921666668E-13</v>
      </c>
      <c r="AC43" s="421">
        <f t="shared" si="8"/>
        <v>4.8628281729241669</v>
      </c>
      <c r="AD43" s="422">
        <f t="shared" si="9"/>
        <v>152.18061168404464</v>
      </c>
      <c r="AE43" s="422">
        <f t="shared" si="10"/>
        <v>0.58925205524911672</v>
      </c>
      <c r="AF43" s="422">
        <f t="shared" si="11"/>
        <v>1.5426659207278173E-3</v>
      </c>
      <c r="AG43" s="422">
        <f t="shared" si="12"/>
        <v>0.75204986557961018</v>
      </c>
      <c r="AH43" s="423">
        <f t="shared" si="13"/>
        <v>3.8566644763169343E-3</v>
      </c>
      <c r="AI43" s="422">
        <f t="shared" si="22"/>
        <v>1.8175825841041666</v>
      </c>
      <c r="AJ43" s="422">
        <f t="shared" si="22"/>
        <v>15.244749317960839</v>
      </c>
      <c r="AK43" s="422">
        <f t="shared" si="22"/>
        <v>1.9408603262858639</v>
      </c>
      <c r="AL43" s="422">
        <f t="shared" si="22"/>
        <v>1.9281808090612458E-4</v>
      </c>
      <c r="AM43" s="422">
        <f t="shared" si="22"/>
        <v>0.13556176778395693</v>
      </c>
      <c r="AN43" s="422">
        <f t="shared" si="22"/>
        <v>1.9283329886656672E-4</v>
      </c>
      <c r="AO43" s="430">
        <f t="shared" si="1"/>
        <v>151.875</v>
      </c>
      <c r="AP43" s="32">
        <f t="shared" si="2"/>
        <v>81</v>
      </c>
      <c r="AQ43" s="32">
        <f t="shared" si="3"/>
        <v>18100</v>
      </c>
      <c r="AR43" s="32">
        <f t="shared" si="4"/>
        <v>867600</v>
      </c>
      <c r="AS43" s="32">
        <f t="shared" si="5"/>
        <v>49100</v>
      </c>
      <c r="AT43" s="431">
        <f t="shared" si="6"/>
        <v>1415</v>
      </c>
      <c r="AU43" s="32">
        <f t="shared" si="15"/>
        <v>91902.788646827452</v>
      </c>
      <c r="AV43" s="32">
        <f t="shared" si="16"/>
        <v>13561.454241162442</v>
      </c>
      <c r="AW43" s="427">
        <f t="shared" si="17"/>
        <v>105464.24288798989</v>
      </c>
      <c r="AX43" s="428">
        <f>AV43/(1+0.03)^($A43-'A - Inputs'!$C$6)</f>
        <v>5927.3963879965786</v>
      </c>
      <c r="AY43" s="428">
        <f>AU43/(1+0.07)^($A43-'A - Inputs'!$C$6)</f>
        <v>13822.382740996174</v>
      </c>
      <c r="AZ43" s="429">
        <f t="shared" si="7"/>
        <v>19749.779128992752</v>
      </c>
      <c r="BA43" s="23"/>
      <c r="BB43" s="42">
        <v>2048</v>
      </c>
      <c r="BC43" s="33">
        <v>18100</v>
      </c>
      <c r="BD43" s="33">
        <v>49100</v>
      </c>
      <c r="BE43" s="33">
        <v>867600</v>
      </c>
      <c r="BF43" s="41">
        <f t="shared" si="20"/>
        <v>1415</v>
      </c>
      <c r="BG43" s="33">
        <v>81</v>
      </c>
      <c r="BH43" s="33">
        <f t="shared" si="18"/>
        <v>151.875</v>
      </c>
      <c r="BJ43" s="23"/>
      <c r="BK43" s="23"/>
      <c r="BL43" s="23"/>
      <c r="BM43" s="23"/>
      <c r="BN43" s="23"/>
      <c r="BO43" s="23"/>
      <c r="BP43" s="23"/>
      <c r="BQ43" s="23"/>
      <c r="BR43" s="23"/>
    </row>
    <row r="44" spans="1:70" x14ac:dyDescent="0.25">
      <c r="A44" s="34">
        <f t="shared" si="21"/>
        <v>2049</v>
      </c>
      <c r="B44" s="31">
        <f t="shared" si="21"/>
        <v>28</v>
      </c>
      <c r="C44" s="420">
        <f>'I - Travel Time'!D42*$C$5</f>
        <v>1952015.1801562503</v>
      </c>
      <c r="D44" s="420">
        <f>IF(A44&gt;=BenefitStart,('I - Travel Time'!E42*$C$5),C44)</f>
        <v>558617.14453125</v>
      </c>
      <c r="E44" s="432">
        <f>(IFERROR(IF($A44&lt;BenefitStart,0,VLOOKUP(ROUND($C$7,0),'Emission Rates'!$C$5:$J$72,E$15,FALSE)),0)*$C44)/$C$9</f>
        <v>6.8675798068257201</v>
      </c>
      <c r="F44" s="554">
        <f>(IFERROR(IF($A44&lt;BenefitStart,0,VLOOKUP(ROUND($C$7,0),'Emission Rates'!$C$5:$J$72,F$15,FALSE)),0)*$C44)/$C$9</f>
        <v>154.05010999516102</v>
      </c>
      <c r="G44" s="554">
        <f>(IFERROR(IF($A44&lt;BenefitStart,0,VLOOKUP(ROUND($C$7,0),'Emission Rates'!$C$5:$J$72,G$15,FALSE)),0)*$C44)/$C$9</f>
        <v>0.59653583905575003</v>
      </c>
      <c r="H44" s="554">
        <f>(IFERROR(IF($A44&lt;BenefitStart,0,VLOOKUP(ROUND($C$7,0),'Emission Rates'!$C$5:$J$72,H$15,FALSE)),0)*$C44)/$C$9</f>
        <v>1.5616121441250001E-3</v>
      </c>
      <c r="I44" s="554">
        <f>(IFERROR(IF($A44&lt;BenefitStart,0,VLOOKUP(ROUND($C$7,0),'Emission Rates'!$C$5:$J$72,I$15,FALSE)),0)*$C44)/$C$9</f>
        <v>0.76128592026093767</v>
      </c>
      <c r="J44" s="434">
        <f>(IFERROR(IF($A44&lt;BenefitStart,0,VLOOKUP(ROUND($C$7,0),'Emission Rates'!$C$5:$J$72,J$15,FALSE)),0)*$C44)/$C$9</f>
        <v>3.9040303603125009E-3</v>
      </c>
      <c r="K44" s="554">
        <f>(IFERROR(IF($A44&lt;BenefitStart,0,VLOOKUP(ROUND($C$7,0),'Emission Rates'!$C$74:$J$140,K$15,FALSE)),0)*$C44)/$C$9</f>
        <v>2.5668999619054693</v>
      </c>
      <c r="L44" s="554">
        <f>(IFERROR(IF($A44&lt;BenefitStart,0,VLOOKUP(ROUND($C$7,0),'Emission Rates'!$C$74:$J$140,L$15,FALSE)),0)*$C44)/$C$9</f>
        <v>21.529556228015348</v>
      </c>
      <c r="M44" s="554">
        <f>(IFERROR(IF($A44&lt;BenefitStart,0,VLOOKUP(ROUND($C$7,0),'Emission Rates'!$C$74:$J$140,M$15,FALSE)),0)*$C44)/$C$9</f>
        <v>1.9647032788272658</v>
      </c>
      <c r="N44" s="554">
        <f>(IFERROR(IF($A44&lt;BenefitStart,0,VLOOKUP(ROUND($C$7,0),'Emission Rates'!$C$74:$J$140,N$15,FALSE)),0)*$C44)/$C$9</f>
        <v>1.9520151801562501E-4</v>
      </c>
      <c r="O44" s="554">
        <f>(IFERROR(IF($A44&lt;BenefitStart,0,VLOOKUP(ROUND($C$7,0),'Emission Rates'!$C$74:$J$140,O$15,FALSE)),0)*$C44)/$C$9</f>
        <v>0.13722666716498438</v>
      </c>
      <c r="P44" s="554">
        <f>(IFERROR(IF($A44&lt;BenefitStart,0,VLOOKUP(ROUND($C$7,0),'Emission Rates'!$C$74:$J$140,P$15,FALSE)),0)*$C44)/$C$9</f>
        <v>1.9520151801562501E-4</v>
      </c>
      <c r="Q44" s="432">
        <f>(IFERROR(IF($A44&lt;BenefitStart,0,VLOOKUP(ROUND($C$7,0),'Emission Rates'!$C$5:$J$72,Q$15,FALSE)),0)*D44)/$C$9</f>
        <v>1.9653268378898439</v>
      </c>
      <c r="R44" s="554">
        <f>(IFERROR(IF($A44&lt;BenefitStart,0,VLOOKUP(ROUND($C$7,0),'Emission Rates'!$C$5:$J$72,R$15,FALSE)),0)*E44)/$C$9</f>
        <v>5.4197909698497555E-4</v>
      </c>
      <c r="S44" s="554">
        <f>(IFERROR(IF($A44&lt;BenefitStart,0,VLOOKUP(ROUND($C$7,0),'Emission Rates'!$C$5:$J$72,S$15,FALSE)),0)*F44)/$C$9</f>
        <v>4.7077713614521211E-5</v>
      </c>
      <c r="T44" s="554">
        <f>(IFERROR(IF($A44&lt;BenefitStart,0,VLOOKUP(ROUND($C$7,0),'Emission Rates'!$C$5:$J$72,T$15,FALSE)),0)*G44)/$C$9</f>
        <v>4.7722867124460003E-10</v>
      </c>
      <c r="U44" s="554">
        <f>(IFERROR(IF($A44&lt;BenefitStart,0,VLOOKUP(ROUND($C$7,0),'Emission Rates'!$C$5:$J$72,U$15,FALSE)),0)*H44)/$C$9</f>
        <v>6.090287362087501E-10</v>
      </c>
      <c r="V44" s="434">
        <f>(IFERROR(IF($A44&lt;BenefitStart,0,VLOOKUP(ROUND($C$7,0),'Emission Rates'!$C$5:$J$72,V$15,FALSE)),0)*I44)/$C$9</f>
        <v>1.5225718405218753E-9</v>
      </c>
      <c r="W44" s="554">
        <f>(IFERROR(IF($A44&lt;BenefitStart,0,VLOOKUP(ROUND($C$7,0),'Emission Rates'!$C$74:$J$140,W$15,FALSE)),0)*D44)/$C$9</f>
        <v>0.73458154505859374</v>
      </c>
      <c r="X44" s="433">
        <f>(IFERROR(IF($A44&lt;BenefitStart,0,VLOOKUP(ROUND($C$7,0),'Emission Rates'!$C$74:$J$140,X$15,FALSE)),0)*D44)/$C$9</f>
        <v>6.161211933892969</v>
      </c>
      <c r="Y44" s="433">
        <f>(IFERROR(IF($A44&lt;BenefitStart,0,VLOOKUP(ROUND($C$7,0),'Emission Rates'!$C$74:$J$140,Y$15,FALSE)),0)*E44)/$C$9</f>
        <v>6.9122190755700865E-6</v>
      </c>
      <c r="Z44" s="433">
        <f>(IFERROR(IF($A44&lt;BenefitStart,0,VLOOKUP(ROUND($C$7,0),'Emission Rates'!$C$74:$J$140,Z$15,FALSE)),0)*F44)/$C$9</f>
        <v>1.5405010999516104E-8</v>
      </c>
      <c r="AA44" s="433">
        <f>(IFERROR(IF($A44&lt;BenefitStart,0,VLOOKUP(ROUND($C$7,0),'Emission Rates'!$C$74:$J$140,AA$15,FALSE)),0)*G44)/$C$9</f>
        <v>4.1936469485619228E-8</v>
      </c>
      <c r="AB44" s="433">
        <f>(IFERROR(IF($A44&lt;BenefitStart,0,VLOOKUP(ROUND($C$7,0),'Emission Rates'!$C$74:$J$140,AB$15,FALSE)),0)*H44)/$C$9</f>
        <v>1.5616121441250002E-13</v>
      </c>
      <c r="AC44" s="421">
        <f t="shared" si="8"/>
        <v>4.9022529689358763</v>
      </c>
      <c r="AD44" s="422">
        <f t="shared" si="9"/>
        <v>154.04956801606403</v>
      </c>
      <c r="AE44" s="422">
        <f t="shared" si="10"/>
        <v>0.59648876134213547</v>
      </c>
      <c r="AF44" s="422">
        <f t="shared" si="11"/>
        <v>1.5616116668963288E-3</v>
      </c>
      <c r="AG44" s="422">
        <f t="shared" si="12"/>
        <v>0.76128591965190895</v>
      </c>
      <c r="AH44" s="423">
        <f t="shared" si="13"/>
        <v>3.9040288377406606E-3</v>
      </c>
      <c r="AI44" s="422">
        <f t="shared" si="22"/>
        <v>1.8323184168468756</v>
      </c>
      <c r="AJ44" s="422">
        <f t="shared" si="22"/>
        <v>15.36834429412238</v>
      </c>
      <c r="AK44" s="422">
        <f t="shared" si="22"/>
        <v>1.9646963666081902</v>
      </c>
      <c r="AL44" s="422">
        <f t="shared" si="22"/>
        <v>1.9518611300462548E-4</v>
      </c>
      <c r="AM44" s="422">
        <f t="shared" si="22"/>
        <v>0.13722662522851489</v>
      </c>
      <c r="AN44" s="422">
        <f t="shared" si="22"/>
        <v>1.952015178594638E-4</v>
      </c>
      <c r="AO44" s="430">
        <f t="shared" si="1"/>
        <v>153.75</v>
      </c>
      <c r="AP44" s="32">
        <f t="shared" si="2"/>
        <v>82</v>
      </c>
      <c r="AQ44" s="32">
        <f t="shared" si="3"/>
        <v>18100</v>
      </c>
      <c r="AR44" s="32">
        <f t="shared" si="4"/>
        <v>867600</v>
      </c>
      <c r="AS44" s="32">
        <f t="shared" si="5"/>
        <v>49100</v>
      </c>
      <c r="AT44" s="431">
        <f t="shared" si="6"/>
        <v>1415</v>
      </c>
      <c r="AU44" s="32">
        <f t="shared" si="15"/>
        <v>93039.855284889039</v>
      </c>
      <c r="AV44" s="32">
        <f t="shared" si="16"/>
        <v>13892.268809435285</v>
      </c>
      <c r="AW44" s="427">
        <f t="shared" si="17"/>
        <v>106932.12409432433</v>
      </c>
      <c r="AX44" s="428">
        <f>AV44/(1+0.03)^($A44-'A - Inputs'!$C$6)</f>
        <v>5895.133733396844</v>
      </c>
      <c r="AY44" s="428">
        <f>AU44/(1+0.07)^($A44-'A - Inputs'!$C$6)</f>
        <v>13077.943999104027</v>
      </c>
      <c r="AZ44" s="429">
        <f t="shared" si="7"/>
        <v>18973.077732500871</v>
      </c>
      <c r="BA44" s="23"/>
      <c r="BB44" s="42">
        <v>2049</v>
      </c>
      <c r="BC44" s="33">
        <v>18100</v>
      </c>
      <c r="BD44" s="33">
        <v>49100</v>
      </c>
      <c r="BE44" s="33">
        <v>867600</v>
      </c>
      <c r="BF44" s="41">
        <f t="shared" si="20"/>
        <v>1415</v>
      </c>
      <c r="BG44" s="33">
        <v>82</v>
      </c>
      <c r="BH44" s="33">
        <f t="shared" si="18"/>
        <v>153.75</v>
      </c>
      <c r="BJ44" s="23"/>
      <c r="BK44" s="23"/>
      <c r="BL44" s="23"/>
      <c r="BM44" s="23"/>
      <c r="BN44" s="23"/>
      <c r="BO44" s="23"/>
      <c r="BP44" s="23"/>
      <c r="BQ44" s="23"/>
      <c r="BR44" s="23"/>
    </row>
    <row r="45" spans="1:70" x14ac:dyDescent="0.25">
      <c r="A45" s="34">
        <f t="shared" si="21"/>
        <v>2050</v>
      </c>
      <c r="B45" s="31">
        <f t="shared" si="21"/>
        <v>29</v>
      </c>
      <c r="C45" s="420">
        <f>'I - Travel Time'!D43*$C$5</f>
        <v>1975830.0783333336</v>
      </c>
      <c r="D45" s="420">
        <f>IF(A45&gt;=BenefitStart,('I - Travel Time'!E43*$C$5),C45)</f>
        <v>571181.05166666664</v>
      </c>
      <c r="E45" s="432">
        <f>(IFERROR(IF($A45&lt;BenefitStart,0,VLOOKUP(ROUND($C$7,0),'Emission Rates'!$C$5:$J$72,E$15,FALSE)),0)*$C45)/$C$9</f>
        <v>6.9513653815923346</v>
      </c>
      <c r="F45" s="554">
        <f>(IFERROR(IF($A45&lt;BenefitStart,0,VLOOKUP(ROUND($C$7,0),'Emission Rates'!$C$5:$J$72,F$15,FALSE)),0)*$C45)/$C$9</f>
        <v>155.92954603694918</v>
      </c>
      <c r="G45" s="554">
        <f>(IFERROR(IF($A45&lt;BenefitStart,0,VLOOKUP(ROUND($C$7,0),'Emission Rates'!$C$5:$J$72,G$15,FALSE)),0)*$C45)/$C$9</f>
        <v>0.60381367193866675</v>
      </c>
      <c r="H45" s="554">
        <f>(IFERROR(IF($A45&lt;BenefitStart,0,VLOOKUP(ROUND($C$7,0),'Emission Rates'!$C$5:$J$72,H$15,FALSE)),0)*$C45)/$C$9</f>
        <v>1.5806640626666668E-3</v>
      </c>
      <c r="I45" s="554">
        <f>(IFERROR(IF($A45&lt;BenefitStart,0,VLOOKUP(ROUND($C$7,0),'Emission Rates'!$C$5:$J$72,I$15,FALSE)),0)*$C45)/$C$9</f>
        <v>0.77057373055000011</v>
      </c>
      <c r="J45" s="434">
        <f>(IFERROR(IF($A45&lt;BenefitStart,0,VLOOKUP(ROUND($C$7,0),'Emission Rates'!$C$5:$J$72,J$15,FALSE)),0)*$C45)/$C$9</f>
        <v>3.9516601566666676E-3</v>
      </c>
      <c r="K45" s="554">
        <f>(IFERROR(IF($A45&lt;BenefitStart,0,VLOOKUP(ROUND($C$7,0),'Emission Rates'!$C$74:$J$140,K$15,FALSE)),0)*$C45)/$C$9</f>
        <v>2.5982165530083337</v>
      </c>
      <c r="L45" s="554">
        <f>(IFERROR(IF($A45&lt;BenefitStart,0,VLOOKUP(ROUND($C$7,0),'Emission Rates'!$C$74:$J$140,L$15,FALSE)),0)*$C45)/$C$9</f>
        <v>21.792220265969672</v>
      </c>
      <c r="M45" s="554">
        <f>(IFERROR(IF($A45&lt;BenefitStart,0,VLOOKUP(ROUND($C$7,0),'Emission Rates'!$C$74:$J$140,M$15,FALSE)),0)*$C45)/$C$9</f>
        <v>1.9886729738425002</v>
      </c>
      <c r="N45" s="554">
        <f>(IFERROR(IF($A45&lt;BenefitStart,0,VLOOKUP(ROUND($C$7,0),'Emission Rates'!$C$74:$J$140,N$15,FALSE)),0)*$C45)/$C$9</f>
        <v>1.9758300783333336E-4</v>
      </c>
      <c r="O45" s="554">
        <f>(IFERROR(IF($A45&lt;BenefitStart,0,VLOOKUP(ROUND($C$7,0),'Emission Rates'!$C$74:$J$140,O$15,FALSE)),0)*$C45)/$C$9</f>
        <v>0.13890085450683337</v>
      </c>
      <c r="P45" s="554">
        <f>(IFERROR(IF($A45&lt;BenefitStart,0,VLOOKUP(ROUND($C$7,0),'Emission Rates'!$C$74:$J$140,P$15,FALSE)),0)*$C45)/$C$9</f>
        <v>1.9758300783333336E-4</v>
      </c>
      <c r="Q45" s="432">
        <f>(IFERROR(IF($A45&lt;BenefitStart,0,VLOOKUP(ROUND($C$7,0),'Emission Rates'!$C$5:$J$72,Q$15,FALSE)),0)*D45)/$C$9</f>
        <v>2.0095291759736664</v>
      </c>
      <c r="R45" s="554">
        <f>(IFERROR(IF($A45&lt;BenefitStart,0,VLOOKUP(ROUND($C$7,0),'Emission Rates'!$C$5:$J$72,R$15,FALSE)),0)*E45)/$C$9</f>
        <v>5.4859132886719462E-4</v>
      </c>
      <c r="S45" s="554">
        <f>(IFERROR(IF($A45&lt;BenefitStart,0,VLOOKUP(ROUND($C$7,0),'Emission Rates'!$C$5:$J$72,S$15,FALSE)),0)*F45)/$C$9</f>
        <v>4.7652069268891665E-5</v>
      </c>
      <c r="T45" s="554">
        <f>(IFERROR(IF($A45&lt;BenefitStart,0,VLOOKUP(ROUND($C$7,0),'Emission Rates'!$C$5:$J$72,T$15,FALSE)),0)*G45)/$C$9</f>
        <v>4.8305093755093343E-10</v>
      </c>
      <c r="U45" s="554">
        <f>(IFERROR(IF($A45&lt;BenefitStart,0,VLOOKUP(ROUND($C$7,0),'Emission Rates'!$C$5:$J$72,U$15,FALSE)),0)*H45)/$C$9</f>
        <v>6.1645898444000006E-10</v>
      </c>
      <c r="V45" s="434">
        <f>(IFERROR(IF($A45&lt;BenefitStart,0,VLOOKUP(ROUND($C$7,0),'Emission Rates'!$C$5:$J$72,V$15,FALSE)),0)*I45)/$C$9</f>
        <v>1.5411474611000003E-9</v>
      </c>
      <c r="W45" s="554">
        <f>(IFERROR(IF($A45&lt;BenefitStart,0,VLOOKUP(ROUND($C$7,0),'Emission Rates'!$C$74:$J$140,W$15,FALSE)),0)*D45)/$C$9</f>
        <v>0.75110308294166661</v>
      </c>
      <c r="X45" s="433">
        <f>(IFERROR(IF($A45&lt;BenefitStart,0,VLOOKUP(ROUND($C$7,0),'Emission Rates'!$C$74:$J$140,X$15,FALSE)),0)*D45)/$C$9</f>
        <v>6.2997842912523341</v>
      </c>
      <c r="Y45" s="433">
        <f>(IFERROR(IF($A45&lt;BenefitStart,0,VLOOKUP(ROUND($C$7,0),'Emission Rates'!$C$74:$J$140,Y$15,FALSE)),0)*E45)/$C$9</f>
        <v>6.9965492565726847E-6</v>
      </c>
      <c r="Z45" s="433">
        <f>(IFERROR(IF($A45&lt;BenefitStart,0,VLOOKUP(ROUND($C$7,0),'Emission Rates'!$C$74:$J$140,Z$15,FALSE)),0)*F45)/$C$9</f>
        <v>1.5592954603694918E-8</v>
      </c>
      <c r="AA45" s="433">
        <f>(IFERROR(IF($A45&lt;BenefitStart,0,VLOOKUP(ROUND($C$7,0),'Emission Rates'!$C$74:$J$140,AA$15,FALSE)),0)*G45)/$C$9</f>
        <v>4.2448101137288271E-8</v>
      </c>
      <c r="AB45" s="433">
        <f>(IFERROR(IF($A45&lt;BenefitStart,0,VLOOKUP(ROUND($C$7,0),'Emission Rates'!$C$74:$J$140,AB$15,FALSE)),0)*H45)/$C$9</f>
        <v>1.580664062666667E-13</v>
      </c>
      <c r="AC45" s="421">
        <f t="shared" si="8"/>
        <v>4.9418362056186682</v>
      </c>
      <c r="AD45" s="422">
        <f t="shared" si="9"/>
        <v>155.9289974456203</v>
      </c>
      <c r="AE45" s="422">
        <f t="shared" si="10"/>
        <v>0.60376601986939782</v>
      </c>
      <c r="AF45" s="422">
        <f t="shared" si="11"/>
        <v>1.5806635796157293E-3</v>
      </c>
      <c r="AG45" s="422">
        <f t="shared" si="12"/>
        <v>0.77057372993354112</v>
      </c>
      <c r="AH45" s="423">
        <f t="shared" si="13"/>
        <v>3.9516586155192062E-3</v>
      </c>
      <c r="AI45" s="422">
        <f t="shared" si="22"/>
        <v>1.8471134700666672</v>
      </c>
      <c r="AJ45" s="422">
        <f t="shared" si="22"/>
        <v>15.492435974717338</v>
      </c>
      <c r="AK45" s="422">
        <f t="shared" si="22"/>
        <v>1.9886659772932436</v>
      </c>
      <c r="AL45" s="422">
        <f t="shared" si="22"/>
        <v>1.9756741487872965E-4</v>
      </c>
      <c r="AM45" s="422">
        <f t="shared" si="22"/>
        <v>0.13890081205873223</v>
      </c>
      <c r="AN45" s="422">
        <f t="shared" si="22"/>
        <v>1.9758300767526695E-4</v>
      </c>
      <c r="AO45" s="430">
        <f t="shared" si="1"/>
        <v>155.625</v>
      </c>
      <c r="AP45" s="32">
        <f t="shared" si="2"/>
        <v>83</v>
      </c>
      <c r="AQ45" s="32">
        <f t="shared" si="3"/>
        <v>18100</v>
      </c>
      <c r="AR45" s="32">
        <f t="shared" si="4"/>
        <v>867600</v>
      </c>
      <c r="AS45" s="32">
        <f t="shared" si="5"/>
        <v>49100</v>
      </c>
      <c r="AT45" s="431">
        <f t="shared" si="6"/>
        <v>1415</v>
      </c>
      <c r="AU45" s="32">
        <f t="shared" si="15"/>
        <v>94183.413841463174</v>
      </c>
      <c r="AV45" s="32">
        <f t="shared" si="16"/>
        <v>14227.978973888023</v>
      </c>
      <c r="AW45" s="427">
        <f t="shared" si="17"/>
        <v>108411.3928153512</v>
      </c>
      <c r="AX45" s="428">
        <f>AV45/(1+0.03)^($A45-'A - Inputs'!$C$6)</f>
        <v>5861.7389519125845</v>
      </c>
      <c r="AY45" s="428">
        <f>AU45/(1+0.07)^($A45-'A - Inputs'!$C$6)</f>
        <v>12372.603560130709</v>
      </c>
      <c r="AZ45" s="429">
        <f t="shared" si="7"/>
        <v>18234.342512043295</v>
      </c>
      <c r="BA45" s="23"/>
      <c r="BB45" s="42">
        <v>2050</v>
      </c>
      <c r="BC45" s="33">
        <v>18100</v>
      </c>
      <c r="BD45" s="33">
        <v>49100</v>
      </c>
      <c r="BE45" s="33">
        <v>867600</v>
      </c>
      <c r="BF45" s="41">
        <f t="shared" si="20"/>
        <v>1415</v>
      </c>
      <c r="BG45" s="33">
        <v>83</v>
      </c>
      <c r="BH45" s="33">
        <f t="shared" si="18"/>
        <v>155.625</v>
      </c>
      <c r="BJ45" s="23"/>
      <c r="BK45" s="23"/>
      <c r="BL45" s="23"/>
      <c r="BM45" s="23"/>
      <c r="BN45" s="23"/>
      <c r="BO45" s="23"/>
      <c r="BP45" s="23"/>
      <c r="BQ45" s="23"/>
      <c r="BR45" s="23"/>
    </row>
    <row r="46" spans="1:70" x14ac:dyDescent="0.25">
      <c r="A46" s="34">
        <f t="shared" si="21"/>
        <v>2051</v>
      </c>
      <c r="B46" s="31">
        <f t="shared" si="21"/>
        <v>30</v>
      </c>
      <c r="C46" s="420">
        <f>'I - Travel Time'!D44*$C$5</f>
        <v>1999777.6847395836</v>
      </c>
      <c r="D46" s="420">
        <f>IF(A46&gt;=BenefitStart,('I - Travel Time'!E44*$C$5),C46)</f>
        <v>583832.63244791667</v>
      </c>
      <c r="E46" s="562">
        <f>(IFERROR(IF($A46&lt;BenefitStart,0,VLOOKUP(ROUND($C$7,0),'Emission Rates'!$C$5:$J$72,E$15,FALSE)),0)*$C46)/$C$9</f>
        <v>7.0356178504508033</v>
      </c>
      <c r="F46" s="563">
        <f>(IFERROR(IF($A46&lt;BenefitStart,0,VLOOKUP(ROUND($C$7,0),'Emission Rates'!$C$5:$J$72,F$15,FALSE)),0)*$C46)/$C$9</f>
        <v>157.81945521312082</v>
      </c>
      <c r="G46" s="563">
        <f>(IFERROR(IF($A46&lt;BenefitStart,0,VLOOKUP(ROUND($C$7,0),'Emission Rates'!$C$5:$J$72,G$15,FALSE)),0)*$C46)/$C$9</f>
        <v>0.61113206045641666</v>
      </c>
      <c r="H46" s="563">
        <f>(IFERROR(IF($A46&lt;BenefitStart,0,VLOOKUP(ROUND($C$7,0),'Emission Rates'!$C$5:$J$72,H$15,FALSE)),0)*$C46)/$C$9</f>
        <v>1.599822147791667E-3</v>
      </c>
      <c r="I46" s="563">
        <f>(IFERROR(IF($A46&lt;BenefitStart,0,VLOOKUP(ROUND($C$7,0),'Emission Rates'!$C$5:$J$72,I$15,FALSE)),0)*$C46)/$C$9</f>
        <v>0.77991329704843759</v>
      </c>
      <c r="J46" s="564">
        <f>(IFERROR(IF($A46&lt;BenefitStart,0,VLOOKUP(ROUND($C$7,0),'Emission Rates'!$C$5:$J$72,J$15,FALSE)),0)*$C46)/$C$9</f>
        <v>3.9995553694791679E-3</v>
      </c>
      <c r="K46" s="554">
        <f>(IFERROR(IF($A46&lt;BenefitStart,0,VLOOKUP(ROUND($C$7,0),'Emission Rates'!$C$74:$J$140,K$15,FALSE)),0)*$C46)/$C$9</f>
        <v>2.6297076554325525</v>
      </c>
      <c r="L46" s="554">
        <f>(IFERROR(IF($A46&lt;BenefitStart,0,VLOOKUP(ROUND($C$7,0),'Emission Rates'!$C$74:$J$140,L$15,FALSE)),0)*$C46)/$C$9</f>
        <v>22.056347996066766</v>
      </c>
      <c r="M46" s="554">
        <f>(IFERROR(IF($A46&lt;BenefitStart,0,VLOOKUP(ROUND($C$7,0),'Emission Rates'!$C$74:$J$140,M$15,FALSE)),0)*$C46)/$C$9</f>
        <v>2.0127762396903908</v>
      </c>
      <c r="N46" s="554">
        <f>(IFERROR(IF($A46&lt;BenefitStart,0,VLOOKUP(ROUND($C$7,0),'Emission Rates'!$C$74:$J$140,N$15,FALSE)),0)*$C46)/$C$9</f>
        <v>1.9997776847395838E-4</v>
      </c>
      <c r="O46" s="554">
        <f>(IFERROR(IF($A46&lt;BenefitStart,0,VLOOKUP(ROUND($C$7,0),'Emission Rates'!$C$74:$J$140,O$15,FALSE)),0)*$C46)/$C$9</f>
        <v>0.14058437123719275</v>
      </c>
      <c r="P46" s="554">
        <f>(IFERROR(IF($A46&lt;BenefitStart,0,VLOOKUP(ROUND($C$7,0),'Emission Rates'!$C$74:$J$140,P$15,FALSE)),0)*$C46)/$C$9</f>
        <v>1.9997776847395838E-4</v>
      </c>
      <c r="Q46" s="432">
        <f>(IFERROR(IF($A46&lt;BenefitStart,0,VLOOKUP(ROUND($C$7,0),'Emission Rates'!$C$5:$J$72,Q$15,FALSE)),0)*D46)/$C$9</f>
        <v>2.0540399674782606</v>
      </c>
      <c r="R46" s="554">
        <f>(IFERROR(IF($A46&lt;BenefitStart,0,VLOOKUP(ROUND($C$7,0),'Emission Rates'!$C$5:$J$72,R$15,FALSE)),0)*E46)/$C$9</f>
        <v>5.5524040733080161E-4</v>
      </c>
      <c r="S46" s="554">
        <f>(IFERROR(IF($A46&lt;BenefitStart,0,VLOOKUP(ROUND($C$7,0),'Emission Rates'!$C$5:$J$72,S$15,FALSE)),0)*F46)/$C$9</f>
        <v>4.8229625513129718E-5</v>
      </c>
      <c r="T46" s="554">
        <f>(IFERROR(IF($A46&lt;BenefitStart,0,VLOOKUP(ROUND($C$7,0),'Emission Rates'!$C$5:$J$72,T$15,FALSE)),0)*G46)/$C$9</f>
        <v>4.8890564836513333E-10</v>
      </c>
      <c r="U46" s="554">
        <f>(IFERROR(IF($A46&lt;BenefitStart,0,VLOOKUP(ROUND($C$7,0),'Emission Rates'!$C$5:$J$72,U$15,FALSE)),0)*H46)/$C$9</f>
        <v>6.2393063763875017E-10</v>
      </c>
      <c r="V46" s="434">
        <f>(IFERROR(IF($A46&lt;BenefitStart,0,VLOOKUP(ROUND($C$7,0),'Emission Rates'!$C$5:$J$72,V$15,FALSE)),0)*I46)/$C$9</f>
        <v>1.5598265940968753E-9</v>
      </c>
      <c r="W46" s="554">
        <f>(IFERROR(IF($A46&lt;BenefitStart,0,VLOOKUP(ROUND($C$7,0),'Emission Rates'!$C$74:$J$140,W$15,FALSE)),0)*D46)/$C$9</f>
        <v>0.76773991166901046</v>
      </c>
      <c r="X46" s="433">
        <f>(IFERROR(IF($A46&lt;BenefitStart,0,VLOOKUP(ROUND($C$7,0),'Emission Rates'!$C$74:$J$140,X$15,FALSE)),0)*D46)/$C$9</f>
        <v>6.4393236363210526</v>
      </c>
      <c r="Y46" s="433">
        <f>(IFERROR(IF($A46&lt;BenefitStart,0,VLOOKUP(ROUND($C$7,0),'Emission Rates'!$C$74:$J$140,Y$15,FALSE)),0)*E46)/$C$9</f>
        <v>7.0813493664787329E-6</v>
      </c>
      <c r="Z46" s="433">
        <f>(IFERROR(IF($A46&lt;BenefitStart,0,VLOOKUP(ROUND($C$7,0),'Emission Rates'!$C$74:$J$140,Z$15,FALSE)),0)*F46)/$C$9</f>
        <v>1.5781945521312083E-8</v>
      </c>
      <c r="AA46" s="433">
        <f>(IFERROR(IF($A46&lt;BenefitStart,0,VLOOKUP(ROUND($C$7,0),'Emission Rates'!$C$74:$J$140,AA$15,FALSE)),0)*G46)/$C$9</f>
        <v>4.2962583850086092E-8</v>
      </c>
      <c r="AB46" s="433">
        <f>(IFERROR(IF($A46&lt;BenefitStart,0,VLOOKUP(ROUND($C$7,0),'Emission Rates'!$C$74:$J$140,AB$15,FALSE)),0)*H46)/$C$9</f>
        <v>1.5998221477916671E-13</v>
      </c>
      <c r="AC46" s="421">
        <f t="shared" si="8"/>
        <v>4.9815778829725428</v>
      </c>
      <c r="AD46" s="422">
        <f t="shared" si="9"/>
        <v>157.8188999727135</v>
      </c>
      <c r="AE46" s="422">
        <f t="shared" si="10"/>
        <v>0.61108383083090356</v>
      </c>
      <c r="AF46" s="422">
        <f t="shared" si="11"/>
        <v>1.5998216588860186E-3</v>
      </c>
      <c r="AG46" s="422">
        <f t="shared" si="12"/>
        <v>0.77991329642450691</v>
      </c>
      <c r="AH46" s="423">
        <f t="shared" si="13"/>
        <v>3.9995538096525736E-3</v>
      </c>
      <c r="AI46" s="422">
        <f t="shared" si="22"/>
        <v>1.861967743763542</v>
      </c>
      <c r="AJ46" s="422">
        <f t="shared" si="22"/>
        <v>15.617024359745713</v>
      </c>
      <c r="AK46" s="422">
        <f t="shared" si="22"/>
        <v>2.0127691583410243</v>
      </c>
      <c r="AL46" s="422">
        <f t="shared" si="22"/>
        <v>1.9996198652843706E-4</v>
      </c>
      <c r="AM46" s="422">
        <f t="shared" si="22"/>
        <v>0.1405843282746089</v>
      </c>
      <c r="AN46" s="422">
        <f t="shared" si="22"/>
        <v>1.9997776831397616E-4</v>
      </c>
      <c r="AO46" s="430">
        <f t="shared" si="1"/>
        <v>155.625</v>
      </c>
      <c r="AP46" s="32">
        <f t="shared" si="2"/>
        <v>83</v>
      </c>
      <c r="AQ46" s="32">
        <f t="shared" si="3"/>
        <v>18100</v>
      </c>
      <c r="AR46" s="32">
        <f t="shared" si="4"/>
        <v>867600</v>
      </c>
      <c r="AS46" s="32">
        <f t="shared" si="5"/>
        <v>49100</v>
      </c>
      <c r="AT46" s="431">
        <f t="shared" si="6"/>
        <v>1415</v>
      </c>
      <c r="AU46" s="32">
        <f t="shared" si="15"/>
        <v>95320.633892843689</v>
      </c>
      <c r="AV46" s="32">
        <f t="shared" si="16"/>
        <v>14395.181719594113</v>
      </c>
      <c r="AW46" s="427">
        <f t="shared" si="17"/>
        <v>109715.8156124378</v>
      </c>
      <c r="AX46" s="428">
        <f>AV46/(1+0.03)^($A46-'A - Inputs'!$C$6)</f>
        <v>5757.8876400953377</v>
      </c>
      <c r="AY46" s="428">
        <f>AU46/(1+0.07)^($A46-'A - Inputs'!$C$6)</f>
        <v>11702.800822290616</v>
      </c>
      <c r="AZ46" s="429">
        <f t="shared" si="7"/>
        <v>17460.688462385951</v>
      </c>
      <c r="BA46" s="23"/>
      <c r="BB46" s="42">
        <v>2051</v>
      </c>
      <c r="BC46" s="33">
        <v>18100</v>
      </c>
      <c r="BD46" s="33">
        <v>49100</v>
      </c>
      <c r="BE46" s="33">
        <v>867600</v>
      </c>
      <c r="BF46" s="41">
        <f t="shared" si="20"/>
        <v>1415</v>
      </c>
      <c r="BG46" s="33">
        <v>84</v>
      </c>
      <c r="BH46" s="33">
        <f t="shared" ref="BH46" si="23">(90/48)*BG46</f>
        <v>157.5</v>
      </c>
      <c r="BJ46" s="23"/>
      <c r="BK46" s="23"/>
      <c r="BL46" s="23"/>
      <c r="BM46" s="23"/>
      <c r="BN46" s="23"/>
      <c r="BO46" s="23"/>
      <c r="BP46" s="23"/>
      <c r="BQ46" s="23"/>
      <c r="BR46" s="23"/>
    </row>
    <row r="47" spans="1:70" x14ac:dyDescent="0.25">
      <c r="A47" s="36" t="s">
        <v>81</v>
      </c>
      <c r="B47" s="37"/>
      <c r="C47" s="36"/>
      <c r="D47" s="36"/>
      <c r="E47" s="435"/>
      <c r="F47" s="436"/>
      <c r="G47" s="436"/>
      <c r="H47" s="436"/>
      <c r="I47" s="436"/>
      <c r="J47" s="437"/>
      <c r="K47" s="438"/>
      <c r="L47" s="436"/>
      <c r="M47" s="436"/>
      <c r="N47" s="436"/>
      <c r="O47" s="436"/>
      <c r="P47" s="437"/>
      <c r="Q47" s="438"/>
      <c r="R47" s="436"/>
      <c r="S47" s="436"/>
      <c r="T47" s="436"/>
      <c r="U47" s="436"/>
      <c r="V47" s="437"/>
      <c r="W47" s="438"/>
      <c r="X47" s="436"/>
      <c r="Y47" s="436"/>
      <c r="Z47" s="436"/>
      <c r="AA47" s="436"/>
      <c r="AB47" s="437"/>
      <c r="AC47" s="439"/>
      <c r="AD47" s="440"/>
      <c r="AE47" s="440"/>
      <c r="AF47" s="440"/>
      <c r="AG47" s="440"/>
      <c r="AH47" s="441"/>
      <c r="AI47" s="442"/>
      <c r="AJ47" s="440"/>
      <c r="AK47" s="440"/>
      <c r="AL47" s="440"/>
      <c r="AM47" s="440"/>
      <c r="AN47" s="443"/>
      <c r="AO47" s="444"/>
      <c r="AP47" s="445"/>
      <c r="AQ47" s="38"/>
      <c r="AR47" s="38"/>
      <c r="AS47" s="38"/>
      <c r="AT47" s="446"/>
      <c r="AU47" s="447">
        <f t="shared" ref="AU47:AZ47" si="24">SUM(AU17:AU46)</f>
        <v>2102768.2422292321</v>
      </c>
      <c r="AV47" s="440">
        <f t="shared" si="24"/>
        <v>275801.22816129524</v>
      </c>
      <c r="AW47" s="442">
        <f t="shared" si="24"/>
        <v>2378569.4703905266</v>
      </c>
      <c r="AX47" s="441">
        <f t="shared" si="24"/>
        <v>156005.40754486987</v>
      </c>
      <c r="AY47" s="448">
        <f t="shared" si="24"/>
        <v>643979.99526702857</v>
      </c>
      <c r="AZ47" s="448">
        <f t="shared" si="24"/>
        <v>799985.4028118985</v>
      </c>
      <c r="BA47" s="23"/>
      <c r="BB47" s="42"/>
      <c r="BC47" s="33"/>
      <c r="BD47" s="33"/>
      <c r="BE47" s="33"/>
      <c r="BF47" s="41"/>
      <c r="BG47" s="33"/>
      <c r="BH47" s="41"/>
      <c r="BJ47" s="23"/>
      <c r="BK47" s="23"/>
      <c r="BL47" s="23"/>
      <c r="BM47" s="23"/>
      <c r="BN47" s="23"/>
      <c r="BO47" s="23"/>
      <c r="BP47" s="23"/>
      <c r="BQ47" s="23"/>
      <c r="BR47" s="23"/>
    </row>
    <row r="48" spans="1:70" x14ac:dyDescent="0.25">
      <c r="A48" s="716"/>
      <c r="B48" s="716"/>
      <c r="C48" s="716"/>
      <c r="D48" s="716"/>
      <c r="E48" s="716"/>
      <c r="F48" s="716"/>
      <c r="G48" s="716"/>
      <c r="H48" s="716"/>
      <c r="I48" s="716"/>
      <c r="J48" s="716"/>
      <c r="K48" s="717"/>
      <c r="L48" s="717"/>
      <c r="M48" s="717"/>
      <c r="N48" s="718"/>
      <c r="O48" s="717"/>
      <c r="P48" s="717"/>
      <c r="Q48" s="719"/>
      <c r="R48" s="719"/>
      <c r="S48" s="719"/>
      <c r="T48" s="719"/>
      <c r="U48" s="719"/>
      <c r="V48" s="719"/>
      <c r="W48" s="718"/>
      <c r="X48" s="718"/>
      <c r="Y48" s="718"/>
      <c r="Z48" s="718"/>
      <c r="AA48" s="718"/>
      <c r="AB48" s="718"/>
      <c r="AC48" s="719"/>
      <c r="AD48" s="719"/>
      <c r="AE48" s="719"/>
      <c r="AF48" s="719"/>
      <c r="AG48" s="719"/>
      <c r="AH48" s="719"/>
      <c r="AI48" s="719"/>
      <c r="AJ48" s="719"/>
      <c r="AK48" s="719"/>
      <c r="AL48" s="719"/>
      <c r="AM48" s="719"/>
      <c r="AN48" s="716"/>
      <c r="AO48" s="716"/>
      <c r="AP48" s="716"/>
      <c r="AQ48" s="716"/>
      <c r="AR48" s="716"/>
      <c r="AS48" s="716"/>
      <c r="AT48" s="716"/>
      <c r="AU48" s="716"/>
      <c r="AV48" s="716"/>
      <c r="AW48" s="716"/>
      <c r="AX48" s="716"/>
      <c r="AY48" s="720"/>
      <c r="AZ48" s="716"/>
      <c r="BB48" s="23"/>
    </row>
    <row r="49" spans="1:64" x14ac:dyDescent="0.25">
      <c r="A49" s="721"/>
      <c r="B49" s="716"/>
      <c r="C49" s="716"/>
      <c r="D49" s="716"/>
      <c r="E49" s="716"/>
      <c r="F49" s="716"/>
      <c r="G49" s="716"/>
      <c r="H49" s="716"/>
      <c r="I49" s="716"/>
      <c r="J49" s="716"/>
      <c r="K49" s="716"/>
      <c r="L49" s="722"/>
      <c r="M49" s="723"/>
      <c r="N49" s="723"/>
      <c r="O49" s="723"/>
      <c r="P49" s="723"/>
      <c r="Q49" s="723"/>
      <c r="R49" s="723"/>
      <c r="S49" s="723"/>
      <c r="T49" s="723"/>
      <c r="U49" s="723"/>
      <c r="V49" s="724"/>
      <c r="W49" s="723"/>
      <c r="X49" s="723"/>
      <c r="Y49" s="724"/>
      <c r="Z49" s="724"/>
      <c r="AA49" s="724"/>
      <c r="AB49" s="724"/>
      <c r="AC49" s="719"/>
      <c r="AD49" s="719"/>
      <c r="AE49" s="719"/>
      <c r="AF49" s="719"/>
      <c r="AG49" s="719"/>
      <c r="AH49" s="719"/>
      <c r="AI49" s="719"/>
      <c r="AJ49" s="719"/>
      <c r="AK49" s="719"/>
      <c r="AL49" s="719"/>
      <c r="AM49" s="719"/>
      <c r="AN49" s="719"/>
      <c r="AO49" s="716"/>
      <c r="AP49" s="716"/>
      <c r="AQ49" s="716"/>
      <c r="AR49" s="716"/>
      <c r="AS49" s="716"/>
      <c r="AT49" s="716"/>
      <c r="AU49" s="716"/>
      <c r="AV49" s="716"/>
      <c r="AW49" s="716"/>
      <c r="AX49" s="716"/>
      <c r="AY49" s="716"/>
      <c r="AZ49" s="725"/>
      <c r="BB49" s="23"/>
      <c r="BC49" s="338" t="s">
        <v>233</v>
      </c>
    </row>
    <row r="50" spans="1:64" x14ac:dyDescent="0.25">
      <c r="A50" s="716"/>
      <c r="B50" s="716"/>
      <c r="C50" s="716"/>
      <c r="D50" s="716"/>
      <c r="E50" s="716"/>
      <c r="F50" s="716"/>
      <c r="G50" s="716"/>
      <c r="H50" s="716"/>
      <c r="I50" s="716"/>
      <c r="J50" s="716"/>
      <c r="K50" s="716"/>
      <c r="L50" s="716"/>
      <c r="M50" s="716"/>
      <c r="N50" s="719"/>
      <c r="O50" s="716"/>
      <c r="P50" s="716"/>
      <c r="Q50" s="719"/>
      <c r="R50" s="719"/>
      <c r="S50" s="719"/>
      <c r="T50" s="719"/>
      <c r="U50" s="719"/>
      <c r="V50" s="719"/>
      <c r="W50" s="719"/>
      <c r="X50" s="719"/>
      <c r="Y50" s="719"/>
      <c r="Z50" s="719"/>
      <c r="AA50" s="719"/>
      <c r="AB50" s="719"/>
      <c r="AC50" s="719"/>
      <c r="AD50" s="719"/>
      <c r="AE50" s="719"/>
      <c r="AF50" s="719"/>
      <c r="AG50" s="719"/>
      <c r="AH50" s="719"/>
      <c r="AI50" s="719"/>
      <c r="AJ50" s="719"/>
      <c r="AK50" s="719"/>
      <c r="AL50" s="719"/>
      <c r="AM50" s="719"/>
      <c r="AN50" s="719"/>
      <c r="AO50" s="716"/>
      <c r="AP50" s="716"/>
      <c r="AQ50" s="716"/>
      <c r="AR50" s="716"/>
      <c r="AS50" s="716"/>
      <c r="AT50" s="716"/>
      <c r="AU50" s="716"/>
      <c r="AV50" s="716"/>
      <c r="AW50" s="725"/>
      <c r="AX50" s="725"/>
      <c r="AY50" s="716"/>
      <c r="AZ50" s="716"/>
      <c r="BB50" s="23"/>
      <c r="BC50" s="22" t="s">
        <v>234</v>
      </c>
      <c r="BD50" s="449" t="s">
        <v>21</v>
      </c>
    </row>
    <row r="51" spans="1:64" x14ac:dyDescent="0.25">
      <c r="A51" s="726"/>
      <c r="B51" s="726"/>
      <c r="C51" s="727"/>
      <c r="D51" s="727"/>
      <c r="E51" s="728"/>
      <c r="F51" s="728"/>
      <c r="G51" s="728"/>
      <c r="H51" s="728"/>
      <c r="I51" s="728"/>
      <c r="J51" s="728"/>
      <c r="K51" s="728"/>
      <c r="L51" s="728"/>
      <c r="M51" s="728"/>
      <c r="N51" s="728"/>
      <c r="O51" s="728"/>
      <c r="P51" s="728"/>
      <c r="Q51" s="728"/>
      <c r="R51" s="728"/>
      <c r="S51" s="728"/>
      <c r="T51" s="728"/>
      <c r="U51" s="728"/>
      <c r="V51" s="728"/>
      <c r="W51" s="728"/>
      <c r="X51" s="728"/>
      <c r="Y51" s="728"/>
      <c r="Z51" s="728"/>
      <c r="AA51" s="728"/>
      <c r="AB51" s="728"/>
      <c r="AC51" s="729"/>
      <c r="AD51" s="729"/>
      <c r="AE51" s="729"/>
      <c r="AF51" s="729"/>
      <c r="AG51" s="729"/>
      <c r="AH51" s="729"/>
      <c r="AI51" s="729"/>
      <c r="AJ51" s="729"/>
      <c r="AK51" s="729"/>
      <c r="AL51" s="729"/>
      <c r="AM51" s="729"/>
      <c r="AN51" s="729"/>
      <c r="AO51" s="730"/>
      <c r="AP51" s="730"/>
      <c r="AQ51" s="730"/>
      <c r="AR51" s="730"/>
      <c r="AS51" s="730"/>
      <c r="AT51" s="730"/>
      <c r="AU51" s="731"/>
      <c r="AV51" s="731"/>
      <c r="AW51" s="732"/>
      <c r="AX51" s="732"/>
      <c r="AY51" s="732"/>
      <c r="AZ51" s="716"/>
      <c r="BB51" s="23"/>
      <c r="BC51" s="22" t="s">
        <v>225</v>
      </c>
      <c r="BD51" s="450" t="s">
        <v>235</v>
      </c>
      <c r="BE51" s="451"/>
      <c r="BF51" s="451"/>
      <c r="BG51" s="451"/>
      <c r="BH51" s="451"/>
      <c r="BI51" s="451"/>
      <c r="BJ51" s="451"/>
      <c r="BK51" s="451"/>
      <c r="BL51" s="451"/>
    </row>
    <row r="52" spans="1:64" x14ac:dyDescent="0.25">
      <c r="A52" s="565"/>
      <c r="B52" s="565"/>
      <c r="C52" s="568"/>
      <c r="D52" s="568"/>
      <c r="E52" s="567"/>
      <c r="F52" s="566"/>
      <c r="G52" s="566"/>
      <c r="H52" s="566"/>
      <c r="I52" s="566"/>
      <c r="J52" s="566"/>
      <c r="K52" s="567"/>
      <c r="L52" s="567"/>
      <c r="M52" s="567"/>
      <c r="N52" s="567"/>
      <c r="O52" s="567"/>
      <c r="P52" s="567"/>
      <c r="Q52" s="567"/>
      <c r="R52" s="567"/>
      <c r="S52" s="567"/>
      <c r="T52" s="567"/>
      <c r="U52" s="567"/>
      <c r="V52" s="567"/>
      <c r="W52" s="567"/>
      <c r="X52" s="567"/>
      <c r="Y52" s="567"/>
      <c r="Z52" s="567"/>
      <c r="AA52" s="567"/>
      <c r="AB52" s="567"/>
      <c r="AC52" s="569"/>
      <c r="AD52" s="569"/>
      <c r="AE52" s="569"/>
      <c r="AF52" s="569"/>
      <c r="AG52" s="569"/>
      <c r="AH52" s="569"/>
      <c r="AI52" s="569"/>
      <c r="AJ52" s="569"/>
      <c r="AK52" s="569"/>
      <c r="AL52" s="569"/>
      <c r="AM52" s="569"/>
      <c r="AN52" s="569"/>
      <c r="AO52" s="566"/>
      <c r="AP52" s="566"/>
      <c r="AQ52" s="566"/>
      <c r="AR52" s="566"/>
      <c r="AS52" s="566"/>
      <c r="AT52" s="566"/>
      <c r="AU52" s="570"/>
      <c r="AV52" s="570"/>
      <c r="AW52" s="571"/>
      <c r="AX52" s="571"/>
      <c r="AY52" s="571"/>
      <c r="BC52" s="22" t="s">
        <v>220</v>
      </c>
      <c r="BD52" s="450" t="s">
        <v>236</v>
      </c>
      <c r="BF52" s="451"/>
      <c r="BG52" s="451"/>
      <c r="BH52" s="451"/>
      <c r="BI52" s="451"/>
      <c r="BJ52" s="451"/>
      <c r="BK52" s="451"/>
      <c r="BL52" s="451"/>
    </row>
    <row r="53" spans="1:64" s="23" customFormat="1" ht="12.75" x14ac:dyDescent="0.2"/>
  </sheetData>
  <mergeCells count="7">
    <mergeCell ref="C14:D15"/>
    <mergeCell ref="AC14:AN14"/>
    <mergeCell ref="AO14:AT14"/>
    <mergeCell ref="AW14:AY15"/>
    <mergeCell ref="AU14:AV15"/>
    <mergeCell ref="AC15:AH15"/>
    <mergeCell ref="AI15:AN15"/>
  </mergeCells>
  <pageMargins left="0.7" right="0.7" top="0.75" bottom="0.75" header="0.3" footer="0.3"/>
  <pageSetup paperSize="3" scale="50" fitToWidth="2" fitToHeight="2" orientation="landscape" r:id="rId1"/>
  <headerFooter>
    <oddHeader>&amp;L&amp;"Arial,Bold"Post and McDuff Innovative Rail Crossing
CRISI 2022 BCA&amp;C
&amp;R&amp;"Arial,Bold"&amp;A</oddHeader>
    <oddFooter>&amp;CPage L-&amp;P</oddFooter>
  </headerFooter>
  <colBreaks count="1" manualBreakCount="1">
    <brk id="28" max="15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6B269-5CA7-4A64-9E84-25D78A6C1010}">
  <dimension ref="A1:Z55"/>
  <sheetViews>
    <sheetView workbookViewId="0"/>
  </sheetViews>
  <sheetFormatPr defaultRowHeight="12.75" x14ac:dyDescent="0.2"/>
  <cols>
    <col min="1" max="1" width="3.85546875" customWidth="1"/>
    <col min="2" max="2" width="23.5703125" customWidth="1"/>
    <col min="3" max="3" width="12.5703125" bestFit="1" customWidth="1"/>
    <col min="4" max="4" width="11.28515625" customWidth="1"/>
    <col min="5" max="5" width="20.42578125" customWidth="1"/>
    <col min="6" max="6" width="12" customWidth="1"/>
    <col min="7" max="7" width="12.28515625" customWidth="1"/>
    <col min="8" max="8" width="13.28515625" customWidth="1"/>
    <col min="9" max="9" width="10.5703125" customWidth="1"/>
    <col min="10" max="10" width="13.140625" customWidth="1"/>
    <col min="11" max="11" width="13.42578125" customWidth="1"/>
    <col min="12" max="12" width="14.28515625" customWidth="1"/>
    <col min="13" max="13" width="14.42578125" customWidth="1"/>
    <col min="14" max="14" width="13.140625" customWidth="1"/>
    <col min="15" max="15" width="15.140625" customWidth="1"/>
    <col min="16" max="16" width="17.5703125" customWidth="1"/>
    <col min="17" max="17" width="18" customWidth="1"/>
    <col min="18" max="18" width="15.7109375" customWidth="1"/>
  </cols>
  <sheetData>
    <row r="1" spans="1:26" s="359" customFormat="1" ht="15" x14ac:dyDescent="0.2">
      <c r="A1" s="358" t="str" cm="1">
        <f t="array" aca="1" ref="A1" ca="1">MID(CELL("filename",A1),FIND("]",CELL("filename",A1))+1,255)</f>
        <v>H - Emergency Services</v>
      </c>
    </row>
    <row r="3" spans="1:26" ht="15" x14ac:dyDescent="0.25">
      <c r="B3" s="360" t="s">
        <v>299</v>
      </c>
      <c r="C3" s="359"/>
      <c r="D3" s="359"/>
      <c r="E3" s="359"/>
      <c r="F3" s="359"/>
      <c r="G3" s="276"/>
      <c r="H3" s="276"/>
      <c r="I3" s="276"/>
      <c r="J3" s="276"/>
      <c r="K3" s="276"/>
      <c r="L3" s="276"/>
      <c r="M3" s="276"/>
      <c r="O3" s="360" t="s">
        <v>299</v>
      </c>
      <c r="P3" s="359"/>
      <c r="Q3" s="359"/>
      <c r="R3" s="359"/>
      <c r="S3" s="359"/>
      <c r="T3" s="276"/>
      <c r="U3" s="276"/>
      <c r="V3" s="276"/>
      <c r="W3" s="276"/>
      <c r="X3" s="276"/>
      <c r="Y3" s="276"/>
      <c r="Z3" s="276"/>
    </row>
    <row r="4" spans="1:26" x14ac:dyDescent="0.2">
      <c r="B4" s="303" t="s">
        <v>157</v>
      </c>
      <c r="C4" s="303"/>
      <c r="D4" s="302"/>
      <c r="E4" s="302"/>
      <c r="F4" s="303" t="s">
        <v>158</v>
      </c>
      <c r="G4" s="315" t="s">
        <v>5</v>
      </c>
      <c r="O4" s="303" t="s">
        <v>157</v>
      </c>
      <c r="P4" s="303"/>
      <c r="Q4" s="302"/>
      <c r="R4" s="302"/>
      <c r="S4" s="303" t="s">
        <v>158</v>
      </c>
      <c r="T4" s="315" t="s">
        <v>5</v>
      </c>
    </row>
    <row r="5" spans="1:26" x14ac:dyDescent="0.2">
      <c r="B5" s="100" t="s">
        <v>281</v>
      </c>
      <c r="E5" s="310">
        <v>4260</v>
      </c>
      <c r="F5" s="361" t="s">
        <v>159</v>
      </c>
      <c r="G5" s="39" t="s">
        <v>282</v>
      </c>
      <c r="O5" s="100" t="s">
        <v>281</v>
      </c>
      <c r="R5" s="310">
        <v>4260</v>
      </c>
      <c r="S5" s="361" t="s">
        <v>159</v>
      </c>
      <c r="T5" s="39" t="s">
        <v>282</v>
      </c>
    </row>
    <row r="6" spans="1:26" x14ac:dyDescent="0.2">
      <c r="B6" s="100"/>
      <c r="E6" s="310"/>
      <c r="F6" s="100"/>
      <c r="G6" s="39"/>
      <c r="O6" s="100"/>
      <c r="R6" s="310"/>
      <c r="S6" s="100" t="s">
        <v>159</v>
      </c>
      <c r="T6" s="39"/>
    </row>
    <row r="7" spans="1:26" x14ac:dyDescent="0.2">
      <c r="B7" s="100" t="s">
        <v>283</v>
      </c>
      <c r="E7" s="311">
        <v>821784</v>
      </c>
      <c r="F7" s="361" t="s">
        <v>159</v>
      </c>
      <c r="G7" s="39" t="s">
        <v>286</v>
      </c>
      <c r="O7" s="100" t="s">
        <v>283</v>
      </c>
      <c r="R7" s="311">
        <v>821784</v>
      </c>
      <c r="S7" s="361" t="s">
        <v>159</v>
      </c>
      <c r="T7" s="39" t="s">
        <v>286</v>
      </c>
    </row>
    <row r="8" spans="1:26" x14ac:dyDescent="0.2">
      <c r="B8" s="100" t="s">
        <v>284</v>
      </c>
      <c r="E8" s="311">
        <v>949611</v>
      </c>
      <c r="F8" s="100" t="s">
        <v>159</v>
      </c>
      <c r="G8" s="39" t="s">
        <v>285</v>
      </c>
      <c r="O8" s="100" t="s">
        <v>284</v>
      </c>
      <c r="R8" s="311">
        <v>949611</v>
      </c>
      <c r="S8" s="100" t="s">
        <v>159</v>
      </c>
      <c r="T8" s="39" t="s">
        <v>285</v>
      </c>
    </row>
    <row r="9" spans="1:26" x14ac:dyDescent="0.2">
      <c r="B9" s="100" t="s">
        <v>160</v>
      </c>
      <c r="E9" s="312">
        <f>(E8/E7)^(1/10)-1</f>
        <v>1.4562498920645428E-2</v>
      </c>
      <c r="O9" s="100" t="s">
        <v>160</v>
      </c>
      <c r="R9" s="312">
        <f>(R8/R7)^(1/10)-1</f>
        <v>1.4562498920645428E-2</v>
      </c>
    </row>
    <row r="10" spans="1:26" x14ac:dyDescent="0.2">
      <c r="B10" s="100"/>
      <c r="E10" s="313"/>
      <c r="F10" s="100"/>
      <c r="G10" s="39"/>
    </row>
    <row r="11" spans="1:26" x14ac:dyDescent="0.2">
      <c r="B11" s="100"/>
      <c r="D11" s="469"/>
      <c r="E11" s="470"/>
      <c r="F11" s="100"/>
      <c r="G11" s="392" t="s">
        <v>336</v>
      </c>
      <c r="O11" s="391" t="s">
        <v>163</v>
      </c>
    </row>
    <row r="12" spans="1:26" x14ac:dyDescent="0.2">
      <c r="B12" s="100"/>
      <c r="E12" s="313"/>
      <c r="F12" s="100"/>
      <c r="G12" s="392" t="s">
        <v>337</v>
      </c>
      <c r="O12" s="100" t="s">
        <v>164</v>
      </c>
      <c r="R12" s="473">
        <v>6.0400000000000002E-2</v>
      </c>
    </row>
    <row r="13" spans="1:26" x14ac:dyDescent="0.2">
      <c r="B13" s="100"/>
      <c r="D13" s="391" t="s">
        <v>165</v>
      </c>
      <c r="E13" s="314" t="s">
        <v>40</v>
      </c>
      <c r="F13" s="100"/>
      <c r="G13" s="39"/>
      <c r="O13" s="100" t="s">
        <v>166</v>
      </c>
      <c r="R13" s="473">
        <v>6.1400000000000003E-2</v>
      </c>
    </row>
    <row r="14" spans="1:26" x14ac:dyDescent="0.2">
      <c r="B14" s="100" t="s">
        <v>167</v>
      </c>
      <c r="D14" s="464">
        <v>0.92</v>
      </c>
      <c r="E14" s="464">
        <v>0.69</v>
      </c>
      <c r="F14" s="100" t="s">
        <v>125</v>
      </c>
      <c r="T14" s="100" t="s">
        <v>248</v>
      </c>
    </row>
    <row r="15" spans="1:26" x14ac:dyDescent="0.2">
      <c r="B15" s="100" t="s">
        <v>168</v>
      </c>
      <c r="D15" s="536">
        <f>0.65+(1.7*D14)</f>
        <v>2.214</v>
      </c>
      <c r="E15" s="536">
        <f>0.65+(1.7*E14)</f>
        <v>1.823</v>
      </c>
      <c r="F15" s="100" t="s">
        <v>169</v>
      </c>
      <c r="G15" s="39" t="s">
        <v>161</v>
      </c>
      <c r="O15" s="550" t="s">
        <v>170</v>
      </c>
      <c r="R15" s="595">
        <v>0</v>
      </c>
      <c r="S15" s="100" t="s">
        <v>125</v>
      </c>
      <c r="T15" s="100" t="s">
        <v>247</v>
      </c>
    </row>
    <row r="16" spans="1:26" x14ac:dyDescent="0.2">
      <c r="B16" s="100" t="s">
        <v>171</v>
      </c>
      <c r="D16" s="467">
        <f>(0.456-0.00264*D15)</f>
        <v>0.45015504000000001</v>
      </c>
      <c r="E16" s="467">
        <f>(0.456-0.00264*E15)</f>
        <v>0.45118728000000002</v>
      </c>
      <c r="F16" s="100"/>
      <c r="G16" s="39" t="s">
        <v>161</v>
      </c>
    </row>
    <row r="17" spans="2:20" x14ac:dyDescent="0.2">
      <c r="B17" s="100" t="s">
        <v>172</v>
      </c>
      <c r="D17" s="469">
        <f>3845+431*D15</f>
        <v>4799.2340000000004</v>
      </c>
      <c r="E17" s="469">
        <f>3845+431*E15</f>
        <v>4630.7129999999997</v>
      </c>
      <c r="F17" s="100" t="s">
        <v>173</v>
      </c>
      <c r="G17" s="39" t="s">
        <v>161</v>
      </c>
      <c r="O17" s="100" t="s">
        <v>174</v>
      </c>
      <c r="R17" s="485">
        <v>6900000</v>
      </c>
      <c r="S17" s="100" t="s">
        <v>173</v>
      </c>
      <c r="T17" s="39" t="s">
        <v>161</v>
      </c>
    </row>
    <row r="18" spans="2:20" x14ac:dyDescent="0.2">
      <c r="B18" s="100" t="s">
        <v>175</v>
      </c>
      <c r="D18" s="469">
        <f>D17*$E$11</f>
        <v>0</v>
      </c>
      <c r="E18" s="469">
        <f>E17*$E$11</f>
        <v>0</v>
      </c>
      <c r="F18" s="100" t="s">
        <v>176</v>
      </c>
      <c r="O18" s="100" t="s">
        <v>162</v>
      </c>
      <c r="Q18" s="469"/>
      <c r="R18" s="470">
        <v>1.07</v>
      </c>
      <c r="S18" s="100"/>
      <c r="T18" s="392" t="str">
        <f>'A - Inputs'!C20</f>
        <v>USDOT Benefit-Cost Analysis Guidance for Discretionary Grant Programs 2022</v>
      </c>
    </row>
    <row r="19" spans="2:20" x14ac:dyDescent="0.2">
      <c r="B19" s="100" t="s">
        <v>177</v>
      </c>
      <c r="D19" s="469">
        <f>D18*1.1</f>
        <v>0</v>
      </c>
      <c r="E19" s="469">
        <f>E18*1.1</f>
        <v>0</v>
      </c>
      <c r="F19" s="100" t="s">
        <v>176</v>
      </c>
      <c r="G19" s="39" t="s">
        <v>161</v>
      </c>
      <c r="O19" s="100" t="s">
        <v>178</v>
      </c>
      <c r="R19" s="468">
        <f>R17*R18</f>
        <v>7383000</v>
      </c>
      <c r="S19" s="100" t="s">
        <v>176</v>
      </c>
    </row>
    <row r="20" spans="2:20" x14ac:dyDescent="0.2">
      <c r="B20" s="100" t="s">
        <v>179</v>
      </c>
      <c r="D20" s="469">
        <f>D19*2.13</f>
        <v>0</v>
      </c>
      <c r="E20" s="469">
        <f>E19*2.13</f>
        <v>0</v>
      </c>
      <c r="F20" s="100" t="s">
        <v>176</v>
      </c>
      <c r="G20" s="39" t="s">
        <v>161</v>
      </c>
    </row>
    <row r="21" spans="2:20" x14ac:dyDescent="0.2">
      <c r="B21" s="100" t="s">
        <v>180</v>
      </c>
      <c r="D21" s="469">
        <f>SUM(D19:D20)</f>
        <v>0</v>
      </c>
      <c r="E21" s="469">
        <f>SUM(E19:E20)</f>
        <v>0</v>
      </c>
      <c r="F21" s="100" t="s">
        <v>176</v>
      </c>
      <c r="G21" s="39" t="s">
        <v>161</v>
      </c>
    </row>
    <row r="22" spans="2:20" x14ac:dyDescent="0.2">
      <c r="B22" s="100"/>
      <c r="E22" s="465"/>
      <c r="F22" s="100"/>
    </row>
    <row r="23" spans="2:20" ht="29.45" customHeight="1" x14ac:dyDescent="0.25">
      <c r="B23" s="11"/>
      <c r="C23" s="11"/>
      <c r="D23" s="457"/>
      <c r="E23" s="591"/>
      <c r="F23" s="581"/>
      <c r="G23" s="708" t="s">
        <v>181</v>
      </c>
      <c r="H23" s="709"/>
      <c r="I23" s="710" t="s">
        <v>182</v>
      </c>
      <c r="J23" s="712" t="s">
        <v>183</v>
      </c>
      <c r="K23" s="713"/>
      <c r="L23" s="712" t="s">
        <v>184</v>
      </c>
      <c r="M23" s="713"/>
      <c r="N23" s="712" t="s">
        <v>185</v>
      </c>
      <c r="O23" s="713"/>
      <c r="P23" s="714" t="s">
        <v>186</v>
      </c>
      <c r="Q23" s="706" t="s">
        <v>187</v>
      </c>
      <c r="R23" s="707"/>
    </row>
    <row r="24" spans="2:20" ht="45" x14ac:dyDescent="0.25">
      <c r="B24" s="45" t="s">
        <v>36</v>
      </c>
      <c r="C24" s="45" t="s">
        <v>37</v>
      </c>
      <c r="D24" s="458" t="s">
        <v>38</v>
      </c>
      <c r="E24" s="592" t="s">
        <v>300</v>
      </c>
      <c r="F24" s="582" t="s">
        <v>188</v>
      </c>
      <c r="G24" s="583" t="s">
        <v>165</v>
      </c>
      <c r="H24" s="584" t="s">
        <v>40</v>
      </c>
      <c r="I24" s="711"/>
      <c r="J24" s="471" t="s">
        <v>189</v>
      </c>
      <c r="K24" s="481" t="s">
        <v>190</v>
      </c>
      <c r="L24" s="471" t="s">
        <v>189</v>
      </c>
      <c r="M24" s="481" t="s">
        <v>190</v>
      </c>
      <c r="N24" s="471" t="s">
        <v>189</v>
      </c>
      <c r="O24" s="481" t="s">
        <v>190</v>
      </c>
      <c r="P24" s="715"/>
      <c r="Q24" s="491" t="s">
        <v>191</v>
      </c>
      <c r="R24" s="20" t="s">
        <v>131</v>
      </c>
    </row>
    <row r="25" spans="2:20" ht="15" x14ac:dyDescent="0.25">
      <c r="B25" s="459">
        <f>ProjStartYr</f>
        <v>2022</v>
      </c>
      <c r="C25" s="459">
        <v>1</v>
      </c>
      <c r="D25" s="460">
        <f t="shared" ref="D25:D54" si="0">MAX(B25-_xlfn.SINGLE(BenefitStart)+1,0)</f>
        <v>0</v>
      </c>
      <c r="E25" s="593">
        <f>SUM(E5:E6)</f>
        <v>4260</v>
      </c>
      <c r="F25" s="585">
        <f t="shared" ref="F25:F54" si="1">E25*$E$10</f>
        <v>0</v>
      </c>
      <c r="G25" s="586">
        <f>F25*$D$21</f>
        <v>0</v>
      </c>
      <c r="H25" s="587">
        <f>F25*$E$21</f>
        <v>0</v>
      </c>
      <c r="I25" s="588">
        <f t="shared" ref="I25:I54" si="2">IF(B25&gt;=BenefitStart,G25-H25,0)</f>
        <v>0</v>
      </c>
      <c r="J25" s="482">
        <f>E25*50.9/100000</f>
        <v>2.1683400000000002</v>
      </c>
      <c r="K25" s="483">
        <f>E25*41.3/100000</f>
        <v>1.7593799999999999</v>
      </c>
      <c r="L25" s="486">
        <f t="shared" ref="L25:L54" si="3">J25*$R$12*$R$15</f>
        <v>0</v>
      </c>
      <c r="M25" s="484">
        <f t="shared" ref="M25:M54" si="4">K25*$R$13*$R$15</f>
        <v>0</v>
      </c>
      <c r="N25" s="488">
        <f t="shared" ref="N25:N54" si="5">L25*$R$19</f>
        <v>0</v>
      </c>
      <c r="O25" s="489">
        <f t="shared" ref="O25:O54" si="6">M25*$R$19</f>
        <v>0</v>
      </c>
      <c r="P25" s="477">
        <f t="shared" ref="P25:P54" si="7">IF(B25&gt;=BenefitStart,SUM(N25:O25),0)</f>
        <v>0</v>
      </c>
      <c r="Q25" s="469">
        <f>SUM(I25,P25)</f>
        <v>0</v>
      </c>
      <c r="R25" s="163">
        <f>Q25/(1+disc2)^(B25-'A - Inputs'!$C$6)</f>
        <v>0</v>
      </c>
    </row>
    <row r="26" spans="2:20" ht="15" x14ac:dyDescent="0.25">
      <c r="B26" s="99">
        <f>B25+1</f>
        <v>2023</v>
      </c>
      <c r="C26" s="461">
        <f t="shared" ref="C26" si="8">C25+1</f>
        <v>2</v>
      </c>
      <c r="D26" s="460">
        <f t="shared" si="0"/>
        <v>0</v>
      </c>
      <c r="E26" s="594">
        <f t="shared" ref="E26:E54" si="9">E25*(1+$E$9)</f>
        <v>4322.0362454019496</v>
      </c>
      <c r="F26" s="585">
        <f t="shared" si="1"/>
        <v>0</v>
      </c>
      <c r="G26" s="589">
        <f t="shared" ref="G26:G54" si="10">F26*$D$21</f>
        <v>0</v>
      </c>
      <c r="H26" s="590">
        <f t="shared" ref="H26:H54" si="11">F26*$E$21</f>
        <v>0</v>
      </c>
      <c r="I26" s="588">
        <f t="shared" si="2"/>
        <v>0</v>
      </c>
      <c r="J26" s="482">
        <f t="shared" ref="J26:J54" si="12">E26*50.9/100000</f>
        <v>2.1999164489095921</v>
      </c>
      <c r="K26" s="483">
        <f t="shared" ref="K26:K54" si="13">E26*41.3/100000</f>
        <v>1.7850009693510049</v>
      </c>
      <c r="L26" s="486">
        <f t="shared" si="3"/>
        <v>0</v>
      </c>
      <c r="M26" s="484">
        <f t="shared" si="4"/>
        <v>0</v>
      </c>
      <c r="N26" s="474">
        <f t="shared" si="5"/>
        <v>0</v>
      </c>
      <c r="O26" s="490">
        <f t="shared" si="6"/>
        <v>0</v>
      </c>
      <c r="P26" s="477">
        <f t="shared" si="7"/>
        <v>0</v>
      </c>
      <c r="Q26" s="469">
        <f t="shared" ref="Q26:Q54" si="14">SUM(I26,P26)</f>
        <v>0</v>
      </c>
      <c r="R26" s="163">
        <f>Q26/(1+disc2)^(B26-'A - Inputs'!$C$6)</f>
        <v>0</v>
      </c>
    </row>
    <row r="27" spans="2:20" ht="15" x14ac:dyDescent="0.25">
      <c r="B27" s="99">
        <f t="shared" ref="B27:C42" si="15">B26+1</f>
        <v>2024</v>
      </c>
      <c r="C27" s="99">
        <f t="shared" si="15"/>
        <v>3</v>
      </c>
      <c r="D27" s="460">
        <f t="shared" si="0"/>
        <v>0</v>
      </c>
      <c r="E27" s="594">
        <f t="shared" si="9"/>
        <v>4384.975893560606</v>
      </c>
      <c r="F27" s="585">
        <f t="shared" si="1"/>
        <v>0</v>
      </c>
      <c r="G27" s="589">
        <f t="shared" si="10"/>
        <v>0</v>
      </c>
      <c r="H27" s="590">
        <f t="shared" si="11"/>
        <v>0</v>
      </c>
      <c r="I27" s="588">
        <f t="shared" si="2"/>
        <v>0</v>
      </c>
      <c r="J27" s="482">
        <f t="shared" si="12"/>
        <v>2.2319527298223485</v>
      </c>
      <c r="K27" s="483">
        <f t="shared" si="13"/>
        <v>1.81099504404053</v>
      </c>
      <c r="L27" s="486">
        <f t="shared" si="3"/>
        <v>0</v>
      </c>
      <c r="M27" s="484">
        <f t="shared" si="4"/>
        <v>0</v>
      </c>
      <c r="N27" s="474">
        <f t="shared" si="5"/>
        <v>0</v>
      </c>
      <c r="O27" s="490">
        <f t="shared" si="6"/>
        <v>0</v>
      </c>
      <c r="P27" s="477">
        <f t="shared" si="7"/>
        <v>0</v>
      </c>
      <c r="Q27" s="469">
        <f t="shared" si="14"/>
        <v>0</v>
      </c>
      <c r="R27" s="163">
        <f>Q27/(1+disc2)^(B27-'A - Inputs'!$C$6)</f>
        <v>0</v>
      </c>
    </row>
    <row r="28" spans="2:20" ht="15" x14ac:dyDescent="0.25">
      <c r="B28" s="99">
        <f t="shared" si="15"/>
        <v>2025</v>
      </c>
      <c r="C28" s="99">
        <f t="shared" si="15"/>
        <v>4</v>
      </c>
      <c r="D28" s="460">
        <f t="shared" si="0"/>
        <v>0</v>
      </c>
      <c r="E28" s="594">
        <f t="shared" si="9"/>
        <v>4448.8321002776383</v>
      </c>
      <c r="F28" s="585">
        <f t="shared" si="1"/>
        <v>0</v>
      </c>
      <c r="G28" s="589">
        <f t="shared" si="10"/>
        <v>0</v>
      </c>
      <c r="H28" s="590">
        <f t="shared" si="11"/>
        <v>0</v>
      </c>
      <c r="I28" s="588">
        <f t="shared" si="2"/>
        <v>0</v>
      </c>
      <c r="J28" s="482">
        <f t="shared" si="12"/>
        <v>2.2644555390413177</v>
      </c>
      <c r="K28" s="483">
        <f t="shared" si="13"/>
        <v>1.8373676574146647</v>
      </c>
      <c r="L28" s="486">
        <f t="shared" si="3"/>
        <v>0</v>
      </c>
      <c r="M28" s="484">
        <f t="shared" si="4"/>
        <v>0</v>
      </c>
      <c r="N28" s="474">
        <f t="shared" si="5"/>
        <v>0</v>
      </c>
      <c r="O28" s="490">
        <f t="shared" si="6"/>
        <v>0</v>
      </c>
      <c r="P28" s="477">
        <f t="shared" si="7"/>
        <v>0</v>
      </c>
      <c r="Q28" s="469">
        <f t="shared" si="14"/>
        <v>0</v>
      </c>
      <c r="R28" s="163">
        <f>Q28/(1+disc2)^(B28-'A - Inputs'!$C$6)</f>
        <v>0</v>
      </c>
    </row>
    <row r="29" spans="2:20" ht="15" x14ac:dyDescent="0.25">
      <c r="B29" s="99">
        <f t="shared" si="15"/>
        <v>2026</v>
      </c>
      <c r="C29" s="99">
        <f t="shared" si="15"/>
        <v>5</v>
      </c>
      <c r="D29" s="460">
        <f t="shared" si="0"/>
        <v>1</v>
      </c>
      <c r="E29" s="594">
        <f t="shared" si="9"/>
        <v>4513.6182129360641</v>
      </c>
      <c r="F29" s="585">
        <f t="shared" si="1"/>
        <v>0</v>
      </c>
      <c r="G29" s="589">
        <f t="shared" si="10"/>
        <v>0</v>
      </c>
      <c r="H29" s="590">
        <f t="shared" si="11"/>
        <v>0</v>
      </c>
      <c r="I29" s="588">
        <f t="shared" si="2"/>
        <v>0</v>
      </c>
      <c r="J29" s="482">
        <f t="shared" si="12"/>
        <v>2.2974316703844564</v>
      </c>
      <c r="K29" s="483">
        <f t="shared" si="13"/>
        <v>1.8641243219425943</v>
      </c>
      <c r="L29" s="486">
        <f t="shared" si="3"/>
        <v>0</v>
      </c>
      <c r="M29" s="484">
        <f t="shared" si="4"/>
        <v>0</v>
      </c>
      <c r="N29" s="474">
        <f t="shared" si="5"/>
        <v>0</v>
      </c>
      <c r="O29" s="490">
        <f t="shared" si="6"/>
        <v>0</v>
      </c>
      <c r="P29" s="477">
        <f t="shared" si="7"/>
        <v>0</v>
      </c>
      <c r="Q29" s="469">
        <f t="shared" si="14"/>
        <v>0</v>
      </c>
      <c r="R29" s="163">
        <f>Q29/(1+disc2)^(B29-'A - Inputs'!$C$6)</f>
        <v>0</v>
      </c>
    </row>
    <row r="30" spans="2:20" ht="15" x14ac:dyDescent="0.25">
      <c r="B30" s="99">
        <f t="shared" si="15"/>
        <v>2027</v>
      </c>
      <c r="C30" s="99">
        <f t="shared" si="15"/>
        <v>6</v>
      </c>
      <c r="D30" s="460">
        <f t="shared" si="0"/>
        <v>2</v>
      </c>
      <c r="E30" s="594">
        <f t="shared" si="9"/>
        <v>4579.3477732901511</v>
      </c>
      <c r="F30" s="585">
        <f t="shared" si="1"/>
        <v>0</v>
      </c>
      <c r="G30" s="589">
        <f t="shared" si="10"/>
        <v>0</v>
      </c>
      <c r="H30" s="590">
        <f t="shared" si="11"/>
        <v>0</v>
      </c>
      <c r="I30" s="588">
        <f t="shared" si="2"/>
        <v>0</v>
      </c>
      <c r="J30" s="482">
        <f t="shared" si="12"/>
        <v>2.3308880166046868</v>
      </c>
      <c r="K30" s="483">
        <f t="shared" si="13"/>
        <v>1.8912706303688323</v>
      </c>
      <c r="L30" s="486">
        <f t="shared" si="3"/>
        <v>0</v>
      </c>
      <c r="M30" s="484">
        <f t="shared" si="4"/>
        <v>0</v>
      </c>
      <c r="N30" s="474">
        <f t="shared" si="5"/>
        <v>0</v>
      </c>
      <c r="O30" s="490">
        <f t="shared" si="6"/>
        <v>0</v>
      </c>
      <c r="P30" s="477">
        <f t="shared" si="7"/>
        <v>0</v>
      </c>
      <c r="Q30" s="469">
        <f t="shared" si="14"/>
        <v>0</v>
      </c>
      <c r="R30" s="163">
        <f>Q30/(1+disc2)^(B30-'A - Inputs'!$C$6)</f>
        <v>0</v>
      </c>
    </row>
    <row r="31" spans="2:20" ht="15" x14ac:dyDescent="0.25">
      <c r="B31" s="99">
        <f t="shared" si="15"/>
        <v>2028</v>
      </c>
      <c r="C31" s="99">
        <f t="shared" si="15"/>
        <v>7</v>
      </c>
      <c r="D31" s="460">
        <f>MAX(B31-_xlfn.SINGLE(BenefitStart)+1,0)</f>
        <v>3</v>
      </c>
      <c r="E31" s="594">
        <f t="shared" si="9"/>
        <v>4646.0345202959488</v>
      </c>
      <c r="F31" s="585">
        <f t="shared" si="1"/>
        <v>0</v>
      </c>
      <c r="G31" s="589">
        <f t="shared" si="10"/>
        <v>0</v>
      </c>
      <c r="H31" s="590">
        <f t="shared" si="11"/>
        <v>0</v>
      </c>
      <c r="I31" s="588">
        <f t="shared" si="2"/>
        <v>0</v>
      </c>
      <c r="J31" s="482">
        <f t="shared" si="12"/>
        <v>2.364831570830638</v>
      </c>
      <c r="K31" s="483">
        <f t="shared" si="13"/>
        <v>1.9188122568822268</v>
      </c>
      <c r="L31" s="486">
        <f t="shared" si="3"/>
        <v>0</v>
      </c>
      <c r="M31" s="484">
        <f t="shared" si="4"/>
        <v>0</v>
      </c>
      <c r="N31" s="474">
        <f t="shared" si="5"/>
        <v>0</v>
      </c>
      <c r="O31" s="490">
        <f t="shared" si="6"/>
        <v>0</v>
      </c>
      <c r="P31" s="477">
        <f t="shared" si="7"/>
        <v>0</v>
      </c>
      <c r="Q31" s="469">
        <f t="shared" si="14"/>
        <v>0</v>
      </c>
      <c r="R31" s="163">
        <f>Q31/(1+disc2)^(B31-'A - Inputs'!$C$6)</f>
        <v>0</v>
      </c>
    </row>
    <row r="32" spans="2:20" ht="15" x14ac:dyDescent="0.25">
      <c r="B32" s="99">
        <f t="shared" si="15"/>
        <v>2029</v>
      </c>
      <c r="C32" s="99">
        <f t="shared" si="15"/>
        <v>8</v>
      </c>
      <c r="D32" s="460">
        <f t="shared" si="0"/>
        <v>4</v>
      </c>
      <c r="E32" s="594">
        <f t="shared" si="9"/>
        <v>4713.69239298304</v>
      </c>
      <c r="F32" s="585">
        <f t="shared" si="1"/>
        <v>0</v>
      </c>
      <c r="G32" s="589">
        <f t="shared" si="10"/>
        <v>0</v>
      </c>
      <c r="H32" s="590">
        <f t="shared" si="11"/>
        <v>0</v>
      </c>
      <c r="I32" s="588">
        <f t="shared" si="2"/>
        <v>0</v>
      </c>
      <c r="J32" s="482">
        <f t="shared" si="12"/>
        <v>2.3992694280283673</v>
      </c>
      <c r="K32" s="483">
        <f t="shared" si="13"/>
        <v>1.9467549583019954</v>
      </c>
      <c r="L32" s="486">
        <f t="shared" si="3"/>
        <v>0</v>
      </c>
      <c r="M32" s="484">
        <f t="shared" si="4"/>
        <v>0</v>
      </c>
      <c r="N32" s="474">
        <f t="shared" si="5"/>
        <v>0</v>
      </c>
      <c r="O32" s="490">
        <f t="shared" si="6"/>
        <v>0</v>
      </c>
      <c r="P32" s="477">
        <f t="shared" si="7"/>
        <v>0</v>
      </c>
      <c r="Q32" s="469">
        <f t="shared" si="14"/>
        <v>0</v>
      </c>
      <c r="R32" s="163">
        <f>Q32/(1+disc2)^(B32-'A - Inputs'!$C$6)</f>
        <v>0</v>
      </c>
    </row>
    <row r="33" spans="2:18" ht="15" x14ac:dyDescent="0.25">
      <c r="B33" s="99">
        <f t="shared" si="15"/>
        <v>2030</v>
      </c>
      <c r="C33" s="99">
        <f t="shared" si="15"/>
        <v>9</v>
      </c>
      <c r="D33" s="460">
        <f t="shared" si="0"/>
        <v>5</v>
      </c>
      <c r="E33" s="594">
        <f t="shared" si="9"/>
        <v>4782.3355333681102</v>
      </c>
      <c r="F33" s="585">
        <f t="shared" si="1"/>
        <v>0</v>
      </c>
      <c r="G33" s="589">
        <f t="shared" si="10"/>
        <v>0</v>
      </c>
      <c r="H33" s="590">
        <f t="shared" si="11"/>
        <v>0</v>
      </c>
      <c r="I33" s="588">
        <f t="shared" si="2"/>
        <v>0</v>
      </c>
      <c r="J33" s="482">
        <f t="shared" si="12"/>
        <v>2.4342087864843682</v>
      </c>
      <c r="K33" s="483">
        <f t="shared" si="13"/>
        <v>1.9751045752810295</v>
      </c>
      <c r="L33" s="486">
        <f t="shared" si="3"/>
        <v>0</v>
      </c>
      <c r="M33" s="484">
        <f t="shared" si="4"/>
        <v>0</v>
      </c>
      <c r="N33" s="474">
        <f t="shared" si="5"/>
        <v>0</v>
      </c>
      <c r="O33" s="490">
        <f t="shared" si="6"/>
        <v>0</v>
      </c>
      <c r="P33" s="477">
        <f t="shared" si="7"/>
        <v>0</v>
      </c>
      <c r="Q33" s="469">
        <f t="shared" si="14"/>
        <v>0</v>
      </c>
      <c r="R33" s="163">
        <f>Q33/(1+disc2)^(B33-'A - Inputs'!$C$6)</f>
        <v>0</v>
      </c>
    </row>
    <row r="34" spans="2:18" ht="15" x14ac:dyDescent="0.25">
      <c r="B34" s="99">
        <f t="shared" si="15"/>
        <v>2031</v>
      </c>
      <c r="C34" s="99">
        <f t="shared" si="15"/>
        <v>10</v>
      </c>
      <c r="D34" s="460">
        <f t="shared" si="0"/>
        <v>6</v>
      </c>
      <c r="E34" s="594">
        <f t="shared" si="9"/>
        <v>4851.9782894109476</v>
      </c>
      <c r="F34" s="585">
        <f t="shared" si="1"/>
        <v>0</v>
      </c>
      <c r="G34" s="589">
        <f t="shared" si="10"/>
        <v>0</v>
      </c>
      <c r="H34" s="590">
        <f t="shared" si="11"/>
        <v>0</v>
      </c>
      <c r="I34" s="588">
        <f t="shared" si="2"/>
        <v>0</v>
      </c>
      <c r="J34" s="482">
        <f t="shared" si="12"/>
        <v>2.4696569493101723</v>
      </c>
      <c r="K34" s="483">
        <f t="shared" si="13"/>
        <v>2.0038670335267215</v>
      </c>
      <c r="L34" s="486">
        <f t="shared" si="3"/>
        <v>0</v>
      </c>
      <c r="M34" s="484">
        <f t="shared" si="4"/>
        <v>0</v>
      </c>
      <c r="N34" s="474">
        <f t="shared" si="5"/>
        <v>0</v>
      </c>
      <c r="O34" s="490">
        <f t="shared" si="6"/>
        <v>0</v>
      </c>
      <c r="P34" s="477">
        <f t="shared" si="7"/>
        <v>0</v>
      </c>
      <c r="Q34" s="469">
        <f t="shared" si="14"/>
        <v>0</v>
      </c>
      <c r="R34" s="163">
        <f>Q34/(1+disc2)^(B34-'A - Inputs'!$C$6)</f>
        <v>0</v>
      </c>
    </row>
    <row r="35" spans="2:18" ht="15" x14ac:dyDescent="0.25">
      <c r="B35" s="99">
        <f t="shared" si="15"/>
        <v>2032</v>
      </c>
      <c r="C35" s="99">
        <f t="shared" si="15"/>
        <v>11</v>
      </c>
      <c r="D35" s="460">
        <f t="shared" si="0"/>
        <v>7</v>
      </c>
      <c r="E35" s="594">
        <f t="shared" si="9"/>
        <v>4922.63521801349</v>
      </c>
      <c r="F35" s="585">
        <f t="shared" si="1"/>
        <v>0</v>
      </c>
      <c r="G35" s="589">
        <f t="shared" si="10"/>
        <v>0</v>
      </c>
      <c r="H35" s="590">
        <f t="shared" si="11"/>
        <v>0</v>
      </c>
      <c r="I35" s="588">
        <f t="shared" si="2"/>
        <v>0</v>
      </c>
      <c r="J35" s="482">
        <f t="shared" si="12"/>
        <v>2.5056213259688662</v>
      </c>
      <c r="K35" s="483">
        <f t="shared" si="13"/>
        <v>2.0330483450395711</v>
      </c>
      <c r="L35" s="486">
        <f t="shared" si="3"/>
        <v>0</v>
      </c>
      <c r="M35" s="484">
        <f t="shared" si="4"/>
        <v>0</v>
      </c>
      <c r="N35" s="474">
        <f t="shared" si="5"/>
        <v>0</v>
      </c>
      <c r="O35" s="490">
        <f t="shared" si="6"/>
        <v>0</v>
      </c>
      <c r="P35" s="477">
        <f t="shared" si="7"/>
        <v>0</v>
      </c>
      <c r="Q35" s="469">
        <f t="shared" si="14"/>
        <v>0</v>
      </c>
      <c r="R35" s="163">
        <f>Q35/(1+disc2)^(B35-'A - Inputs'!$C$6)</f>
        <v>0</v>
      </c>
    </row>
    <row r="36" spans="2:18" ht="15" x14ac:dyDescent="0.25">
      <c r="B36" s="99">
        <f t="shared" si="15"/>
        <v>2033</v>
      </c>
      <c r="C36" s="99">
        <f t="shared" si="15"/>
        <v>12</v>
      </c>
      <c r="D36" s="460">
        <f t="shared" si="0"/>
        <v>8</v>
      </c>
      <c r="E36" s="594">
        <f t="shared" si="9"/>
        <v>4994.3210880625429</v>
      </c>
      <c r="F36" s="585">
        <f t="shared" si="1"/>
        <v>0</v>
      </c>
      <c r="G36" s="589">
        <f t="shared" si="10"/>
        <v>0</v>
      </c>
      <c r="H36" s="590">
        <f t="shared" si="11"/>
        <v>0</v>
      </c>
      <c r="I36" s="588">
        <f t="shared" si="2"/>
        <v>0</v>
      </c>
      <c r="J36" s="482">
        <f t="shared" si="12"/>
        <v>2.5421094338238346</v>
      </c>
      <c r="K36" s="483">
        <f t="shared" si="13"/>
        <v>2.0626546093698299</v>
      </c>
      <c r="L36" s="486">
        <f t="shared" si="3"/>
        <v>0</v>
      </c>
      <c r="M36" s="484">
        <f t="shared" si="4"/>
        <v>0</v>
      </c>
      <c r="N36" s="474">
        <f t="shared" si="5"/>
        <v>0</v>
      </c>
      <c r="O36" s="490">
        <f t="shared" si="6"/>
        <v>0</v>
      </c>
      <c r="P36" s="477">
        <f t="shared" si="7"/>
        <v>0</v>
      </c>
      <c r="Q36" s="469">
        <f t="shared" si="14"/>
        <v>0</v>
      </c>
      <c r="R36" s="163">
        <f>Q36/(1+disc2)^(B36-'A - Inputs'!$C$6)</f>
        <v>0</v>
      </c>
    </row>
    <row r="37" spans="2:18" ht="15" x14ac:dyDescent="0.25">
      <c r="B37" s="99">
        <f t="shared" si="15"/>
        <v>2034</v>
      </c>
      <c r="C37" s="99">
        <f t="shared" si="15"/>
        <v>13</v>
      </c>
      <c r="D37" s="460">
        <f t="shared" si="0"/>
        <v>9</v>
      </c>
      <c r="E37" s="594">
        <f t="shared" si="9"/>
        <v>5067.0508835168102</v>
      </c>
      <c r="F37" s="585">
        <f t="shared" si="1"/>
        <v>0</v>
      </c>
      <c r="G37" s="589">
        <f t="shared" si="10"/>
        <v>0</v>
      </c>
      <c r="H37" s="590">
        <f t="shared" si="11"/>
        <v>0</v>
      </c>
      <c r="I37" s="588">
        <f t="shared" si="2"/>
        <v>0</v>
      </c>
      <c r="J37" s="482">
        <f t="shared" si="12"/>
        <v>2.5791288997100565</v>
      </c>
      <c r="K37" s="483">
        <f t="shared" si="13"/>
        <v>2.0926920148924424</v>
      </c>
      <c r="L37" s="486">
        <f t="shared" si="3"/>
        <v>0</v>
      </c>
      <c r="M37" s="484">
        <f t="shared" si="4"/>
        <v>0</v>
      </c>
      <c r="N37" s="474">
        <f t="shared" si="5"/>
        <v>0</v>
      </c>
      <c r="O37" s="490">
        <f t="shared" si="6"/>
        <v>0</v>
      </c>
      <c r="P37" s="477">
        <f t="shared" si="7"/>
        <v>0</v>
      </c>
      <c r="Q37" s="469">
        <f t="shared" si="14"/>
        <v>0</v>
      </c>
      <c r="R37" s="163">
        <f>Q37/(1+disc2)^(B37-'A - Inputs'!$C$6)</f>
        <v>0</v>
      </c>
    </row>
    <row r="38" spans="2:18" ht="15" x14ac:dyDescent="0.25">
      <c r="B38" s="99">
        <f t="shared" si="15"/>
        <v>2035</v>
      </c>
      <c r="C38" s="99">
        <f t="shared" si="15"/>
        <v>14</v>
      </c>
      <c r="D38" s="460">
        <f t="shared" si="0"/>
        <v>10</v>
      </c>
      <c r="E38" s="594">
        <f t="shared" si="9"/>
        <v>5140.8398065388792</v>
      </c>
      <c r="F38" s="585">
        <f t="shared" si="1"/>
        <v>0</v>
      </c>
      <c r="G38" s="589">
        <f t="shared" si="10"/>
        <v>0</v>
      </c>
      <c r="H38" s="590">
        <f t="shared" si="11"/>
        <v>0</v>
      </c>
      <c r="I38" s="588">
        <f t="shared" si="2"/>
        <v>0</v>
      </c>
      <c r="J38" s="482">
        <f t="shared" si="12"/>
        <v>2.6166874615282896</v>
      </c>
      <c r="K38" s="483">
        <f t="shared" si="13"/>
        <v>2.123166840100557</v>
      </c>
      <c r="L38" s="486">
        <f t="shared" si="3"/>
        <v>0</v>
      </c>
      <c r="M38" s="484">
        <f t="shared" si="4"/>
        <v>0</v>
      </c>
      <c r="N38" s="474">
        <f t="shared" si="5"/>
        <v>0</v>
      </c>
      <c r="O38" s="490">
        <f t="shared" si="6"/>
        <v>0</v>
      </c>
      <c r="P38" s="477">
        <f t="shared" si="7"/>
        <v>0</v>
      </c>
      <c r="Q38" s="469">
        <f t="shared" si="14"/>
        <v>0</v>
      </c>
      <c r="R38" s="163">
        <f>Q38/(1+disc2)^(B38-'A - Inputs'!$C$6)</f>
        <v>0</v>
      </c>
    </row>
    <row r="39" spans="2:18" ht="15" x14ac:dyDescent="0.25">
      <c r="B39" s="99">
        <f t="shared" si="15"/>
        <v>2036</v>
      </c>
      <c r="C39" s="99">
        <f t="shared" si="15"/>
        <v>15</v>
      </c>
      <c r="D39" s="460">
        <f t="shared" si="0"/>
        <v>11</v>
      </c>
      <c r="E39" s="594">
        <f t="shared" si="9"/>
        <v>5215.703280672813</v>
      </c>
      <c r="F39" s="585">
        <f t="shared" si="1"/>
        <v>0</v>
      </c>
      <c r="G39" s="589">
        <f t="shared" si="10"/>
        <v>0</v>
      </c>
      <c r="H39" s="590">
        <f t="shared" si="11"/>
        <v>0</v>
      </c>
      <c r="I39" s="588">
        <f t="shared" si="2"/>
        <v>0</v>
      </c>
      <c r="J39" s="482">
        <f t="shared" si="12"/>
        <v>2.6547929698624619</v>
      </c>
      <c r="K39" s="483">
        <f t="shared" si="13"/>
        <v>2.1540854549178716</v>
      </c>
      <c r="L39" s="486">
        <f t="shared" si="3"/>
        <v>0</v>
      </c>
      <c r="M39" s="484">
        <f t="shared" si="4"/>
        <v>0</v>
      </c>
      <c r="N39" s="474">
        <f t="shared" si="5"/>
        <v>0</v>
      </c>
      <c r="O39" s="490">
        <f t="shared" si="6"/>
        <v>0</v>
      </c>
      <c r="P39" s="477">
        <f t="shared" si="7"/>
        <v>0</v>
      </c>
      <c r="Q39" s="469">
        <f t="shared" si="14"/>
        <v>0</v>
      </c>
      <c r="R39" s="163">
        <f>Q39/(1+disc2)^(B39-'A - Inputs'!$C$6)</f>
        <v>0</v>
      </c>
    </row>
    <row r="40" spans="2:18" ht="15" x14ac:dyDescent="0.25">
      <c r="B40" s="99">
        <f t="shared" si="15"/>
        <v>2037</v>
      </c>
      <c r="C40" s="99">
        <f t="shared" si="15"/>
        <v>16</v>
      </c>
      <c r="D40" s="460">
        <f t="shared" si="0"/>
        <v>12</v>
      </c>
      <c r="E40" s="594">
        <f t="shared" si="9"/>
        <v>5291.6569540680175</v>
      </c>
      <c r="F40" s="585">
        <f t="shared" si="1"/>
        <v>0</v>
      </c>
      <c r="G40" s="589">
        <f t="shared" si="10"/>
        <v>0</v>
      </c>
      <c r="H40" s="590">
        <f t="shared" si="11"/>
        <v>0</v>
      </c>
      <c r="I40" s="588">
        <f t="shared" si="2"/>
        <v>0</v>
      </c>
      <c r="J40" s="482">
        <f t="shared" si="12"/>
        <v>2.693453389620621</v>
      </c>
      <c r="K40" s="483">
        <f t="shared" si="13"/>
        <v>2.185454322030091</v>
      </c>
      <c r="L40" s="486">
        <f t="shared" si="3"/>
        <v>0</v>
      </c>
      <c r="M40" s="484">
        <f t="shared" si="4"/>
        <v>0</v>
      </c>
      <c r="N40" s="474">
        <f t="shared" si="5"/>
        <v>0</v>
      </c>
      <c r="O40" s="490">
        <f t="shared" si="6"/>
        <v>0</v>
      </c>
      <c r="P40" s="477">
        <f t="shared" si="7"/>
        <v>0</v>
      </c>
      <c r="Q40" s="469">
        <f t="shared" si="14"/>
        <v>0</v>
      </c>
      <c r="R40" s="163">
        <f>Q40/(1+disc2)^(B40-'A - Inputs'!$C$6)</f>
        <v>0</v>
      </c>
    </row>
    <row r="41" spans="2:18" ht="15" x14ac:dyDescent="0.25">
      <c r="B41" s="99">
        <f t="shared" si="15"/>
        <v>2038</v>
      </c>
      <c r="C41" s="99">
        <f t="shared" si="15"/>
        <v>17</v>
      </c>
      <c r="D41" s="460">
        <f t="shared" si="0"/>
        <v>13</v>
      </c>
      <c r="E41" s="594">
        <f t="shared" si="9"/>
        <v>5368.7167027500591</v>
      </c>
      <c r="F41" s="585">
        <f t="shared" si="1"/>
        <v>0</v>
      </c>
      <c r="G41" s="589">
        <f t="shared" si="10"/>
        <v>0</v>
      </c>
      <c r="H41" s="590">
        <f t="shared" si="11"/>
        <v>0</v>
      </c>
      <c r="I41" s="588">
        <f t="shared" si="2"/>
        <v>0</v>
      </c>
      <c r="J41" s="482">
        <f t="shared" si="12"/>
        <v>2.73267680169978</v>
      </c>
      <c r="K41" s="483">
        <f t="shared" si="13"/>
        <v>2.217279998235774</v>
      </c>
      <c r="L41" s="486">
        <f t="shared" si="3"/>
        <v>0</v>
      </c>
      <c r="M41" s="484">
        <f t="shared" si="4"/>
        <v>0</v>
      </c>
      <c r="N41" s="474">
        <f t="shared" si="5"/>
        <v>0</v>
      </c>
      <c r="O41" s="490">
        <f t="shared" si="6"/>
        <v>0</v>
      </c>
      <c r="P41" s="477">
        <f t="shared" si="7"/>
        <v>0</v>
      </c>
      <c r="Q41" s="469">
        <f t="shared" si="14"/>
        <v>0</v>
      </c>
      <c r="R41" s="163">
        <f>Q41/(1+disc2)^(B41-'A - Inputs'!$C$6)</f>
        <v>0</v>
      </c>
    </row>
    <row r="42" spans="2:18" ht="15" x14ac:dyDescent="0.25">
      <c r="B42" s="99">
        <f t="shared" si="15"/>
        <v>2039</v>
      </c>
      <c r="C42" s="99">
        <f t="shared" si="15"/>
        <v>18</v>
      </c>
      <c r="D42" s="460">
        <f t="shared" si="0"/>
        <v>14</v>
      </c>
      <c r="E42" s="594">
        <f t="shared" si="9"/>
        <v>5446.8986339391076</v>
      </c>
      <c r="F42" s="585">
        <f t="shared" si="1"/>
        <v>0</v>
      </c>
      <c r="G42" s="589">
        <f t="shared" si="10"/>
        <v>0</v>
      </c>
      <c r="H42" s="590">
        <f t="shared" si="11"/>
        <v>0</v>
      </c>
      <c r="I42" s="588">
        <f t="shared" si="2"/>
        <v>0</v>
      </c>
      <c r="J42" s="482">
        <f t="shared" si="12"/>
        <v>2.7724714046750054</v>
      </c>
      <c r="K42" s="483">
        <f t="shared" si="13"/>
        <v>2.2495691358168513</v>
      </c>
      <c r="L42" s="486">
        <f t="shared" si="3"/>
        <v>0</v>
      </c>
      <c r="M42" s="484">
        <f t="shared" si="4"/>
        <v>0</v>
      </c>
      <c r="N42" s="474">
        <f t="shared" si="5"/>
        <v>0</v>
      </c>
      <c r="O42" s="490">
        <f t="shared" si="6"/>
        <v>0</v>
      </c>
      <c r="P42" s="477">
        <f t="shared" si="7"/>
        <v>0</v>
      </c>
      <c r="Q42" s="469">
        <f t="shared" si="14"/>
        <v>0</v>
      </c>
      <c r="R42" s="163">
        <f>Q42/(1+disc2)^(B42-'A - Inputs'!$C$6)</f>
        <v>0</v>
      </c>
    </row>
    <row r="43" spans="2:18" ht="15" x14ac:dyDescent="0.25">
      <c r="B43" s="99">
        <f t="shared" ref="B43:C54" si="16">B42+1</f>
        <v>2040</v>
      </c>
      <c r="C43" s="99">
        <f t="shared" si="16"/>
        <v>19</v>
      </c>
      <c r="D43" s="460">
        <f t="shared" si="0"/>
        <v>15</v>
      </c>
      <c r="E43" s="594">
        <f t="shared" si="9"/>
        <v>5526.2190894167106</v>
      </c>
      <c r="F43" s="585">
        <f t="shared" si="1"/>
        <v>0</v>
      </c>
      <c r="G43" s="589">
        <f t="shared" si="10"/>
        <v>0</v>
      </c>
      <c r="H43" s="590">
        <f t="shared" si="11"/>
        <v>0</v>
      </c>
      <c r="I43" s="588">
        <f t="shared" si="2"/>
        <v>0</v>
      </c>
      <c r="J43" s="482">
        <f t="shared" si="12"/>
        <v>2.8128455165131059</v>
      </c>
      <c r="K43" s="483">
        <f t="shared" si="13"/>
        <v>2.2823284839291014</v>
      </c>
      <c r="L43" s="486">
        <f t="shared" si="3"/>
        <v>0</v>
      </c>
      <c r="M43" s="484">
        <f t="shared" si="4"/>
        <v>0</v>
      </c>
      <c r="N43" s="474">
        <f t="shared" si="5"/>
        <v>0</v>
      </c>
      <c r="O43" s="490">
        <f t="shared" si="6"/>
        <v>0</v>
      </c>
      <c r="P43" s="477">
        <f t="shared" si="7"/>
        <v>0</v>
      </c>
      <c r="Q43" s="469">
        <f t="shared" si="14"/>
        <v>0</v>
      </c>
      <c r="R43" s="163">
        <f>Q43/(1+disc2)^(B43-'A - Inputs'!$C$6)</f>
        <v>0</v>
      </c>
    </row>
    <row r="44" spans="2:18" ht="15" x14ac:dyDescent="0.25">
      <c r="B44" s="99">
        <f t="shared" si="16"/>
        <v>2041</v>
      </c>
      <c r="C44" s="99">
        <f t="shared" si="16"/>
        <v>20</v>
      </c>
      <c r="D44" s="460">
        <f t="shared" si="0"/>
        <v>16</v>
      </c>
      <c r="E44" s="594">
        <f t="shared" si="9"/>
        <v>5606.6946489415914</v>
      </c>
      <c r="F44" s="585">
        <f t="shared" si="1"/>
        <v>0</v>
      </c>
      <c r="G44" s="589">
        <f t="shared" si="10"/>
        <v>0</v>
      </c>
      <c r="H44" s="590">
        <f t="shared" si="11"/>
        <v>0</v>
      </c>
      <c r="I44" s="588">
        <f t="shared" si="2"/>
        <v>0</v>
      </c>
      <c r="J44" s="482">
        <f t="shared" si="12"/>
        <v>2.8538075763112696</v>
      </c>
      <c r="K44" s="483">
        <f t="shared" si="13"/>
        <v>2.3155648900128769</v>
      </c>
      <c r="L44" s="486">
        <f t="shared" si="3"/>
        <v>0</v>
      </c>
      <c r="M44" s="484">
        <f t="shared" si="4"/>
        <v>0</v>
      </c>
      <c r="N44" s="474">
        <f t="shared" si="5"/>
        <v>0</v>
      </c>
      <c r="O44" s="490">
        <f t="shared" si="6"/>
        <v>0</v>
      </c>
      <c r="P44" s="477">
        <f t="shared" si="7"/>
        <v>0</v>
      </c>
      <c r="Q44" s="469">
        <f t="shared" si="14"/>
        <v>0</v>
      </c>
      <c r="R44" s="163">
        <f>Q44/(1+disc2)^(B44-'A - Inputs'!$C$6)</f>
        <v>0</v>
      </c>
    </row>
    <row r="45" spans="2:18" ht="15" x14ac:dyDescent="0.25">
      <c r="B45" s="99">
        <f t="shared" si="16"/>
        <v>2042</v>
      </c>
      <c r="C45" s="99">
        <f t="shared" si="16"/>
        <v>21</v>
      </c>
      <c r="D45" s="460">
        <f t="shared" si="0"/>
        <v>17</v>
      </c>
      <c r="E45" s="594">
        <f t="shared" si="9"/>
        <v>5688.3421337151922</v>
      </c>
      <c r="F45" s="585">
        <f t="shared" si="1"/>
        <v>0</v>
      </c>
      <c r="G45" s="589">
        <f t="shared" si="10"/>
        <v>0</v>
      </c>
      <c r="H45" s="590">
        <f t="shared" si="11"/>
        <v>0</v>
      </c>
      <c r="I45" s="588">
        <f t="shared" si="2"/>
        <v>0</v>
      </c>
      <c r="J45" s="482">
        <f t="shared" si="12"/>
        <v>2.8953661460610327</v>
      </c>
      <c r="K45" s="483">
        <f t="shared" si="13"/>
        <v>2.3492853012243744</v>
      </c>
      <c r="L45" s="486">
        <f t="shared" si="3"/>
        <v>0</v>
      </c>
      <c r="M45" s="484">
        <f t="shared" si="4"/>
        <v>0</v>
      </c>
      <c r="N45" s="474">
        <f t="shared" si="5"/>
        <v>0</v>
      </c>
      <c r="O45" s="490">
        <f t="shared" si="6"/>
        <v>0</v>
      </c>
      <c r="P45" s="477">
        <f t="shared" si="7"/>
        <v>0</v>
      </c>
      <c r="Q45" s="469">
        <f t="shared" si="14"/>
        <v>0</v>
      </c>
      <c r="R45" s="163">
        <f>Q45/(1+disc2)^(B45-'A - Inputs'!$C$6)</f>
        <v>0</v>
      </c>
    </row>
    <row r="46" spans="2:18" ht="15" x14ac:dyDescent="0.25">
      <c r="B46" s="99">
        <f t="shared" si="16"/>
        <v>2043</v>
      </c>
      <c r="C46" s="99">
        <f t="shared" si="16"/>
        <v>22</v>
      </c>
      <c r="D46" s="460">
        <f t="shared" si="0"/>
        <v>18</v>
      </c>
      <c r="E46" s="594">
        <f t="shared" si="9"/>
        <v>5771.1786098976818</v>
      </c>
      <c r="F46" s="585">
        <f t="shared" si="1"/>
        <v>0</v>
      </c>
      <c r="G46" s="589">
        <f t="shared" si="10"/>
        <v>0</v>
      </c>
      <c r="H46" s="590">
        <f t="shared" si="11"/>
        <v>0</v>
      </c>
      <c r="I46" s="588">
        <f t="shared" si="2"/>
        <v>0</v>
      </c>
      <c r="J46" s="482">
        <f t="shared" si="12"/>
        <v>2.9375299124379199</v>
      </c>
      <c r="K46" s="483">
        <f t="shared" si="13"/>
        <v>2.3834967658877426</v>
      </c>
      <c r="L46" s="486">
        <f t="shared" si="3"/>
        <v>0</v>
      </c>
      <c r="M46" s="484">
        <f t="shared" si="4"/>
        <v>0</v>
      </c>
      <c r="N46" s="474">
        <f t="shared" si="5"/>
        <v>0</v>
      </c>
      <c r="O46" s="490">
        <f t="shared" si="6"/>
        <v>0</v>
      </c>
      <c r="P46" s="477">
        <f t="shared" si="7"/>
        <v>0</v>
      </c>
      <c r="Q46" s="469">
        <f t="shared" si="14"/>
        <v>0</v>
      </c>
      <c r="R46" s="163">
        <f>Q46/(1+disc2)^(B46-'A - Inputs'!$C$6)</f>
        <v>0</v>
      </c>
    </row>
    <row r="47" spans="2:18" ht="15" x14ac:dyDescent="0.25">
      <c r="B47" s="99">
        <f t="shared" si="16"/>
        <v>2044</v>
      </c>
      <c r="C47" s="99">
        <f t="shared" si="16"/>
        <v>23</v>
      </c>
      <c r="D47" s="460">
        <f t="shared" si="0"/>
        <v>19</v>
      </c>
      <c r="E47" s="594">
        <f t="shared" si="9"/>
        <v>5855.2213921751691</v>
      </c>
      <c r="F47" s="585">
        <f t="shared" si="1"/>
        <v>0</v>
      </c>
      <c r="G47" s="589">
        <f t="shared" si="10"/>
        <v>0</v>
      </c>
      <c r="H47" s="590">
        <f t="shared" si="11"/>
        <v>0</v>
      </c>
      <c r="I47" s="588">
        <f t="shared" si="2"/>
        <v>0</v>
      </c>
      <c r="J47" s="482">
        <f t="shared" si="12"/>
        <v>2.9803076886171609</v>
      </c>
      <c r="K47" s="483">
        <f t="shared" si="13"/>
        <v>2.4182064349683445</v>
      </c>
      <c r="L47" s="486">
        <f t="shared" si="3"/>
        <v>0</v>
      </c>
      <c r="M47" s="484">
        <f t="shared" si="4"/>
        <v>0</v>
      </c>
      <c r="N47" s="474">
        <f t="shared" si="5"/>
        <v>0</v>
      </c>
      <c r="O47" s="490">
        <f t="shared" si="6"/>
        <v>0</v>
      </c>
      <c r="P47" s="477">
        <f t="shared" si="7"/>
        <v>0</v>
      </c>
      <c r="Q47" s="469">
        <f t="shared" si="14"/>
        <v>0</v>
      </c>
      <c r="R47" s="163">
        <f>Q47/(1+disc2)^(B47-'A - Inputs'!$C$6)</f>
        <v>0</v>
      </c>
    </row>
    <row r="48" spans="2:18" ht="15" x14ac:dyDescent="0.25">
      <c r="B48" s="99">
        <f t="shared" si="16"/>
        <v>2045</v>
      </c>
      <c r="C48" s="99">
        <f t="shared" si="16"/>
        <v>24</v>
      </c>
      <c r="D48" s="460">
        <f t="shared" si="0"/>
        <v>20</v>
      </c>
      <c r="E48" s="594">
        <f t="shared" si="9"/>
        <v>5940.4880473788598</v>
      </c>
      <c r="F48" s="585">
        <f t="shared" si="1"/>
        <v>0</v>
      </c>
      <c r="G48" s="589">
        <f t="shared" si="10"/>
        <v>0</v>
      </c>
      <c r="H48" s="590">
        <f t="shared" si="11"/>
        <v>0</v>
      </c>
      <c r="I48" s="588">
        <f t="shared" si="2"/>
        <v>0</v>
      </c>
      <c r="J48" s="482">
        <f t="shared" si="12"/>
        <v>3.0237084161158396</v>
      </c>
      <c r="K48" s="483">
        <f t="shared" si="13"/>
        <v>2.4534215635674688</v>
      </c>
      <c r="L48" s="486">
        <f t="shared" si="3"/>
        <v>0</v>
      </c>
      <c r="M48" s="484">
        <f t="shared" si="4"/>
        <v>0</v>
      </c>
      <c r="N48" s="474">
        <f t="shared" si="5"/>
        <v>0</v>
      </c>
      <c r="O48" s="490">
        <f t="shared" si="6"/>
        <v>0</v>
      </c>
      <c r="P48" s="477">
        <f t="shared" si="7"/>
        <v>0</v>
      </c>
      <c r="Q48" s="469">
        <f t="shared" si="14"/>
        <v>0</v>
      </c>
      <c r="R48" s="163">
        <f>Q48/(1+disc2)^(B48-'A - Inputs'!$C$6)</f>
        <v>0</v>
      </c>
    </row>
    <row r="49" spans="2:18" ht="15" x14ac:dyDescent="0.25">
      <c r="B49" s="99">
        <f t="shared" si="16"/>
        <v>2046</v>
      </c>
      <c r="C49" s="99">
        <f t="shared" si="16"/>
        <v>25</v>
      </c>
      <c r="D49" s="460">
        <f t="shared" si="0"/>
        <v>21</v>
      </c>
      <c r="E49" s="594">
        <f t="shared" si="9"/>
        <v>6026.9963981569217</v>
      </c>
      <c r="F49" s="585">
        <f t="shared" si="1"/>
        <v>0</v>
      </c>
      <c r="G49" s="589">
        <f t="shared" si="10"/>
        <v>0</v>
      </c>
      <c r="H49" s="590">
        <f t="shared" si="11"/>
        <v>0</v>
      </c>
      <c r="I49" s="588">
        <f t="shared" si="2"/>
        <v>0</v>
      </c>
      <c r="J49" s="482">
        <f t="shared" si="12"/>
        <v>3.067741166661873</v>
      </c>
      <c r="K49" s="483">
        <f t="shared" si="13"/>
        <v>2.4891495124388086</v>
      </c>
      <c r="L49" s="486">
        <f t="shared" si="3"/>
        <v>0</v>
      </c>
      <c r="M49" s="484">
        <f t="shared" si="4"/>
        <v>0</v>
      </c>
      <c r="N49" s="474">
        <f t="shared" si="5"/>
        <v>0</v>
      </c>
      <c r="O49" s="490">
        <f t="shared" si="6"/>
        <v>0</v>
      </c>
      <c r="P49" s="477">
        <f t="shared" si="7"/>
        <v>0</v>
      </c>
      <c r="Q49" s="469">
        <f t="shared" si="14"/>
        <v>0</v>
      </c>
      <c r="R49" s="163">
        <f>Q49/(1+disc2)^(B49-'A - Inputs'!$C$6)</f>
        <v>0</v>
      </c>
    </row>
    <row r="50" spans="2:18" ht="15" x14ac:dyDescent="0.25">
      <c r="B50" s="99">
        <f t="shared" si="16"/>
        <v>2047</v>
      </c>
      <c r="C50" s="99">
        <f t="shared" si="16"/>
        <v>26</v>
      </c>
      <c r="D50" s="460">
        <f t="shared" si="0"/>
        <v>22</v>
      </c>
      <c r="E50" s="594">
        <f t="shared" si="9"/>
        <v>6114.7645266998161</v>
      </c>
      <c r="F50" s="585">
        <f t="shared" si="1"/>
        <v>0</v>
      </c>
      <c r="G50" s="589">
        <f t="shared" si="10"/>
        <v>0</v>
      </c>
      <c r="H50" s="590">
        <f t="shared" si="11"/>
        <v>0</v>
      </c>
      <c r="I50" s="588">
        <f t="shared" si="2"/>
        <v>0</v>
      </c>
      <c r="J50" s="482">
        <f t="shared" si="12"/>
        <v>3.1124151440902059</v>
      </c>
      <c r="K50" s="483">
        <f t="shared" si="13"/>
        <v>2.5253977495270239</v>
      </c>
      <c r="L50" s="486">
        <f t="shared" si="3"/>
        <v>0</v>
      </c>
      <c r="M50" s="484">
        <f t="shared" si="4"/>
        <v>0</v>
      </c>
      <c r="N50" s="474">
        <f t="shared" si="5"/>
        <v>0</v>
      </c>
      <c r="O50" s="490">
        <f t="shared" si="6"/>
        <v>0</v>
      </c>
      <c r="P50" s="477">
        <f t="shared" si="7"/>
        <v>0</v>
      </c>
      <c r="Q50" s="469">
        <f t="shared" si="14"/>
        <v>0</v>
      </c>
      <c r="R50" s="163">
        <f>Q50/(1+disc2)^(B50-'A - Inputs'!$C$6)</f>
        <v>0</v>
      </c>
    </row>
    <row r="51" spans="2:18" ht="15" x14ac:dyDescent="0.25">
      <c r="B51" s="99">
        <f t="shared" si="16"/>
        <v>2048</v>
      </c>
      <c r="C51" s="99">
        <f t="shared" si="16"/>
        <v>27</v>
      </c>
      <c r="D51" s="460">
        <f t="shared" si="0"/>
        <v>23</v>
      </c>
      <c r="E51" s="594">
        <f t="shared" si="9"/>
        <v>6203.8107785198827</v>
      </c>
      <c r="F51" s="585">
        <f t="shared" si="1"/>
        <v>0</v>
      </c>
      <c r="G51" s="589">
        <f t="shared" si="10"/>
        <v>0</v>
      </c>
      <c r="H51" s="590">
        <f t="shared" si="11"/>
        <v>0</v>
      </c>
      <c r="I51" s="588">
        <f t="shared" si="2"/>
        <v>0</v>
      </c>
      <c r="J51" s="482">
        <f t="shared" si="12"/>
        <v>3.1577396862666203</v>
      </c>
      <c r="K51" s="483">
        <f t="shared" si="13"/>
        <v>2.5621738515287116</v>
      </c>
      <c r="L51" s="486">
        <f t="shared" si="3"/>
        <v>0</v>
      </c>
      <c r="M51" s="484">
        <f t="shared" si="4"/>
        <v>0</v>
      </c>
      <c r="N51" s="474">
        <f t="shared" si="5"/>
        <v>0</v>
      </c>
      <c r="O51" s="490">
        <f t="shared" si="6"/>
        <v>0</v>
      </c>
      <c r="P51" s="477">
        <f t="shared" si="7"/>
        <v>0</v>
      </c>
      <c r="Q51" s="469">
        <f t="shared" si="14"/>
        <v>0</v>
      </c>
      <c r="R51" s="163">
        <f>Q51/(1+disc2)^(B51-'A - Inputs'!$C$6)</f>
        <v>0</v>
      </c>
    </row>
    <row r="52" spans="2:18" ht="15" x14ac:dyDescent="0.25">
      <c r="B52" s="99">
        <f t="shared" si="16"/>
        <v>2049</v>
      </c>
      <c r="C52" s="99">
        <f t="shared" si="16"/>
        <v>28</v>
      </c>
      <c r="D52" s="460">
        <f t="shared" si="0"/>
        <v>24</v>
      </c>
      <c r="E52" s="594">
        <f t="shared" si="9"/>
        <v>6294.1537662859673</v>
      </c>
      <c r="F52" s="585">
        <f t="shared" si="1"/>
        <v>0</v>
      </c>
      <c r="G52" s="589">
        <f t="shared" si="10"/>
        <v>0</v>
      </c>
      <c r="H52" s="590">
        <f t="shared" si="11"/>
        <v>0</v>
      </c>
      <c r="I52" s="588">
        <f t="shared" si="2"/>
        <v>0</v>
      </c>
      <c r="J52" s="482">
        <f t="shared" si="12"/>
        <v>3.2037242670395574</v>
      </c>
      <c r="K52" s="483">
        <f t="shared" si="13"/>
        <v>2.5994855054761046</v>
      </c>
      <c r="L52" s="486">
        <f t="shared" si="3"/>
        <v>0</v>
      </c>
      <c r="M52" s="484">
        <f t="shared" si="4"/>
        <v>0</v>
      </c>
      <c r="N52" s="474">
        <f t="shared" si="5"/>
        <v>0</v>
      </c>
      <c r="O52" s="490">
        <f t="shared" si="6"/>
        <v>0</v>
      </c>
      <c r="P52" s="477">
        <f t="shared" si="7"/>
        <v>0</v>
      </c>
      <c r="Q52" s="469">
        <f t="shared" si="14"/>
        <v>0</v>
      </c>
      <c r="R52" s="163">
        <f>Q52/(1+disc2)^(B52-'A - Inputs'!$C$6)</f>
        <v>0</v>
      </c>
    </row>
    <row r="53" spans="2:18" ht="15" x14ac:dyDescent="0.25">
      <c r="B53" s="99">
        <f t="shared" si="16"/>
        <v>2050</v>
      </c>
      <c r="C53" s="99">
        <f t="shared" si="16"/>
        <v>29</v>
      </c>
      <c r="D53" s="460">
        <f t="shared" si="0"/>
        <v>25</v>
      </c>
      <c r="E53" s="594">
        <f t="shared" si="9"/>
        <v>6385.8123737138831</v>
      </c>
      <c r="F53" s="585">
        <f t="shared" si="1"/>
        <v>0</v>
      </c>
      <c r="G53" s="589">
        <f t="shared" si="10"/>
        <v>0</v>
      </c>
      <c r="H53" s="590">
        <f t="shared" si="11"/>
        <v>0</v>
      </c>
      <c r="I53" s="588">
        <f t="shared" si="2"/>
        <v>0</v>
      </c>
      <c r="J53" s="482">
        <f t="shared" si="12"/>
        <v>3.2503784982203663</v>
      </c>
      <c r="K53" s="483">
        <f t="shared" si="13"/>
        <v>2.6373405103438334</v>
      </c>
      <c r="L53" s="486">
        <f t="shared" si="3"/>
        <v>0</v>
      </c>
      <c r="M53" s="484">
        <f t="shared" si="4"/>
        <v>0</v>
      </c>
      <c r="N53" s="474">
        <f t="shared" si="5"/>
        <v>0</v>
      </c>
      <c r="O53" s="490">
        <f t="shared" si="6"/>
        <v>0</v>
      </c>
      <c r="P53" s="477">
        <f t="shared" si="7"/>
        <v>0</v>
      </c>
      <c r="Q53" s="469">
        <f t="shared" si="14"/>
        <v>0</v>
      </c>
      <c r="R53" s="163">
        <f>Q53/(1+disc2)^(B53-'A - Inputs'!$C$6)</f>
        <v>0</v>
      </c>
    </row>
    <row r="54" spans="2:18" ht="15" x14ac:dyDescent="0.25">
      <c r="B54" s="99">
        <f t="shared" si="16"/>
        <v>2051</v>
      </c>
      <c r="C54" s="99">
        <f t="shared" si="16"/>
        <v>30</v>
      </c>
      <c r="D54" s="460">
        <f t="shared" si="0"/>
        <v>26</v>
      </c>
      <c r="E54" s="594">
        <f t="shared" si="9"/>
        <v>6478.805759513536</v>
      </c>
      <c r="F54" s="585">
        <f t="shared" si="1"/>
        <v>0</v>
      </c>
      <c r="G54" s="589">
        <f t="shared" si="10"/>
        <v>0</v>
      </c>
      <c r="H54" s="590">
        <f t="shared" si="11"/>
        <v>0</v>
      </c>
      <c r="I54" s="588">
        <f t="shared" si="2"/>
        <v>0</v>
      </c>
      <c r="J54" s="482">
        <f t="shared" si="12"/>
        <v>3.2977121315923896</v>
      </c>
      <c r="K54" s="483">
        <f t="shared" si="13"/>
        <v>2.6757467786790903</v>
      </c>
      <c r="L54" s="486">
        <f t="shared" si="3"/>
        <v>0</v>
      </c>
      <c r="M54" s="484">
        <f t="shared" si="4"/>
        <v>0</v>
      </c>
      <c r="N54" s="474">
        <f t="shared" si="5"/>
        <v>0</v>
      </c>
      <c r="O54" s="490">
        <f t="shared" si="6"/>
        <v>0</v>
      </c>
      <c r="P54" s="477">
        <f t="shared" si="7"/>
        <v>0</v>
      </c>
      <c r="Q54" s="469">
        <f t="shared" si="14"/>
        <v>0</v>
      </c>
      <c r="R54" s="163">
        <f>Q54/(1+disc2)^(B54-'A - Inputs'!$C$6)</f>
        <v>0</v>
      </c>
    </row>
    <row r="55" spans="2:18" ht="15" x14ac:dyDescent="0.25">
      <c r="B55" s="462"/>
      <c r="C55" s="462"/>
      <c r="D55" s="463"/>
      <c r="E55" s="472"/>
      <c r="F55" s="479">
        <f t="shared" ref="F55:H55" si="17">SUM(F31:F54)</f>
        <v>0</v>
      </c>
      <c r="G55" s="466">
        <f t="shared" si="17"/>
        <v>0</v>
      </c>
      <c r="H55" s="466">
        <f t="shared" si="17"/>
        <v>0</v>
      </c>
      <c r="I55" s="478">
        <f>SUM(I25:I54)</f>
        <v>0</v>
      </c>
      <c r="J55" s="476"/>
      <c r="K55" s="480"/>
      <c r="L55" s="475"/>
      <c r="M55" s="487"/>
      <c r="N55" s="475">
        <f>SUM(N25:N54)</f>
        <v>0</v>
      </c>
      <c r="O55" s="487">
        <f>SUM(O25:O54)</f>
        <v>0</v>
      </c>
      <c r="P55" s="478">
        <f>SUM(P25:P54)</f>
        <v>0</v>
      </c>
      <c r="Q55" s="476">
        <f>SUM(Q25:Q54)</f>
        <v>0</v>
      </c>
      <c r="R55" s="492">
        <f>SUM(R25:R54)</f>
        <v>0</v>
      </c>
    </row>
  </sheetData>
  <mergeCells count="7">
    <mergeCell ref="Q23:R23"/>
    <mergeCell ref="G23:H23"/>
    <mergeCell ref="I23:I24"/>
    <mergeCell ref="J23:K23"/>
    <mergeCell ref="L23:M23"/>
    <mergeCell ref="N23:O23"/>
    <mergeCell ref="P23:P24"/>
  </mergeCells>
  <phoneticPr fontId="44" type="noConversion"/>
  <hyperlinks>
    <hyperlink ref="T17" r:id="rId1" xr:uid="{E0CD6513-5AB0-4051-8836-B71A68CDC05A}"/>
    <hyperlink ref="T8" r:id="rId2" xr:uid="{5D561824-0961-4775-B996-DFCDD6F5E78B}"/>
    <hyperlink ref="T7" r:id="rId3" display="https://www.census.gov/quickfacts/fact/table/jacksonvillecityflorida,US/PST045221 " xr:uid="{B764E012-6C75-4520-AD73-C74C285460BF}"/>
    <hyperlink ref="G21" r:id="rId4" xr:uid="{0E4A24AC-4114-4D2F-8C89-DE20DE28D594}"/>
    <hyperlink ref="G20" r:id="rId5" xr:uid="{CF1D4E0A-95ED-48C2-89DE-DA126D7D92BB}"/>
    <hyperlink ref="G19" r:id="rId6" xr:uid="{37AE9188-5398-42F1-9932-B0A2A920A7CD}"/>
    <hyperlink ref="G17" r:id="rId7" xr:uid="{C30ADC28-5F55-489A-A28D-91BBEC329450}"/>
    <hyperlink ref="G16" r:id="rId8" xr:uid="{9F8DDA62-6675-4693-901E-C6022C45133D}"/>
    <hyperlink ref="G15" r:id="rId9" xr:uid="{85F86A3B-E3A4-49BA-9EB0-DE79504A4165}"/>
    <hyperlink ref="G8" r:id="rId10" xr:uid="{7F637ED1-6E43-4292-9F24-246B64D8D6E5}"/>
    <hyperlink ref="G7" r:id="rId11" display="https://www.census.gov/quickfacts/fact/table/jacksonvillecityflorida,US/PST045221 " xr:uid="{E2679694-D0ED-4F1E-B798-8CA02D2DCFFB}"/>
  </hyperlinks>
  <pageMargins left="0.7" right="0.7" top="0.75" bottom="0.75" header="0.3" footer="0.3"/>
  <pageSetup scale="69" orientation="landscape" horizontalDpi="300" r:id="rId12"/>
  <headerFooter>
    <oddHeader>&amp;LPost Street Rail Crossing Project
CRISI 2022 BCA&amp;R&amp;A</oddHeader>
    <oddFooter>&amp;CPage H-&amp;P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89053-F732-4F4A-A729-075F1EFE7EBB}">
  <sheetPr>
    <tabColor theme="0" tint="-0.499984740745262"/>
  </sheetPr>
  <dimension ref="A1:W140"/>
  <sheetViews>
    <sheetView workbookViewId="0"/>
  </sheetViews>
  <sheetFormatPr defaultColWidth="9.140625" defaultRowHeight="12.75" x14ac:dyDescent="0.2"/>
  <cols>
    <col min="1" max="16384" width="9.140625" style="23"/>
  </cols>
  <sheetData>
    <row r="1" spans="1:23" ht="13.5" thickTop="1" x14ac:dyDescent="0.2">
      <c r="A1" s="372" t="s">
        <v>239</v>
      </c>
      <c r="B1" s="373" t="s">
        <v>239</v>
      </c>
      <c r="C1" s="373" t="s">
        <v>239</v>
      </c>
      <c r="D1" s="373" t="s">
        <v>239</v>
      </c>
      <c r="E1" s="373" t="s">
        <v>239</v>
      </c>
      <c r="F1" s="373" t="s">
        <v>239</v>
      </c>
      <c r="G1" s="373" t="s">
        <v>239</v>
      </c>
      <c r="H1" s="373" t="s">
        <v>239</v>
      </c>
      <c r="I1" s="373" t="s">
        <v>239</v>
      </c>
      <c r="J1" s="373" t="s">
        <v>239</v>
      </c>
      <c r="K1" s="374" t="s">
        <v>239</v>
      </c>
      <c r="M1" s="372" t="s">
        <v>239</v>
      </c>
      <c r="N1" s="373" t="s">
        <v>239</v>
      </c>
      <c r="O1" s="373" t="s">
        <v>239</v>
      </c>
      <c r="P1" s="373" t="s">
        <v>239</v>
      </c>
      <c r="Q1" s="373" t="s">
        <v>239</v>
      </c>
      <c r="R1" s="373" t="s">
        <v>239</v>
      </c>
      <c r="S1" s="373" t="s">
        <v>239</v>
      </c>
      <c r="T1" s="373" t="s">
        <v>239</v>
      </c>
      <c r="U1" s="373" t="s">
        <v>239</v>
      </c>
      <c r="V1" s="373" t="s">
        <v>239</v>
      </c>
      <c r="W1" s="374" t="s">
        <v>239</v>
      </c>
    </row>
    <row r="2" spans="1:23" x14ac:dyDescent="0.2">
      <c r="A2" s="375" t="s">
        <v>239</v>
      </c>
      <c r="B2" s="376" t="s">
        <v>240</v>
      </c>
      <c r="K2" s="377" t="s">
        <v>239</v>
      </c>
      <c r="M2" s="375" t="s">
        <v>239</v>
      </c>
      <c r="N2" s="376" t="s">
        <v>240</v>
      </c>
      <c r="O2" s="377" t="s">
        <v>239</v>
      </c>
    </row>
    <row r="3" spans="1:23" x14ac:dyDescent="0.2">
      <c r="A3" s="375" t="s">
        <v>239</v>
      </c>
      <c r="B3" s="378" t="s">
        <v>241</v>
      </c>
      <c r="K3" s="377" t="s">
        <v>239</v>
      </c>
      <c r="M3" s="375" t="s">
        <v>239</v>
      </c>
      <c r="N3" s="378" t="s">
        <v>242</v>
      </c>
      <c r="O3" s="377" t="s">
        <v>239</v>
      </c>
    </row>
    <row r="4" spans="1:23" x14ac:dyDescent="0.2">
      <c r="A4" s="375" t="s">
        <v>239</v>
      </c>
      <c r="B4" s="379"/>
      <c r="C4" s="23">
        <v>1</v>
      </c>
      <c r="D4" s="23">
        <v>2</v>
      </c>
      <c r="E4" s="23">
        <v>3</v>
      </c>
      <c r="F4" s="23">
        <v>4</v>
      </c>
      <c r="G4" s="23">
        <v>5</v>
      </c>
      <c r="H4" s="23">
        <v>6</v>
      </c>
      <c r="I4" s="23">
        <v>7</v>
      </c>
      <c r="J4" s="23">
        <v>8</v>
      </c>
      <c r="K4" s="377" t="s">
        <v>239</v>
      </c>
      <c r="M4" s="375" t="s">
        <v>239</v>
      </c>
      <c r="N4" s="379"/>
      <c r="W4" s="377" t="s">
        <v>239</v>
      </c>
    </row>
    <row r="5" spans="1:23" x14ac:dyDescent="0.2">
      <c r="A5" s="375" t="s">
        <v>239</v>
      </c>
      <c r="B5" s="380" t="s">
        <v>243</v>
      </c>
      <c r="C5" s="381" t="s">
        <v>244</v>
      </c>
      <c r="D5" s="382" t="s">
        <v>220</v>
      </c>
      <c r="E5" s="382" t="s">
        <v>221</v>
      </c>
      <c r="F5" s="382" t="s">
        <v>222</v>
      </c>
      <c r="G5" s="381" t="s">
        <v>223</v>
      </c>
      <c r="H5" s="383" t="s">
        <v>224</v>
      </c>
      <c r="I5" s="384" t="s">
        <v>225</v>
      </c>
      <c r="J5" s="385" t="s">
        <v>223</v>
      </c>
      <c r="K5" s="377" t="s">
        <v>239</v>
      </c>
      <c r="M5" s="375" t="s">
        <v>239</v>
      </c>
      <c r="N5" s="380" t="s">
        <v>243</v>
      </c>
      <c r="O5" s="381" t="s">
        <v>244</v>
      </c>
      <c r="P5" s="382" t="s">
        <v>220</v>
      </c>
      <c r="Q5" s="382" t="s">
        <v>221</v>
      </c>
      <c r="R5" s="382" t="s">
        <v>222</v>
      </c>
      <c r="S5" s="381" t="s">
        <v>223</v>
      </c>
      <c r="T5" s="383" t="s">
        <v>224</v>
      </c>
      <c r="U5" s="384" t="s">
        <v>225</v>
      </c>
      <c r="V5" s="385" t="s">
        <v>223</v>
      </c>
      <c r="W5" s="377" t="s">
        <v>239</v>
      </c>
    </row>
    <row r="6" spans="1:23" x14ac:dyDescent="0.2">
      <c r="A6" s="375" t="s">
        <v>239</v>
      </c>
      <c r="B6" s="386" t="s">
        <v>245</v>
      </c>
      <c r="C6" s="387">
        <v>0</v>
      </c>
      <c r="D6" s="388">
        <v>3.5182000000000002</v>
      </c>
      <c r="E6" s="388">
        <v>78.918499999999995</v>
      </c>
      <c r="F6" s="388">
        <v>0.30559999999999998</v>
      </c>
      <c r="G6" s="24">
        <v>2E-3</v>
      </c>
      <c r="H6" s="389">
        <v>8.0000000000000004E-4</v>
      </c>
      <c r="I6" s="23">
        <v>0.39</v>
      </c>
      <c r="J6" s="390">
        <v>2E-3</v>
      </c>
      <c r="K6" s="377" t="s">
        <v>239</v>
      </c>
      <c r="M6" s="375" t="s">
        <v>239</v>
      </c>
      <c r="N6" s="386" t="s">
        <v>245</v>
      </c>
      <c r="O6" s="387">
        <v>0</v>
      </c>
      <c r="P6" s="388">
        <v>1.7535000000000001</v>
      </c>
      <c r="Q6" s="388">
        <v>60.228900000000003</v>
      </c>
      <c r="R6" s="388">
        <v>0.1686</v>
      </c>
      <c r="S6" s="24">
        <v>8.0000000000000004E-4</v>
      </c>
      <c r="T6" s="389">
        <v>5.9999999999999995E-4</v>
      </c>
      <c r="U6" s="23">
        <v>0.14510000000000001</v>
      </c>
      <c r="V6" s="390">
        <v>8.0000000000000004E-4</v>
      </c>
      <c r="W6" s="377" t="s">
        <v>239</v>
      </c>
    </row>
    <row r="7" spans="1:23" x14ac:dyDescent="0.2">
      <c r="A7" s="375" t="s">
        <v>239</v>
      </c>
      <c r="B7" s="386" t="s">
        <v>239</v>
      </c>
      <c r="C7" s="387">
        <v>5</v>
      </c>
      <c r="D7" s="388">
        <v>1.3615999999999999</v>
      </c>
      <c r="E7" s="388">
        <v>555.43650000000002</v>
      </c>
      <c r="F7" s="388">
        <v>9.5899999999999999E-2</v>
      </c>
      <c r="G7" s="24">
        <v>6.4999999999999997E-3</v>
      </c>
      <c r="H7" s="389">
        <v>5.4999999999999997E-3</v>
      </c>
      <c r="I7" s="23">
        <v>8.6800000000000002E-2</v>
      </c>
      <c r="J7" s="390">
        <v>6.4999999999999997E-3</v>
      </c>
      <c r="K7" s="377" t="s">
        <v>239</v>
      </c>
      <c r="M7" s="375" t="s">
        <v>239</v>
      </c>
      <c r="N7" s="386" t="s">
        <v>239</v>
      </c>
      <c r="O7" s="387">
        <v>5</v>
      </c>
      <c r="P7" s="388">
        <v>0.55589999999999995</v>
      </c>
      <c r="Q7" s="388">
        <v>330.90339999999998</v>
      </c>
      <c r="R7" s="388">
        <v>2.23E-2</v>
      </c>
      <c r="S7" s="24">
        <v>1.8E-3</v>
      </c>
      <c r="T7" s="389">
        <v>3.3E-3</v>
      </c>
      <c r="U7" s="23">
        <v>2.4899999999999999E-2</v>
      </c>
      <c r="V7" s="390">
        <v>1.8E-3</v>
      </c>
      <c r="W7" s="377" t="s">
        <v>239</v>
      </c>
    </row>
    <row r="8" spans="1:23" x14ac:dyDescent="0.2">
      <c r="A8" s="375" t="s">
        <v>239</v>
      </c>
      <c r="B8" s="386" t="s">
        <v>239</v>
      </c>
      <c r="C8" s="387">
        <v>6</v>
      </c>
      <c r="D8" s="388">
        <v>1.3409</v>
      </c>
      <c r="E8" s="388">
        <v>538.70389999999998</v>
      </c>
      <c r="F8" s="388">
        <v>9.3299999999999994E-2</v>
      </c>
      <c r="G8" s="24">
        <v>6.0000000000000001E-3</v>
      </c>
      <c r="H8" s="389">
        <v>5.3E-3</v>
      </c>
      <c r="I8" s="23">
        <v>7.9699999999999993E-2</v>
      </c>
      <c r="J8" s="390">
        <v>6.0000000000000001E-3</v>
      </c>
      <c r="K8" s="377" t="s">
        <v>239</v>
      </c>
      <c r="M8" s="375" t="s">
        <v>239</v>
      </c>
      <c r="N8" s="386" t="s">
        <v>239</v>
      </c>
      <c r="O8" s="387">
        <v>6</v>
      </c>
      <c r="P8" s="388">
        <v>0.55759999999999998</v>
      </c>
      <c r="Q8" s="388">
        <v>324.70420000000001</v>
      </c>
      <c r="R8" s="388">
        <v>2.2100000000000002E-2</v>
      </c>
      <c r="S8" s="24">
        <v>1.6000000000000001E-3</v>
      </c>
      <c r="T8" s="389">
        <v>3.2000000000000002E-3</v>
      </c>
      <c r="U8" s="23">
        <v>2.3300000000000001E-2</v>
      </c>
      <c r="V8" s="390">
        <v>1.6000000000000001E-3</v>
      </c>
      <c r="W8" s="377" t="s">
        <v>239</v>
      </c>
    </row>
    <row r="9" spans="1:23" x14ac:dyDescent="0.2">
      <c r="A9" s="375" t="s">
        <v>239</v>
      </c>
      <c r="B9" s="386" t="s">
        <v>239</v>
      </c>
      <c r="C9" s="387">
        <v>7</v>
      </c>
      <c r="D9" s="388">
        <v>1.3206</v>
      </c>
      <c r="E9" s="388">
        <v>522.47540000000004</v>
      </c>
      <c r="F9" s="388">
        <v>9.0700000000000003E-2</v>
      </c>
      <c r="G9" s="24">
        <v>5.4999999999999997E-3</v>
      </c>
      <c r="H9" s="389">
        <v>5.1999999999999998E-3</v>
      </c>
      <c r="I9" s="23">
        <v>7.3200000000000001E-2</v>
      </c>
      <c r="J9" s="390">
        <v>5.4999999999999997E-3</v>
      </c>
      <c r="K9" s="377" t="s">
        <v>239</v>
      </c>
      <c r="M9" s="375" t="s">
        <v>239</v>
      </c>
      <c r="N9" s="386" t="s">
        <v>239</v>
      </c>
      <c r="O9" s="387">
        <v>7</v>
      </c>
      <c r="P9" s="388">
        <v>0.55940000000000001</v>
      </c>
      <c r="Q9" s="388">
        <v>318.62099999999998</v>
      </c>
      <c r="R9" s="388">
        <v>2.1899999999999999E-2</v>
      </c>
      <c r="S9" s="24">
        <v>1.5E-3</v>
      </c>
      <c r="T9" s="389">
        <v>3.0999999999999999E-3</v>
      </c>
      <c r="U9" s="23">
        <v>2.1700000000000001E-2</v>
      </c>
      <c r="V9" s="390">
        <v>1.5E-3</v>
      </c>
      <c r="W9" s="377" t="s">
        <v>239</v>
      </c>
    </row>
    <row r="10" spans="1:23" x14ac:dyDescent="0.2">
      <c r="A10" s="375" t="s">
        <v>239</v>
      </c>
      <c r="B10" s="386" t="s">
        <v>239</v>
      </c>
      <c r="C10" s="387">
        <v>8</v>
      </c>
      <c r="D10" s="388">
        <v>1.3005</v>
      </c>
      <c r="E10" s="388">
        <v>506.73579999999998</v>
      </c>
      <c r="F10" s="388">
        <v>8.8099999999999998E-2</v>
      </c>
      <c r="G10" s="24">
        <v>5.1000000000000004E-3</v>
      </c>
      <c r="H10" s="389">
        <v>5.0000000000000001E-3</v>
      </c>
      <c r="I10" s="23">
        <v>6.7199999999999996E-2</v>
      </c>
      <c r="J10" s="390">
        <v>5.1000000000000004E-3</v>
      </c>
      <c r="K10" s="377" t="s">
        <v>239</v>
      </c>
      <c r="M10" s="375" t="s">
        <v>239</v>
      </c>
      <c r="N10" s="386" t="s">
        <v>239</v>
      </c>
      <c r="O10" s="387">
        <v>8</v>
      </c>
      <c r="P10" s="388">
        <v>0.56120000000000003</v>
      </c>
      <c r="Q10" s="388">
        <v>312.65179999999998</v>
      </c>
      <c r="R10" s="388">
        <v>2.18E-2</v>
      </c>
      <c r="S10" s="24">
        <v>1.4E-3</v>
      </c>
      <c r="T10" s="389">
        <v>3.0999999999999999E-3</v>
      </c>
      <c r="U10" s="23">
        <v>2.0299999999999999E-2</v>
      </c>
      <c r="V10" s="390">
        <v>1.4E-3</v>
      </c>
      <c r="W10" s="377" t="s">
        <v>239</v>
      </c>
    </row>
    <row r="11" spans="1:23" x14ac:dyDescent="0.2">
      <c r="A11" s="375" t="s">
        <v>239</v>
      </c>
      <c r="B11" s="386" t="s">
        <v>239</v>
      </c>
      <c r="C11" s="387">
        <v>9</v>
      </c>
      <c r="D11" s="388">
        <v>1.2806999999999999</v>
      </c>
      <c r="E11" s="388">
        <v>491.47030000000001</v>
      </c>
      <c r="F11" s="388">
        <v>8.5699999999999998E-2</v>
      </c>
      <c r="G11" s="24">
        <v>4.7000000000000002E-3</v>
      </c>
      <c r="H11" s="389">
        <v>4.8999999999999998E-3</v>
      </c>
      <c r="I11" s="23">
        <v>6.1699999999999998E-2</v>
      </c>
      <c r="J11" s="390">
        <v>4.7000000000000002E-3</v>
      </c>
      <c r="K11" s="377" t="s">
        <v>239</v>
      </c>
      <c r="M11" s="375" t="s">
        <v>239</v>
      </c>
      <c r="N11" s="386" t="s">
        <v>239</v>
      </c>
      <c r="O11" s="387">
        <v>9</v>
      </c>
      <c r="P11" s="388">
        <v>0.56299999999999994</v>
      </c>
      <c r="Q11" s="388">
        <v>306.79450000000003</v>
      </c>
      <c r="R11" s="388">
        <v>2.1600000000000001E-2</v>
      </c>
      <c r="S11" s="24">
        <v>1.2999999999999999E-3</v>
      </c>
      <c r="T11" s="389">
        <v>3.0000000000000001E-3</v>
      </c>
      <c r="U11" s="23">
        <v>1.89E-2</v>
      </c>
      <c r="V11" s="390">
        <v>1.2999999999999999E-3</v>
      </c>
      <c r="W11" s="377" t="s">
        <v>239</v>
      </c>
    </row>
    <row r="12" spans="1:23" x14ac:dyDescent="0.2">
      <c r="A12" s="375" t="s">
        <v>239</v>
      </c>
      <c r="B12" s="386" t="s">
        <v>239</v>
      </c>
      <c r="C12" s="387">
        <v>10</v>
      </c>
      <c r="D12" s="388">
        <v>1.2613000000000001</v>
      </c>
      <c r="E12" s="388">
        <v>476.66469999999998</v>
      </c>
      <c r="F12" s="388">
        <v>8.3299999999999999E-2</v>
      </c>
      <c r="G12" s="24">
        <v>4.3E-3</v>
      </c>
      <c r="H12" s="389">
        <v>4.7000000000000002E-3</v>
      </c>
      <c r="I12" s="23">
        <v>5.67E-2</v>
      </c>
      <c r="J12" s="390">
        <v>4.3E-3</v>
      </c>
      <c r="K12" s="377" t="s">
        <v>239</v>
      </c>
      <c r="M12" s="375" t="s">
        <v>239</v>
      </c>
      <c r="N12" s="386" t="s">
        <v>239</v>
      </c>
      <c r="O12" s="387">
        <v>10</v>
      </c>
      <c r="P12" s="388">
        <v>0.56469999999999998</v>
      </c>
      <c r="Q12" s="388">
        <v>301.04689999999999</v>
      </c>
      <c r="R12" s="388">
        <v>2.1399999999999999E-2</v>
      </c>
      <c r="S12" s="24">
        <v>1.1999999999999999E-3</v>
      </c>
      <c r="T12" s="389">
        <v>3.0000000000000001E-3</v>
      </c>
      <c r="U12" s="23">
        <v>1.77E-2</v>
      </c>
      <c r="V12" s="390">
        <v>1.1999999999999999E-3</v>
      </c>
      <c r="W12" s="377" t="s">
        <v>239</v>
      </c>
    </row>
    <row r="13" spans="1:23" x14ac:dyDescent="0.2">
      <c r="A13" s="375" t="s">
        <v>239</v>
      </c>
      <c r="B13" s="386" t="s">
        <v>239</v>
      </c>
      <c r="C13" s="387">
        <v>11</v>
      </c>
      <c r="D13" s="388">
        <v>1.2222999999999999</v>
      </c>
      <c r="E13" s="388">
        <v>452.58</v>
      </c>
      <c r="F13" s="388">
        <v>8.0399999999999999E-2</v>
      </c>
      <c r="G13" s="24">
        <v>3.8999999999999998E-3</v>
      </c>
      <c r="H13" s="389">
        <v>4.4999999999999997E-3</v>
      </c>
      <c r="I13" s="23">
        <v>5.1799999999999999E-2</v>
      </c>
      <c r="J13" s="390">
        <v>3.8999999999999998E-3</v>
      </c>
      <c r="K13" s="377" t="s">
        <v>239</v>
      </c>
      <c r="M13" s="375" t="s">
        <v>239</v>
      </c>
      <c r="N13" s="386" t="s">
        <v>239</v>
      </c>
      <c r="O13" s="387">
        <v>11</v>
      </c>
      <c r="P13" s="388">
        <v>0.54790000000000005</v>
      </c>
      <c r="Q13" s="388">
        <v>285.95350000000002</v>
      </c>
      <c r="R13" s="388">
        <v>2.06E-2</v>
      </c>
      <c r="S13" s="24">
        <v>1.1000000000000001E-3</v>
      </c>
      <c r="T13" s="389">
        <v>2.8E-3</v>
      </c>
      <c r="U13" s="23">
        <v>1.61E-2</v>
      </c>
      <c r="V13" s="390">
        <v>1.1000000000000001E-3</v>
      </c>
      <c r="W13" s="377" t="s">
        <v>239</v>
      </c>
    </row>
    <row r="14" spans="1:23" x14ac:dyDescent="0.2">
      <c r="A14" s="375" t="s">
        <v>239</v>
      </c>
      <c r="B14" s="386" t="s">
        <v>239</v>
      </c>
      <c r="C14" s="387">
        <v>12</v>
      </c>
      <c r="D14" s="388">
        <v>1.1846000000000001</v>
      </c>
      <c r="E14" s="388">
        <v>429.7124</v>
      </c>
      <c r="F14" s="388">
        <v>7.7499999999999999E-2</v>
      </c>
      <c r="G14" s="24">
        <v>3.5999999999999999E-3</v>
      </c>
      <c r="H14" s="389">
        <v>4.1999999999999997E-3</v>
      </c>
      <c r="I14" s="23">
        <v>4.7300000000000002E-2</v>
      </c>
      <c r="J14" s="390">
        <v>3.5999999999999999E-3</v>
      </c>
      <c r="K14" s="377" t="s">
        <v>239</v>
      </c>
      <c r="M14" s="375" t="s">
        <v>239</v>
      </c>
      <c r="N14" s="386" t="s">
        <v>239</v>
      </c>
      <c r="O14" s="387">
        <v>12</v>
      </c>
      <c r="P14" s="388">
        <v>0.53149999999999997</v>
      </c>
      <c r="Q14" s="388">
        <v>271.61689999999999</v>
      </c>
      <c r="R14" s="388">
        <v>1.9900000000000001E-2</v>
      </c>
      <c r="S14" s="24">
        <v>1E-3</v>
      </c>
      <c r="T14" s="389">
        <v>2.7000000000000001E-3</v>
      </c>
      <c r="U14" s="23">
        <v>1.47E-2</v>
      </c>
      <c r="V14" s="390">
        <v>1E-3</v>
      </c>
      <c r="W14" s="377" t="s">
        <v>239</v>
      </c>
    </row>
    <row r="15" spans="1:23" x14ac:dyDescent="0.2">
      <c r="A15" s="375" t="s">
        <v>239</v>
      </c>
      <c r="B15" s="386" t="s">
        <v>239</v>
      </c>
      <c r="C15" s="387">
        <v>13</v>
      </c>
      <c r="D15" s="388">
        <v>1.1479999999999999</v>
      </c>
      <c r="E15" s="388">
        <v>408.00009999999997</v>
      </c>
      <c r="F15" s="388">
        <v>7.4800000000000005E-2</v>
      </c>
      <c r="G15" s="24">
        <v>3.3E-3</v>
      </c>
      <c r="H15" s="389">
        <v>4.0000000000000001E-3</v>
      </c>
      <c r="I15" s="23">
        <v>4.3299999999999998E-2</v>
      </c>
      <c r="J15" s="390">
        <v>3.3E-3</v>
      </c>
      <c r="K15" s="377" t="s">
        <v>239</v>
      </c>
      <c r="M15" s="375" t="s">
        <v>239</v>
      </c>
      <c r="N15" s="386" t="s">
        <v>239</v>
      </c>
      <c r="O15" s="387">
        <v>13</v>
      </c>
      <c r="P15" s="388">
        <v>0.51559999999999995</v>
      </c>
      <c r="Q15" s="388">
        <v>257.9991</v>
      </c>
      <c r="R15" s="388">
        <v>1.9199999999999998E-2</v>
      </c>
      <c r="S15" s="24">
        <v>8.9999999999999998E-4</v>
      </c>
      <c r="T15" s="389">
        <v>2.5999999999999999E-3</v>
      </c>
      <c r="U15" s="23">
        <v>1.34E-2</v>
      </c>
      <c r="V15" s="390">
        <v>8.9999999999999998E-4</v>
      </c>
      <c r="W15" s="377" t="s">
        <v>239</v>
      </c>
    </row>
    <row r="16" spans="1:23" x14ac:dyDescent="0.2">
      <c r="A16" s="375" t="s">
        <v>239</v>
      </c>
      <c r="B16" s="386" t="s">
        <v>239</v>
      </c>
      <c r="C16" s="387">
        <v>14</v>
      </c>
      <c r="D16" s="388">
        <v>1.1126</v>
      </c>
      <c r="E16" s="388">
        <v>387.38490000000002</v>
      </c>
      <c r="F16" s="388">
        <v>7.2099999999999997E-2</v>
      </c>
      <c r="G16" s="24">
        <v>3.0000000000000001E-3</v>
      </c>
      <c r="H16" s="389">
        <v>3.8E-3</v>
      </c>
      <c r="I16" s="23">
        <v>3.9600000000000003E-2</v>
      </c>
      <c r="J16" s="390">
        <v>3.0000000000000001E-3</v>
      </c>
      <c r="K16" s="377" t="s">
        <v>239</v>
      </c>
      <c r="M16" s="375" t="s">
        <v>239</v>
      </c>
      <c r="N16" s="386" t="s">
        <v>239</v>
      </c>
      <c r="O16" s="387">
        <v>14</v>
      </c>
      <c r="P16" s="388">
        <v>0.50019999999999998</v>
      </c>
      <c r="Q16" s="388">
        <v>245.06399999999999</v>
      </c>
      <c r="R16" s="388">
        <v>1.8499999999999999E-2</v>
      </c>
      <c r="S16" s="24">
        <v>8.9999999999999998E-4</v>
      </c>
      <c r="T16" s="389">
        <v>2.3999999999999998E-3</v>
      </c>
      <c r="U16" s="23">
        <v>1.2200000000000001E-2</v>
      </c>
      <c r="V16" s="390">
        <v>8.9999999999999998E-4</v>
      </c>
      <c r="W16" s="377" t="s">
        <v>239</v>
      </c>
    </row>
    <row r="17" spans="1:23" x14ac:dyDescent="0.2">
      <c r="A17" s="375" t="s">
        <v>239</v>
      </c>
      <c r="B17" s="386" t="s">
        <v>239</v>
      </c>
      <c r="C17" s="387">
        <v>15</v>
      </c>
      <c r="D17" s="388">
        <v>1.0783</v>
      </c>
      <c r="E17" s="388">
        <v>367.81139999999999</v>
      </c>
      <c r="F17" s="388">
        <v>6.9599999999999995E-2</v>
      </c>
      <c r="G17" s="24">
        <v>2.7000000000000001E-3</v>
      </c>
      <c r="H17" s="389">
        <v>3.5999999999999999E-3</v>
      </c>
      <c r="I17" s="23">
        <v>3.61E-2</v>
      </c>
      <c r="J17" s="390">
        <v>2.7000000000000001E-3</v>
      </c>
      <c r="K17" s="377" t="s">
        <v>239</v>
      </c>
      <c r="M17" s="375" t="s">
        <v>239</v>
      </c>
      <c r="N17" s="386" t="s">
        <v>239</v>
      </c>
      <c r="O17" s="387">
        <v>15</v>
      </c>
      <c r="P17" s="388">
        <v>0.48530000000000001</v>
      </c>
      <c r="Q17" s="388">
        <v>232.7774</v>
      </c>
      <c r="R17" s="388">
        <v>1.78E-2</v>
      </c>
      <c r="S17" s="24">
        <v>8.0000000000000004E-4</v>
      </c>
      <c r="T17" s="389">
        <v>2.3E-3</v>
      </c>
      <c r="U17" s="23">
        <v>1.11E-2</v>
      </c>
      <c r="V17" s="390">
        <v>8.0000000000000004E-4</v>
      </c>
      <c r="W17" s="377" t="s">
        <v>239</v>
      </c>
    </row>
    <row r="18" spans="1:23" x14ac:dyDescent="0.2">
      <c r="A18" s="375" t="s">
        <v>239</v>
      </c>
      <c r="B18" s="386" t="s">
        <v>239</v>
      </c>
      <c r="C18" s="387">
        <v>16</v>
      </c>
      <c r="D18" s="388">
        <v>1.0942000000000001</v>
      </c>
      <c r="E18" s="388">
        <v>366.76100000000002</v>
      </c>
      <c r="F18" s="388">
        <v>7.0199999999999999E-2</v>
      </c>
      <c r="G18" s="24">
        <v>2.5999999999999999E-3</v>
      </c>
      <c r="H18" s="389">
        <v>3.5999999999999999E-3</v>
      </c>
      <c r="I18" s="23">
        <v>3.4799999999999998E-2</v>
      </c>
      <c r="J18" s="390">
        <v>2.5999999999999999E-3</v>
      </c>
      <c r="K18" s="377" t="s">
        <v>239</v>
      </c>
      <c r="M18" s="375" t="s">
        <v>239</v>
      </c>
      <c r="N18" s="386" t="s">
        <v>239</v>
      </c>
      <c r="O18" s="387">
        <v>16</v>
      </c>
      <c r="P18" s="388">
        <v>0.50390000000000001</v>
      </c>
      <c r="Q18" s="388">
        <v>236.95599999999999</v>
      </c>
      <c r="R18" s="388">
        <v>1.84E-2</v>
      </c>
      <c r="S18" s="24">
        <v>8.0000000000000004E-4</v>
      </c>
      <c r="T18" s="389">
        <v>2.3E-3</v>
      </c>
      <c r="U18" s="23">
        <v>1.09E-2</v>
      </c>
      <c r="V18" s="390">
        <v>8.0000000000000004E-4</v>
      </c>
      <c r="W18" s="377" t="s">
        <v>239</v>
      </c>
    </row>
    <row r="19" spans="1:23" x14ac:dyDescent="0.2">
      <c r="A19" s="375" t="s">
        <v>239</v>
      </c>
      <c r="B19" s="386" t="s">
        <v>239</v>
      </c>
      <c r="C19" s="387">
        <v>17</v>
      </c>
      <c r="D19" s="388">
        <v>1.1103000000000001</v>
      </c>
      <c r="E19" s="388">
        <v>365.71359999999999</v>
      </c>
      <c r="F19" s="388">
        <v>7.0800000000000002E-2</v>
      </c>
      <c r="G19" s="24">
        <v>2.5000000000000001E-3</v>
      </c>
      <c r="H19" s="389">
        <v>3.5999999999999999E-3</v>
      </c>
      <c r="I19" s="23">
        <v>3.3500000000000002E-2</v>
      </c>
      <c r="J19" s="390">
        <v>2.5000000000000001E-3</v>
      </c>
      <c r="K19" s="377" t="s">
        <v>239</v>
      </c>
      <c r="M19" s="375" t="s">
        <v>239</v>
      </c>
      <c r="N19" s="386" t="s">
        <v>239</v>
      </c>
      <c r="O19" s="387">
        <v>17</v>
      </c>
      <c r="P19" s="388">
        <v>0.5232</v>
      </c>
      <c r="Q19" s="388">
        <v>241.20959999999999</v>
      </c>
      <c r="R19" s="388">
        <v>1.9E-2</v>
      </c>
      <c r="S19" s="24">
        <v>8.0000000000000004E-4</v>
      </c>
      <c r="T19" s="389">
        <v>2.3999999999999998E-3</v>
      </c>
      <c r="U19" s="23">
        <v>1.0699999999999999E-2</v>
      </c>
      <c r="V19" s="390">
        <v>8.0000000000000004E-4</v>
      </c>
      <c r="W19" s="377" t="s">
        <v>239</v>
      </c>
    </row>
    <row r="20" spans="1:23" x14ac:dyDescent="0.2">
      <c r="A20" s="375" t="s">
        <v>239</v>
      </c>
      <c r="B20" s="386" t="s">
        <v>239</v>
      </c>
      <c r="C20" s="387">
        <v>18</v>
      </c>
      <c r="D20" s="388">
        <v>1.1267</v>
      </c>
      <c r="E20" s="388">
        <v>364.66930000000002</v>
      </c>
      <c r="F20" s="388">
        <v>7.1400000000000005E-2</v>
      </c>
      <c r="G20" s="24">
        <v>2.3999999999999998E-3</v>
      </c>
      <c r="H20" s="389">
        <v>3.5999999999999999E-3</v>
      </c>
      <c r="I20" s="23">
        <v>3.2300000000000002E-2</v>
      </c>
      <c r="J20" s="390">
        <v>2.3999999999999998E-3</v>
      </c>
      <c r="K20" s="377" t="s">
        <v>239</v>
      </c>
      <c r="M20" s="375" t="s">
        <v>239</v>
      </c>
      <c r="N20" s="386" t="s">
        <v>239</v>
      </c>
      <c r="O20" s="387">
        <v>18</v>
      </c>
      <c r="P20" s="388">
        <v>0.54330000000000001</v>
      </c>
      <c r="Q20" s="388">
        <v>245.53960000000001</v>
      </c>
      <c r="R20" s="388">
        <v>1.9699999999999999E-2</v>
      </c>
      <c r="S20" s="24">
        <v>6.9999999999999999E-4</v>
      </c>
      <c r="T20" s="389">
        <v>2.3999999999999998E-3</v>
      </c>
      <c r="U20" s="23">
        <v>1.0500000000000001E-2</v>
      </c>
      <c r="V20" s="390">
        <v>6.9999999999999999E-4</v>
      </c>
      <c r="W20" s="377" t="s">
        <v>239</v>
      </c>
    </row>
    <row r="21" spans="1:23" x14ac:dyDescent="0.2">
      <c r="A21" s="375" t="s">
        <v>239</v>
      </c>
      <c r="B21" s="386" t="s">
        <v>239</v>
      </c>
      <c r="C21" s="387">
        <v>19</v>
      </c>
      <c r="D21" s="388">
        <v>1.1433</v>
      </c>
      <c r="E21" s="388">
        <v>363.62779999999998</v>
      </c>
      <c r="F21" s="388">
        <v>7.1999999999999995E-2</v>
      </c>
      <c r="G21" s="24">
        <v>2.3999999999999998E-3</v>
      </c>
      <c r="H21" s="389">
        <v>3.5999999999999999E-3</v>
      </c>
      <c r="I21" s="23">
        <v>3.1099999999999999E-2</v>
      </c>
      <c r="J21" s="390">
        <v>2.3999999999999998E-3</v>
      </c>
      <c r="K21" s="377" t="s">
        <v>239</v>
      </c>
      <c r="M21" s="375" t="s">
        <v>239</v>
      </c>
      <c r="N21" s="386" t="s">
        <v>239</v>
      </c>
      <c r="O21" s="387">
        <v>19</v>
      </c>
      <c r="P21" s="388">
        <v>0.56410000000000005</v>
      </c>
      <c r="Q21" s="388">
        <v>249.94730000000001</v>
      </c>
      <c r="R21" s="388">
        <v>2.0299999999999999E-2</v>
      </c>
      <c r="S21" s="24">
        <v>6.9999999999999999E-4</v>
      </c>
      <c r="T21" s="389">
        <v>2.5000000000000001E-3</v>
      </c>
      <c r="U21" s="23">
        <v>1.03E-2</v>
      </c>
      <c r="V21" s="390">
        <v>6.9999999999999999E-4</v>
      </c>
      <c r="W21" s="377" t="s">
        <v>239</v>
      </c>
    </row>
    <row r="22" spans="1:23" x14ac:dyDescent="0.2">
      <c r="A22" s="375" t="s">
        <v>239</v>
      </c>
      <c r="B22" s="386" t="s">
        <v>239</v>
      </c>
      <c r="C22" s="387">
        <v>20</v>
      </c>
      <c r="D22" s="388">
        <v>1.1600999999999999</v>
      </c>
      <c r="E22" s="388">
        <v>362.58940000000001</v>
      </c>
      <c r="F22" s="388">
        <v>7.2599999999999998E-2</v>
      </c>
      <c r="G22" s="24">
        <v>2.3E-3</v>
      </c>
      <c r="H22" s="389">
        <v>3.5999999999999999E-3</v>
      </c>
      <c r="I22" s="23">
        <v>0.03</v>
      </c>
      <c r="J22" s="390">
        <v>2.3E-3</v>
      </c>
      <c r="K22" s="377" t="s">
        <v>239</v>
      </c>
      <c r="M22" s="375" t="s">
        <v>239</v>
      </c>
      <c r="N22" s="386" t="s">
        <v>239</v>
      </c>
      <c r="O22" s="387">
        <v>20</v>
      </c>
      <c r="P22" s="388">
        <v>0.58579999999999999</v>
      </c>
      <c r="Q22" s="388">
        <v>254.4341</v>
      </c>
      <c r="R22" s="388">
        <v>2.1000000000000001E-2</v>
      </c>
      <c r="S22" s="24">
        <v>6.9999999999999999E-4</v>
      </c>
      <c r="T22" s="389">
        <v>2.5000000000000001E-3</v>
      </c>
      <c r="U22" s="23">
        <v>1.01E-2</v>
      </c>
      <c r="V22" s="390">
        <v>6.9999999999999999E-4</v>
      </c>
      <c r="W22" s="377" t="s">
        <v>239</v>
      </c>
    </row>
    <row r="23" spans="1:23" x14ac:dyDescent="0.2">
      <c r="A23" s="375" t="s">
        <v>239</v>
      </c>
      <c r="B23" s="386" t="s">
        <v>239</v>
      </c>
      <c r="C23" s="387">
        <v>21</v>
      </c>
      <c r="D23" s="388">
        <v>1.1563000000000001</v>
      </c>
      <c r="E23" s="388">
        <v>356.25099999999998</v>
      </c>
      <c r="F23" s="388">
        <v>7.2400000000000006E-2</v>
      </c>
      <c r="G23" s="24">
        <v>2.2000000000000001E-3</v>
      </c>
      <c r="H23" s="389">
        <v>3.5000000000000001E-3</v>
      </c>
      <c r="I23" s="23">
        <v>2.87E-2</v>
      </c>
      <c r="J23" s="390">
        <v>2.2000000000000001E-3</v>
      </c>
      <c r="K23" s="377" t="s">
        <v>239</v>
      </c>
      <c r="M23" s="375" t="s">
        <v>239</v>
      </c>
      <c r="N23" s="386" t="s">
        <v>239</v>
      </c>
      <c r="O23" s="387">
        <v>21</v>
      </c>
      <c r="P23" s="388">
        <v>0.59099999999999997</v>
      </c>
      <c r="Q23" s="388">
        <v>253.23840000000001</v>
      </c>
      <c r="R23" s="388">
        <v>2.1100000000000001E-2</v>
      </c>
      <c r="S23" s="24">
        <v>6.9999999999999999E-4</v>
      </c>
      <c r="T23" s="389">
        <v>2.5000000000000001E-3</v>
      </c>
      <c r="U23" s="23">
        <v>9.7999999999999997E-3</v>
      </c>
      <c r="V23" s="390">
        <v>6.9999999999999999E-4</v>
      </c>
      <c r="W23" s="377" t="s">
        <v>239</v>
      </c>
    </row>
    <row r="24" spans="1:23" x14ac:dyDescent="0.2">
      <c r="A24" s="375" t="s">
        <v>239</v>
      </c>
      <c r="B24" s="386" t="s">
        <v>239</v>
      </c>
      <c r="C24" s="387">
        <v>22</v>
      </c>
      <c r="D24" s="388">
        <v>1.1524000000000001</v>
      </c>
      <c r="E24" s="388">
        <v>350.02339999999998</v>
      </c>
      <c r="F24" s="388">
        <v>7.2300000000000003E-2</v>
      </c>
      <c r="G24" s="24">
        <v>2.0999999999999999E-3</v>
      </c>
      <c r="H24" s="389">
        <v>3.5000000000000001E-3</v>
      </c>
      <c r="I24" s="23">
        <v>2.75E-2</v>
      </c>
      <c r="J24" s="390">
        <v>2.0999999999999999E-3</v>
      </c>
      <c r="K24" s="377" t="s">
        <v>239</v>
      </c>
      <c r="M24" s="375" t="s">
        <v>239</v>
      </c>
      <c r="N24" s="386" t="s">
        <v>239</v>
      </c>
      <c r="O24" s="387">
        <v>22</v>
      </c>
      <c r="P24" s="388">
        <v>0.59640000000000004</v>
      </c>
      <c r="Q24" s="388">
        <v>252.04820000000001</v>
      </c>
      <c r="R24" s="388">
        <v>2.1299999999999999E-2</v>
      </c>
      <c r="S24" s="24">
        <v>6.9999999999999999E-4</v>
      </c>
      <c r="T24" s="389">
        <v>2.5000000000000001E-3</v>
      </c>
      <c r="U24" s="23">
        <v>9.4000000000000004E-3</v>
      </c>
      <c r="V24" s="390">
        <v>6.9999999999999999E-4</v>
      </c>
      <c r="W24" s="377" t="s">
        <v>239</v>
      </c>
    </row>
    <row r="25" spans="1:23" x14ac:dyDescent="0.2">
      <c r="A25" s="375" t="s">
        <v>239</v>
      </c>
      <c r="B25" s="386" t="s">
        <v>239</v>
      </c>
      <c r="C25" s="387">
        <v>23</v>
      </c>
      <c r="D25" s="388">
        <v>1.1486000000000001</v>
      </c>
      <c r="E25" s="388">
        <v>343.90460000000002</v>
      </c>
      <c r="F25" s="388">
        <v>7.2099999999999997E-2</v>
      </c>
      <c r="G25" s="24">
        <v>2E-3</v>
      </c>
      <c r="H25" s="389">
        <v>3.3999999999999998E-3</v>
      </c>
      <c r="I25" s="23">
        <v>2.63E-2</v>
      </c>
      <c r="J25" s="390">
        <v>2E-3</v>
      </c>
      <c r="K25" s="377" t="s">
        <v>239</v>
      </c>
      <c r="M25" s="375" t="s">
        <v>239</v>
      </c>
      <c r="N25" s="386" t="s">
        <v>239</v>
      </c>
      <c r="O25" s="387">
        <v>23</v>
      </c>
      <c r="P25" s="388">
        <v>0.6018</v>
      </c>
      <c r="Q25" s="388">
        <v>250.86359999999999</v>
      </c>
      <c r="R25" s="388">
        <v>2.1499999999999998E-2</v>
      </c>
      <c r="S25" s="24">
        <v>5.9999999999999995E-4</v>
      </c>
      <c r="T25" s="389">
        <v>2.5000000000000001E-3</v>
      </c>
      <c r="U25" s="23">
        <v>9.1000000000000004E-3</v>
      </c>
      <c r="V25" s="390">
        <v>5.9999999999999995E-4</v>
      </c>
      <c r="W25" s="377" t="s">
        <v>239</v>
      </c>
    </row>
    <row r="26" spans="1:23" x14ac:dyDescent="0.2">
      <c r="A26" s="375" t="s">
        <v>239</v>
      </c>
      <c r="B26" s="386" t="s">
        <v>239</v>
      </c>
      <c r="C26" s="387">
        <v>24</v>
      </c>
      <c r="D26" s="388">
        <v>1.1448</v>
      </c>
      <c r="E26" s="388">
        <v>337.89280000000002</v>
      </c>
      <c r="F26" s="388">
        <v>7.1900000000000006E-2</v>
      </c>
      <c r="G26" s="24">
        <v>1.9E-3</v>
      </c>
      <c r="H26" s="389">
        <v>3.3E-3</v>
      </c>
      <c r="I26" s="23">
        <v>2.52E-2</v>
      </c>
      <c r="J26" s="390">
        <v>1.9E-3</v>
      </c>
      <c r="K26" s="377" t="s">
        <v>239</v>
      </c>
      <c r="M26" s="375" t="s">
        <v>239</v>
      </c>
      <c r="N26" s="386" t="s">
        <v>239</v>
      </c>
      <c r="O26" s="387">
        <v>24</v>
      </c>
      <c r="P26" s="388">
        <v>0.60719999999999996</v>
      </c>
      <c r="Q26" s="388">
        <v>249.68469999999999</v>
      </c>
      <c r="R26" s="388">
        <v>2.1700000000000001E-2</v>
      </c>
      <c r="S26" s="24">
        <v>5.9999999999999995E-4</v>
      </c>
      <c r="T26" s="389">
        <v>2.5000000000000001E-3</v>
      </c>
      <c r="U26" s="23">
        <v>8.8000000000000005E-3</v>
      </c>
      <c r="V26" s="390">
        <v>5.9999999999999995E-4</v>
      </c>
      <c r="W26" s="377" t="s">
        <v>239</v>
      </c>
    </row>
    <row r="27" spans="1:23" x14ac:dyDescent="0.2">
      <c r="A27" s="375" t="s">
        <v>239</v>
      </c>
      <c r="B27" s="386" t="s">
        <v>239</v>
      </c>
      <c r="C27" s="387">
        <v>25</v>
      </c>
      <c r="D27" s="388">
        <v>1.141</v>
      </c>
      <c r="E27" s="388">
        <v>331.98610000000002</v>
      </c>
      <c r="F27" s="388">
        <v>7.1800000000000003E-2</v>
      </c>
      <c r="G27" s="24">
        <v>1.8E-3</v>
      </c>
      <c r="H27" s="389">
        <v>3.3E-3</v>
      </c>
      <c r="I27" s="23">
        <v>2.4199999999999999E-2</v>
      </c>
      <c r="J27" s="390">
        <v>1.8E-3</v>
      </c>
      <c r="K27" s="377" t="s">
        <v>239</v>
      </c>
      <c r="M27" s="375" t="s">
        <v>239</v>
      </c>
      <c r="N27" s="386" t="s">
        <v>239</v>
      </c>
      <c r="O27" s="387">
        <v>25</v>
      </c>
      <c r="P27" s="388">
        <v>0.61270000000000002</v>
      </c>
      <c r="Q27" s="388">
        <v>248.5112</v>
      </c>
      <c r="R27" s="388">
        <v>2.18E-2</v>
      </c>
      <c r="S27" s="24">
        <v>5.9999999999999995E-4</v>
      </c>
      <c r="T27" s="389">
        <v>2.5000000000000001E-3</v>
      </c>
      <c r="U27" s="23">
        <v>8.5000000000000006E-3</v>
      </c>
      <c r="V27" s="390">
        <v>5.9999999999999995E-4</v>
      </c>
      <c r="W27" s="377" t="s">
        <v>239</v>
      </c>
    </row>
    <row r="28" spans="1:23" x14ac:dyDescent="0.2">
      <c r="A28" s="375" t="s">
        <v>239</v>
      </c>
      <c r="B28" s="386" t="s">
        <v>239</v>
      </c>
      <c r="C28" s="387">
        <v>26</v>
      </c>
      <c r="D28" s="388">
        <v>1.1286</v>
      </c>
      <c r="E28" s="388">
        <v>327.27409999999998</v>
      </c>
      <c r="F28" s="388">
        <v>7.1099999999999997E-2</v>
      </c>
      <c r="G28" s="24">
        <v>1.6999999999999999E-3</v>
      </c>
      <c r="H28" s="389">
        <v>3.2000000000000002E-3</v>
      </c>
      <c r="I28" s="23">
        <v>2.3199999999999998E-2</v>
      </c>
      <c r="J28" s="390">
        <v>1.6999999999999999E-3</v>
      </c>
      <c r="K28" s="377" t="s">
        <v>239</v>
      </c>
      <c r="M28" s="375" t="s">
        <v>239</v>
      </c>
      <c r="N28" s="386" t="s">
        <v>239</v>
      </c>
      <c r="O28" s="387">
        <v>26</v>
      </c>
      <c r="P28" s="388">
        <v>0.61439999999999995</v>
      </c>
      <c r="Q28" s="388">
        <v>247.79</v>
      </c>
      <c r="R28" s="388">
        <v>2.1999999999999999E-2</v>
      </c>
      <c r="S28" s="24">
        <v>5.9999999999999995E-4</v>
      </c>
      <c r="T28" s="389">
        <v>2.3999999999999998E-3</v>
      </c>
      <c r="U28" s="23">
        <v>8.3000000000000001E-3</v>
      </c>
      <c r="V28" s="390">
        <v>5.9999999999999995E-4</v>
      </c>
      <c r="W28" s="377" t="s">
        <v>239</v>
      </c>
    </row>
    <row r="29" spans="1:23" x14ac:dyDescent="0.2">
      <c r="A29" s="375" t="s">
        <v>239</v>
      </c>
      <c r="B29" s="386" t="s">
        <v>239</v>
      </c>
      <c r="C29" s="387">
        <v>27</v>
      </c>
      <c r="D29" s="388">
        <v>1.1164000000000001</v>
      </c>
      <c r="E29" s="388">
        <v>322.62889999999999</v>
      </c>
      <c r="F29" s="388">
        <v>7.0300000000000001E-2</v>
      </c>
      <c r="G29" s="24">
        <v>1.6999999999999999E-3</v>
      </c>
      <c r="H29" s="389">
        <v>3.2000000000000002E-3</v>
      </c>
      <c r="I29" s="23">
        <v>2.2200000000000001E-2</v>
      </c>
      <c r="J29" s="390">
        <v>1.6999999999999999E-3</v>
      </c>
      <c r="K29" s="377" t="s">
        <v>239</v>
      </c>
      <c r="M29" s="375" t="s">
        <v>239</v>
      </c>
      <c r="N29" s="386" t="s">
        <v>239</v>
      </c>
      <c r="O29" s="387">
        <v>27</v>
      </c>
      <c r="P29" s="388">
        <v>0.61609999999999998</v>
      </c>
      <c r="Q29" s="388">
        <v>247.07089999999999</v>
      </c>
      <c r="R29" s="388">
        <v>2.2100000000000002E-2</v>
      </c>
      <c r="S29" s="24">
        <v>5.9999999999999995E-4</v>
      </c>
      <c r="T29" s="389">
        <v>2.3999999999999998E-3</v>
      </c>
      <c r="U29" s="23">
        <v>8.0000000000000002E-3</v>
      </c>
      <c r="V29" s="390">
        <v>5.9999999999999995E-4</v>
      </c>
      <c r="W29" s="377" t="s">
        <v>239</v>
      </c>
    </row>
    <row r="30" spans="1:23" x14ac:dyDescent="0.2">
      <c r="A30" s="375" t="s">
        <v>239</v>
      </c>
      <c r="B30" s="386" t="s">
        <v>239</v>
      </c>
      <c r="C30" s="387">
        <v>28</v>
      </c>
      <c r="D30" s="388">
        <v>1.1042000000000001</v>
      </c>
      <c r="E30" s="388">
        <v>318.04969999999997</v>
      </c>
      <c r="F30" s="388">
        <v>6.9599999999999995E-2</v>
      </c>
      <c r="G30" s="24">
        <v>1.6000000000000001E-3</v>
      </c>
      <c r="H30" s="389">
        <v>3.0999999999999999E-3</v>
      </c>
      <c r="I30" s="23">
        <v>2.1299999999999999E-2</v>
      </c>
      <c r="J30" s="390">
        <v>1.6000000000000001E-3</v>
      </c>
      <c r="K30" s="377" t="s">
        <v>239</v>
      </c>
      <c r="M30" s="375" t="s">
        <v>239</v>
      </c>
      <c r="N30" s="386" t="s">
        <v>239</v>
      </c>
      <c r="O30" s="387">
        <v>28</v>
      </c>
      <c r="P30" s="388">
        <v>0.61780000000000002</v>
      </c>
      <c r="Q30" s="388">
        <v>246.35390000000001</v>
      </c>
      <c r="R30" s="388">
        <v>2.2200000000000001E-2</v>
      </c>
      <c r="S30" s="24">
        <v>5.9999999999999995E-4</v>
      </c>
      <c r="T30" s="389">
        <v>2.3999999999999998E-3</v>
      </c>
      <c r="U30" s="23">
        <v>7.7999999999999996E-3</v>
      </c>
      <c r="V30" s="390">
        <v>5.9999999999999995E-4</v>
      </c>
      <c r="W30" s="377" t="s">
        <v>239</v>
      </c>
    </row>
    <row r="31" spans="1:23" x14ac:dyDescent="0.2">
      <c r="A31" s="375" t="s">
        <v>239</v>
      </c>
      <c r="B31" s="386" t="s">
        <v>239</v>
      </c>
      <c r="C31" s="387">
        <v>29</v>
      </c>
      <c r="D31" s="388">
        <v>1.0922000000000001</v>
      </c>
      <c r="E31" s="388">
        <v>313.53550000000001</v>
      </c>
      <c r="F31" s="388">
        <v>6.8900000000000003E-2</v>
      </c>
      <c r="G31" s="24">
        <v>1.5E-3</v>
      </c>
      <c r="H31" s="389">
        <v>3.0999999999999999E-3</v>
      </c>
      <c r="I31" s="23">
        <v>2.0400000000000001E-2</v>
      </c>
      <c r="J31" s="390">
        <v>1.5E-3</v>
      </c>
      <c r="K31" s="377" t="s">
        <v>239</v>
      </c>
      <c r="M31" s="375" t="s">
        <v>239</v>
      </c>
      <c r="N31" s="386" t="s">
        <v>239</v>
      </c>
      <c r="O31" s="387">
        <v>29</v>
      </c>
      <c r="P31" s="388">
        <v>0.61950000000000005</v>
      </c>
      <c r="Q31" s="388">
        <v>245.63890000000001</v>
      </c>
      <c r="R31" s="388">
        <v>2.24E-2</v>
      </c>
      <c r="S31" s="24">
        <v>5.0000000000000001E-4</v>
      </c>
      <c r="T31" s="389">
        <v>2.3999999999999998E-3</v>
      </c>
      <c r="U31" s="23">
        <v>7.6E-3</v>
      </c>
      <c r="V31" s="390">
        <v>5.0000000000000001E-4</v>
      </c>
      <c r="W31" s="377" t="s">
        <v>239</v>
      </c>
    </row>
    <row r="32" spans="1:23" x14ac:dyDescent="0.2">
      <c r="A32" s="375" t="s">
        <v>239</v>
      </c>
      <c r="B32" s="386" t="s">
        <v>239</v>
      </c>
      <c r="C32" s="387">
        <v>30</v>
      </c>
      <c r="D32" s="388">
        <v>1.0804</v>
      </c>
      <c r="E32" s="388">
        <v>309.08539999999999</v>
      </c>
      <c r="F32" s="388">
        <v>6.8199999999999997E-2</v>
      </c>
      <c r="G32" s="24">
        <v>1.5E-3</v>
      </c>
      <c r="H32" s="389">
        <v>3.0999999999999999E-3</v>
      </c>
      <c r="I32" s="23">
        <v>1.9599999999999999E-2</v>
      </c>
      <c r="J32" s="390">
        <v>1.5E-3</v>
      </c>
      <c r="K32" s="377" t="s">
        <v>239</v>
      </c>
      <c r="M32" s="375" t="s">
        <v>239</v>
      </c>
      <c r="N32" s="386" t="s">
        <v>239</v>
      </c>
      <c r="O32" s="387">
        <v>30</v>
      </c>
      <c r="P32" s="388">
        <v>0.62119999999999997</v>
      </c>
      <c r="Q32" s="388">
        <v>244.92609999999999</v>
      </c>
      <c r="R32" s="388">
        <v>2.2499999999999999E-2</v>
      </c>
      <c r="S32" s="24">
        <v>5.0000000000000001E-4</v>
      </c>
      <c r="T32" s="389">
        <v>2.3999999999999998E-3</v>
      </c>
      <c r="U32" s="23">
        <v>7.4000000000000003E-3</v>
      </c>
      <c r="V32" s="390">
        <v>5.0000000000000001E-4</v>
      </c>
      <c r="W32" s="377" t="s">
        <v>239</v>
      </c>
    </row>
    <row r="33" spans="1:23" x14ac:dyDescent="0.2">
      <c r="A33" s="375" t="s">
        <v>239</v>
      </c>
      <c r="B33" s="386" t="s">
        <v>239</v>
      </c>
      <c r="C33" s="387">
        <v>31</v>
      </c>
      <c r="D33" s="388">
        <v>1.0681</v>
      </c>
      <c r="E33" s="388">
        <v>304.8313</v>
      </c>
      <c r="F33" s="388">
        <v>6.7900000000000002E-2</v>
      </c>
      <c r="G33" s="24">
        <v>1.4E-3</v>
      </c>
      <c r="H33" s="389">
        <v>3.0000000000000001E-3</v>
      </c>
      <c r="I33" s="23">
        <v>1.9E-2</v>
      </c>
      <c r="J33" s="390">
        <v>1.4E-3</v>
      </c>
      <c r="K33" s="377" t="s">
        <v>239</v>
      </c>
      <c r="M33" s="375" t="s">
        <v>239</v>
      </c>
      <c r="N33" s="386" t="s">
        <v>239</v>
      </c>
      <c r="O33" s="387">
        <v>31</v>
      </c>
      <c r="P33" s="388">
        <v>0.61260000000000003</v>
      </c>
      <c r="Q33" s="388">
        <v>241.3366</v>
      </c>
      <c r="R33" s="388">
        <v>2.2200000000000001E-2</v>
      </c>
      <c r="S33" s="24">
        <v>5.0000000000000001E-4</v>
      </c>
      <c r="T33" s="389">
        <v>2.3999999999999998E-3</v>
      </c>
      <c r="U33" s="23">
        <v>7.1000000000000004E-3</v>
      </c>
      <c r="V33" s="390">
        <v>5.0000000000000001E-4</v>
      </c>
      <c r="W33" s="377" t="s">
        <v>239</v>
      </c>
    </row>
    <row r="34" spans="1:23" x14ac:dyDescent="0.2">
      <c r="A34" s="375" t="s">
        <v>239</v>
      </c>
      <c r="B34" s="386" t="s">
        <v>239</v>
      </c>
      <c r="C34" s="387">
        <v>32</v>
      </c>
      <c r="D34" s="388">
        <v>1.0561</v>
      </c>
      <c r="E34" s="388">
        <v>300.63569999999999</v>
      </c>
      <c r="F34" s="388">
        <v>6.7500000000000004E-2</v>
      </c>
      <c r="G34" s="24">
        <v>1.4E-3</v>
      </c>
      <c r="H34" s="389">
        <v>3.0000000000000001E-3</v>
      </c>
      <c r="I34" s="23">
        <v>1.84E-2</v>
      </c>
      <c r="J34" s="390">
        <v>1.4E-3</v>
      </c>
      <c r="K34" s="377" t="s">
        <v>239</v>
      </c>
      <c r="M34" s="375" t="s">
        <v>239</v>
      </c>
      <c r="N34" s="386" t="s">
        <v>239</v>
      </c>
      <c r="O34" s="387">
        <v>32</v>
      </c>
      <c r="P34" s="388">
        <v>0.60419999999999996</v>
      </c>
      <c r="Q34" s="388">
        <v>237.7997</v>
      </c>
      <c r="R34" s="388">
        <v>2.1999999999999999E-2</v>
      </c>
      <c r="S34" s="24">
        <v>5.0000000000000001E-4</v>
      </c>
      <c r="T34" s="389">
        <v>2.3999999999999998E-3</v>
      </c>
      <c r="U34" s="23">
        <v>6.7999999999999996E-3</v>
      </c>
      <c r="V34" s="390">
        <v>5.0000000000000001E-4</v>
      </c>
      <c r="W34" s="377" t="s">
        <v>239</v>
      </c>
    </row>
    <row r="35" spans="1:23" x14ac:dyDescent="0.2">
      <c r="A35" s="375" t="s">
        <v>239</v>
      </c>
      <c r="B35" s="386" t="s">
        <v>239</v>
      </c>
      <c r="C35" s="387">
        <v>33</v>
      </c>
      <c r="D35" s="388">
        <v>1.0441</v>
      </c>
      <c r="E35" s="388">
        <v>296.49790000000002</v>
      </c>
      <c r="F35" s="388">
        <v>6.7100000000000007E-2</v>
      </c>
      <c r="G35" s="24">
        <v>1.2999999999999999E-3</v>
      </c>
      <c r="H35" s="389">
        <v>2.8999999999999998E-3</v>
      </c>
      <c r="I35" s="23">
        <v>1.78E-2</v>
      </c>
      <c r="J35" s="390">
        <v>1.2999999999999999E-3</v>
      </c>
      <c r="K35" s="377" t="s">
        <v>239</v>
      </c>
      <c r="M35" s="375" t="s">
        <v>239</v>
      </c>
      <c r="N35" s="386" t="s">
        <v>239</v>
      </c>
      <c r="O35" s="387">
        <v>33</v>
      </c>
      <c r="P35" s="388">
        <v>0.59589999999999999</v>
      </c>
      <c r="Q35" s="388">
        <v>234.31469999999999</v>
      </c>
      <c r="R35" s="388">
        <v>2.1700000000000001E-2</v>
      </c>
      <c r="S35" s="24">
        <v>5.0000000000000001E-4</v>
      </c>
      <c r="T35" s="389">
        <v>2.3E-3</v>
      </c>
      <c r="U35" s="23">
        <v>6.4999999999999997E-3</v>
      </c>
      <c r="V35" s="390">
        <v>5.0000000000000001E-4</v>
      </c>
      <c r="W35" s="377" t="s">
        <v>239</v>
      </c>
    </row>
    <row r="36" spans="1:23" x14ac:dyDescent="0.2">
      <c r="A36" s="375" t="s">
        <v>239</v>
      </c>
      <c r="B36" s="386" t="s">
        <v>239</v>
      </c>
      <c r="C36" s="387">
        <v>34</v>
      </c>
      <c r="D36" s="388">
        <v>1.0323</v>
      </c>
      <c r="E36" s="388">
        <v>292.4171</v>
      </c>
      <c r="F36" s="388">
        <v>6.6699999999999995E-2</v>
      </c>
      <c r="G36" s="24">
        <v>1.2999999999999999E-3</v>
      </c>
      <c r="H36" s="389">
        <v>2.8999999999999998E-3</v>
      </c>
      <c r="I36" s="23">
        <v>1.72E-2</v>
      </c>
      <c r="J36" s="390">
        <v>1.2999999999999999E-3</v>
      </c>
      <c r="K36" s="377" t="s">
        <v>239</v>
      </c>
      <c r="M36" s="375" t="s">
        <v>239</v>
      </c>
      <c r="N36" s="386" t="s">
        <v>239</v>
      </c>
      <c r="O36" s="387">
        <v>34</v>
      </c>
      <c r="P36" s="388">
        <v>0.5877</v>
      </c>
      <c r="Q36" s="388">
        <v>230.88069999999999</v>
      </c>
      <c r="R36" s="388">
        <v>2.1499999999999998E-2</v>
      </c>
      <c r="S36" s="24">
        <v>5.0000000000000001E-4</v>
      </c>
      <c r="T36" s="389">
        <v>2.3E-3</v>
      </c>
      <c r="U36" s="23">
        <v>6.3E-3</v>
      </c>
      <c r="V36" s="390">
        <v>5.0000000000000001E-4</v>
      </c>
      <c r="W36" s="377" t="s">
        <v>239</v>
      </c>
    </row>
    <row r="37" spans="1:23" x14ac:dyDescent="0.2">
      <c r="A37" s="375" t="s">
        <v>239</v>
      </c>
      <c r="B37" s="386" t="s">
        <v>239</v>
      </c>
      <c r="C37" s="387">
        <v>35</v>
      </c>
      <c r="D37" s="388">
        <v>1.0206</v>
      </c>
      <c r="E37" s="388">
        <v>288.39240000000001</v>
      </c>
      <c r="F37" s="388">
        <v>6.6299999999999998E-2</v>
      </c>
      <c r="G37" s="24">
        <v>1.1999999999999999E-3</v>
      </c>
      <c r="H37" s="389">
        <v>2.8999999999999998E-3</v>
      </c>
      <c r="I37" s="23">
        <v>1.67E-2</v>
      </c>
      <c r="J37" s="390">
        <v>1.1999999999999999E-3</v>
      </c>
      <c r="K37" s="377" t="s">
        <v>239</v>
      </c>
      <c r="M37" s="375" t="s">
        <v>239</v>
      </c>
      <c r="N37" s="386" t="s">
        <v>239</v>
      </c>
      <c r="O37" s="387">
        <v>35</v>
      </c>
      <c r="P37" s="388">
        <v>0.5796</v>
      </c>
      <c r="Q37" s="388">
        <v>227.49700000000001</v>
      </c>
      <c r="R37" s="388">
        <v>2.12E-2</v>
      </c>
      <c r="S37" s="24">
        <v>4.0000000000000002E-4</v>
      </c>
      <c r="T37" s="389">
        <v>2.2000000000000001E-3</v>
      </c>
      <c r="U37" s="23">
        <v>6.0000000000000001E-3</v>
      </c>
      <c r="V37" s="390">
        <v>4.0000000000000002E-4</v>
      </c>
      <c r="W37" s="377" t="s">
        <v>239</v>
      </c>
    </row>
    <row r="38" spans="1:23" x14ac:dyDescent="0.2">
      <c r="A38" s="375" t="s">
        <v>239</v>
      </c>
      <c r="B38" s="386" t="s">
        <v>239</v>
      </c>
      <c r="C38" s="387">
        <v>36</v>
      </c>
      <c r="D38" s="388">
        <v>1.0098</v>
      </c>
      <c r="E38" s="388">
        <v>287.18729999999999</v>
      </c>
      <c r="F38" s="388">
        <v>6.6100000000000006E-2</v>
      </c>
      <c r="G38" s="24">
        <v>1.1999999999999999E-3</v>
      </c>
      <c r="H38" s="389">
        <v>2.8E-3</v>
      </c>
      <c r="I38" s="23">
        <v>1.6299999999999999E-2</v>
      </c>
      <c r="J38" s="390">
        <v>1.1999999999999999E-3</v>
      </c>
      <c r="K38" s="377" t="s">
        <v>239</v>
      </c>
      <c r="M38" s="375" t="s">
        <v>239</v>
      </c>
      <c r="N38" s="386" t="s">
        <v>239</v>
      </c>
      <c r="O38" s="387">
        <v>36</v>
      </c>
      <c r="P38" s="388">
        <v>0.57289999999999996</v>
      </c>
      <c r="Q38" s="388">
        <v>226.57159999999999</v>
      </c>
      <c r="R38" s="388">
        <v>2.1100000000000001E-2</v>
      </c>
      <c r="S38" s="24">
        <v>4.0000000000000002E-4</v>
      </c>
      <c r="T38" s="389">
        <v>2.2000000000000001E-3</v>
      </c>
      <c r="U38" s="23">
        <v>5.7999999999999996E-3</v>
      </c>
      <c r="V38" s="390">
        <v>4.0000000000000002E-4</v>
      </c>
      <c r="W38" s="377" t="s">
        <v>239</v>
      </c>
    </row>
    <row r="39" spans="1:23" x14ac:dyDescent="0.2">
      <c r="A39" s="375" t="s">
        <v>239</v>
      </c>
      <c r="B39" s="386" t="s">
        <v>239</v>
      </c>
      <c r="C39" s="387">
        <v>37</v>
      </c>
      <c r="D39" s="388">
        <v>0.99909999999999999</v>
      </c>
      <c r="E39" s="388">
        <v>285.98719999999997</v>
      </c>
      <c r="F39" s="388">
        <v>6.5799999999999997E-2</v>
      </c>
      <c r="G39" s="24">
        <v>1.1999999999999999E-3</v>
      </c>
      <c r="H39" s="389">
        <v>2.8E-3</v>
      </c>
      <c r="I39" s="23">
        <v>1.5900000000000001E-2</v>
      </c>
      <c r="J39" s="390">
        <v>1.1999999999999999E-3</v>
      </c>
      <c r="K39" s="377" t="s">
        <v>239</v>
      </c>
      <c r="M39" s="375" t="s">
        <v>239</v>
      </c>
      <c r="N39" s="386" t="s">
        <v>239</v>
      </c>
      <c r="O39" s="387">
        <v>37</v>
      </c>
      <c r="P39" s="388">
        <v>0.56640000000000001</v>
      </c>
      <c r="Q39" s="388">
        <v>225.6499</v>
      </c>
      <c r="R39" s="388">
        <v>2.1000000000000001E-2</v>
      </c>
      <c r="S39" s="24">
        <v>4.0000000000000002E-4</v>
      </c>
      <c r="T39" s="389">
        <v>2.2000000000000001E-3</v>
      </c>
      <c r="U39" s="23">
        <v>5.7000000000000002E-3</v>
      </c>
      <c r="V39" s="390">
        <v>4.0000000000000002E-4</v>
      </c>
      <c r="W39" s="377" t="s">
        <v>239</v>
      </c>
    </row>
    <row r="40" spans="1:23" x14ac:dyDescent="0.2">
      <c r="A40" s="375" t="s">
        <v>239</v>
      </c>
      <c r="B40" s="386" t="s">
        <v>239</v>
      </c>
      <c r="C40" s="387">
        <v>38</v>
      </c>
      <c r="D40" s="388">
        <v>0.98850000000000005</v>
      </c>
      <c r="E40" s="388">
        <v>284.79219999999998</v>
      </c>
      <c r="F40" s="388">
        <v>6.5600000000000006E-2</v>
      </c>
      <c r="G40" s="24">
        <v>1.1000000000000001E-3</v>
      </c>
      <c r="H40" s="389">
        <v>2.8E-3</v>
      </c>
      <c r="I40" s="23">
        <v>1.55E-2</v>
      </c>
      <c r="J40" s="390">
        <v>1.1000000000000001E-3</v>
      </c>
      <c r="K40" s="377" t="s">
        <v>239</v>
      </c>
      <c r="M40" s="375" t="s">
        <v>239</v>
      </c>
      <c r="N40" s="386" t="s">
        <v>239</v>
      </c>
      <c r="O40" s="387">
        <v>38</v>
      </c>
      <c r="P40" s="388">
        <v>0.55989999999999995</v>
      </c>
      <c r="Q40" s="388">
        <v>224.7319</v>
      </c>
      <c r="R40" s="388">
        <v>2.0799999999999999E-2</v>
      </c>
      <c r="S40" s="24">
        <v>4.0000000000000002E-4</v>
      </c>
      <c r="T40" s="389">
        <v>2.2000000000000001E-3</v>
      </c>
      <c r="U40" s="23">
        <v>5.4999999999999997E-3</v>
      </c>
      <c r="V40" s="390">
        <v>4.0000000000000002E-4</v>
      </c>
      <c r="W40" s="377" t="s">
        <v>239</v>
      </c>
    </row>
    <row r="41" spans="1:23" x14ac:dyDescent="0.2">
      <c r="A41" s="375" t="s">
        <v>239</v>
      </c>
      <c r="B41" s="386" t="s">
        <v>239</v>
      </c>
      <c r="C41" s="387">
        <v>39</v>
      </c>
      <c r="D41" s="388">
        <v>0.97799999999999998</v>
      </c>
      <c r="E41" s="388">
        <v>283.60210000000001</v>
      </c>
      <c r="F41" s="388">
        <v>6.5299999999999997E-2</v>
      </c>
      <c r="G41" s="24">
        <v>1.1000000000000001E-3</v>
      </c>
      <c r="H41" s="389">
        <v>2.8E-3</v>
      </c>
      <c r="I41" s="23">
        <v>1.52E-2</v>
      </c>
      <c r="J41" s="390">
        <v>1.1000000000000001E-3</v>
      </c>
      <c r="K41" s="377" t="s">
        <v>239</v>
      </c>
      <c r="M41" s="375" t="s">
        <v>239</v>
      </c>
      <c r="N41" s="386" t="s">
        <v>239</v>
      </c>
      <c r="O41" s="387">
        <v>39</v>
      </c>
      <c r="P41" s="388">
        <v>0.55349999999999999</v>
      </c>
      <c r="Q41" s="388">
        <v>223.8177</v>
      </c>
      <c r="R41" s="388">
        <v>2.07E-2</v>
      </c>
      <c r="S41" s="24">
        <v>4.0000000000000002E-4</v>
      </c>
      <c r="T41" s="389">
        <v>2.2000000000000001E-3</v>
      </c>
      <c r="U41" s="23">
        <v>5.3E-3</v>
      </c>
      <c r="V41" s="390">
        <v>4.0000000000000002E-4</v>
      </c>
      <c r="W41" s="377" t="s">
        <v>239</v>
      </c>
    </row>
    <row r="42" spans="1:23" x14ac:dyDescent="0.2">
      <c r="A42" s="375" t="s">
        <v>239</v>
      </c>
      <c r="B42" s="386" t="s">
        <v>239</v>
      </c>
      <c r="C42" s="387">
        <v>40</v>
      </c>
      <c r="D42" s="388">
        <v>0.9677</v>
      </c>
      <c r="E42" s="388">
        <v>282.41699999999997</v>
      </c>
      <c r="F42" s="388">
        <v>6.5100000000000005E-2</v>
      </c>
      <c r="G42" s="24">
        <v>1.1000000000000001E-3</v>
      </c>
      <c r="H42" s="389">
        <v>2.8E-3</v>
      </c>
      <c r="I42" s="23">
        <v>1.4800000000000001E-2</v>
      </c>
      <c r="J42" s="390">
        <v>1.1000000000000001E-3</v>
      </c>
      <c r="K42" s="377" t="s">
        <v>239</v>
      </c>
      <c r="M42" s="375" t="s">
        <v>239</v>
      </c>
      <c r="N42" s="386" t="s">
        <v>239</v>
      </c>
      <c r="O42" s="387">
        <v>40</v>
      </c>
      <c r="P42" s="388">
        <v>0.54710000000000003</v>
      </c>
      <c r="Q42" s="388">
        <v>222.90719999999999</v>
      </c>
      <c r="R42" s="388">
        <v>2.06E-2</v>
      </c>
      <c r="S42" s="24">
        <v>4.0000000000000002E-4</v>
      </c>
      <c r="T42" s="389">
        <v>2.2000000000000001E-3</v>
      </c>
      <c r="U42" s="23">
        <v>5.1999999999999998E-3</v>
      </c>
      <c r="V42" s="390">
        <v>4.0000000000000002E-4</v>
      </c>
      <c r="W42" s="377" t="s">
        <v>239</v>
      </c>
    </row>
    <row r="43" spans="1:23" x14ac:dyDescent="0.2">
      <c r="A43" s="375" t="s">
        <v>239</v>
      </c>
      <c r="B43" s="386" t="s">
        <v>239</v>
      </c>
      <c r="C43" s="387">
        <v>41</v>
      </c>
      <c r="D43" s="388">
        <v>0.95420000000000005</v>
      </c>
      <c r="E43" s="388">
        <v>282.63159999999999</v>
      </c>
      <c r="F43" s="388">
        <v>6.4899999999999999E-2</v>
      </c>
      <c r="G43" s="24">
        <v>1.1000000000000001E-3</v>
      </c>
      <c r="H43" s="389">
        <v>2.8E-3</v>
      </c>
      <c r="I43" s="23">
        <v>1.46E-2</v>
      </c>
      <c r="J43" s="390">
        <v>1.1000000000000001E-3</v>
      </c>
      <c r="K43" s="377" t="s">
        <v>239</v>
      </c>
      <c r="M43" s="375" t="s">
        <v>239</v>
      </c>
      <c r="N43" s="386" t="s">
        <v>239</v>
      </c>
      <c r="O43" s="387">
        <v>41</v>
      </c>
      <c r="P43" s="388">
        <v>0.53979999999999995</v>
      </c>
      <c r="Q43" s="388">
        <v>223.35849999999999</v>
      </c>
      <c r="R43" s="388">
        <v>2.0500000000000001E-2</v>
      </c>
      <c r="S43" s="24">
        <v>4.0000000000000002E-4</v>
      </c>
      <c r="T43" s="389">
        <v>2.2000000000000001E-3</v>
      </c>
      <c r="U43" s="23">
        <v>5.1000000000000004E-3</v>
      </c>
      <c r="V43" s="390">
        <v>4.0000000000000002E-4</v>
      </c>
      <c r="W43" s="377" t="s">
        <v>239</v>
      </c>
    </row>
    <row r="44" spans="1:23" x14ac:dyDescent="0.2">
      <c r="A44" s="375" t="s">
        <v>239</v>
      </c>
      <c r="B44" s="386" t="s">
        <v>239</v>
      </c>
      <c r="C44" s="387">
        <v>42</v>
      </c>
      <c r="D44" s="388">
        <v>0.94079999999999997</v>
      </c>
      <c r="E44" s="388">
        <v>282.84640000000002</v>
      </c>
      <c r="F44" s="388">
        <v>6.4699999999999994E-2</v>
      </c>
      <c r="G44" s="24">
        <v>1E-3</v>
      </c>
      <c r="H44" s="389">
        <v>2.8E-3</v>
      </c>
      <c r="I44" s="23">
        <v>1.44E-2</v>
      </c>
      <c r="J44" s="390">
        <v>1E-3</v>
      </c>
      <c r="K44" s="377" t="s">
        <v>239</v>
      </c>
      <c r="M44" s="375" t="s">
        <v>239</v>
      </c>
      <c r="N44" s="386" t="s">
        <v>239</v>
      </c>
      <c r="O44" s="387">
        <v>42</v>
      </c>
      <c r="P44" s="388">
        <v>0.53249999999999997</v>
      </c>
      <c r="Q44" s="388">
        <v>223.8107</v>
      </c>
      <c r="R44" s="388">
        <v>2.0500000000000001E-2</v>
      </c>
      <c r="S44" s="24">
        <v>4.0000000000000002E-4</v>
      </c>
      <c r="T44" s="389">
        <v>2.2000000000000001E-3</v>
      </c>
      <c r="U44" s="23">
        <v>5.0000000000000001E-3</v>
      </c>
      <c r="V44" s="390">
        <v>4.0000000000000002E-4</v>
      </c>
      <c r="W44" s="377" t="s">
        <v>239</v>
      </c>
    </row>
    <row r="45" spans="1:23" x14ac:dyDescent="0.2">
      <c r="A45" s="375" t="s">
        <v>239</v>
      </c>
      <c r="B45" s="386" t="s">
        <v>239</v>
      </c>
      <c r="C45" s="387">
        <v>43</v>
      </c>
      <c r="D45" s="388">
        <v>0.92769999999999997</v>
      </c>
      <c r="E45" s="388">
        <v>283.06130000000002</v>
      </c>
      <c r="F45" s="388">
        <v>6.4500000000000002E-2</v>
      </c>
      <c r="G45" s="24">
        <v>1E-3</v>
      </c>
      <c r="H45" s="389">
        <v>2.8E-3</v>
      </c>
      <c r="I45" s="23">
        <v>1.4200000000000001E-2</v>
      </c>
      <c r="J45" s="390">
        <v>1E-3</v>
      </c>
      <c r="K45" s="377" t="s">
        <v>239</v>
      </c>
      <c r="M45" s="375" t="s">
        <v>239</v>
      </c>
      <c r="N45" s="386" t="s">
        <v>239</v>
      </c>
      <c r="O45" s="387">
        <v>43</v>
      </c>
      <c r="P45" s="388">
        <v>0.52529999999999999</v>
      </c>
      <c r="Q45" s="388">
        <v>224.2638</v>
      </c>
      <c r="R45" s="388">
        <v>2.0400000000000001E-2</v>
      </c>
      <c r="S45" s="24">
        <v>4.0000000000000002E-4</v>
      </c>
      <c r="T45" s="389">
        <v>2.2000000000000001E-3</v>
      </c>
      <c r="U45" s="23">
        <v>5.0000000000000001E-3</v>
      </c>
      <c r="V45" s="390">
        <v>4.0000000000000002E-4</v>
      </c>
      <c r="W45" s="377" t="s">
        <v>239</v>
      </c>
    </row>
    <row r="46" spans="1:23" x14ac:dyDescent="0.2">
      <c r="A46" s="375" t="s">
        <v>239</v>
      </c>
      <c r="B46" s="386" t="s">
        <v>239</v>
      </c>
      <c r="C46" s="387">
        <v>44</v>
      </c>
      <c r="D46" s="388">
        <v>0.91469999999999996</v>
      </c>
      <c r="E46" s="388">
        <v>283.27640000000002</v>
      </c>
      <c r="F46" s="388">
        <v>6.4299999999999996E-2</v>
      </c>
      <c r="G46" s="24">
        <v>1E-3</v>
      </c>
      <c r="H46" s="389">
        <v>2.8E-3</v>
      </c>
      <c r="I46" s="23">
        <v>1.4E-2</v>
      </c>
      <c r="J46" s="390">
        <v>1E-3</v>
      </c>
      <c r="K46" s="377" t="s">
        <v>239</v>
      </c>
      <c r="M46" s="375" t="s">
        <v>239</v>
      </c>
      <c r="N46" s="386" t="s">
        <v>239</v>
      </c>
      <c r="O46" s="387">
        <v>44</v>
      </c>
      <c r="P46" s="388">
        <v>0.51819999999999999</v>
      </c>
      <c r="Q46" s="388">
        <v>224.71789999999999</v>
      </c>
      <c r="R46" s="388">
        <v>2.0299999999999999E-2</v>
      </c>
      <c r="S46" s="24">
        <v>4.0000000000000002E-4</v>
      </c>
      <c r="T46" s="389">
        <v>2.2000000000000001E-3</v>
      </c>
      <c r="U46" s="23">
        <v>4.8999999999999998E-3</v>
      </c>
      <c r="V46" s="390">
        <v>4.0000000000000002E-4</v>
      </c>
      <c r="W46" s="377" t="s">
        <v>239</v>
      </c>
    </row>
    <row r="47" spans="1:23" x14ac:dyDescent="0.2">
      <c r="A47" s="375" t="s">
        <v>239</v>
      </c>
      <c r="B47" s="386" t="s">
        <v>239</v>
      </c>
      <c r="C47" s="387">
        <v>45</v>
      </c>
      <c r="D47" s="388">
        <v>0.90200000000000002</v>
      </c>
      <c r="E47" s="388">
        <v>283.49169999999998</v>
      </c>
      <c r="F47" s="388">
        <v>6.4100000000000004E-2</v>
      </c>
      <c r="G47" s="24">
        <v>1E-3</v>
      </c>
      <c r="H47" s="389">
        <v>2.8E-3</v>
      </c>
      <c r="I47" s="23">
        <v>1.38E-2</v>
      </c>
      <c r="J47" s="390">
        <v>1E-3</v>
      </c>
      <c r="K47" s="377" t="s">
        <v>239</v>
      </c>
      <c r="M47" s="375" t="s">
        <v>239</v>
      </c>
      <c r="N47" s="386" t="s">
        <v>239</v>
      </c>
      <c r="O47" s="387">
        <v>45</v>
      </c>
      <c r="P47" s="388">
        <v>0.51119999999999999</v>
      </c>
      <c r="Q47" s="388">
        <v>225.1728</v>
      </c>
      <c r="R47" s="388">
        <v>2.0299999999999999E-2</v>
      </c>
      <c r="S47" s="24">
        <v>4.0000000000000002E-4</v>
      </c>
      <c r="T47" s="389">
        <v>2.2000000000000001E-3</v>
      </c>
      <c r="U47" s="23">
        <v>4.7999999999999996E-3</v>
      </c>
      <c r="V47" s="390">
        <v>4.0000000000000002E-4</v>
      </c>
      <c r="W47" s="377" t="s">
        <v>239</v>
      </c>
    </row>
    <row r="48" spans="1:23" x14ac:dyDescent="0.2">
      <c r="A48" s="375" t="s">
        <v>239</v>
      </c>
      <c r="B48" s="386" t="s">
        <v>239</v>
      </c>
      <c r="C48" s="387">
        <v>46</v>
      </c>
      <c r="D48" s="388">
        <v>0.89500000000000002</v>
      </c>
      <c r="E48" s="388">
        <v>286.14699999999999</v>
      </c>
      <c r="F48" s="388">
        <v>6.4299999999999996E-2</v>
      </c>
      <c r="G48" s="24">
        <v>1E-3</v>
      </c>
      <c r="H48" s="389">
        <v>2.8E-3</v>
      </c>
      <c r="I48" s="23">
        <v>1.38E-2</v>
      </c>
      <c r="J48" s="390">
        <v>1E-3</v>
      </c>
      <c r="K48" s="377" t="s">
        <v>239</v>
      </c>
      <c r="M48" s="375" t="s">
        <v>239</v>
      </c>
      <c r="N48" s="386" t="s">
        <v>239</v>
      </c>
      <c r="O48" s="387">
        <v>46</v>
      </c>
      <c r="P48" s="388">
        <v>0.5081</v>
      </c>
      <c r="Q48" s="388">
        <v>228.05520000000001</v>
      </c>
      <c r="R48" s="388">
        <v>2.0299999999999999E-2</v>
      </c>
      <c r="S48" s="24">
        <v>4.0000000000000002E-4</v>
      </c>
      <c r="T48" s="389">
        <v>2.3E-3</v>
      </c>
      <c r="U48" s="23">
        <v>4.7999999999999996E-3</v>
      </c>
      <c r="V48" s="390">
        <v>4.0000000000000002E-4</v>
      </c>
      <c r="W48" s="377" t="s">
        <v>239</v>
      </c>
    </row>
    <row r="49" spans="1:23" x14ac:dyDescent="0.2">
      <c r="A49" s="375" t="s">
        <v>239</v>
      </c>
      <c r="B49" s="386" t="s">
        <v>239</v>
      </c>
      <c r="C49" s="387">
        <v>47</v>
      </c>
      <c r="D49" s="388">
        <v>0.88819999999999999</v>
      </c>
      <c r="E49" s="388">
        <v>288.82729999999998</v>
      </c>
      <c r="F49" s="388">
        <v>6.4500000000000002E-2</v>
      </c>
      <c r="G49" s="24">
        <v>1E-3</v>
      </c>
      <c r="H49" s="389">
        <v>2.8999999999999998E-3</v>
      </c>
      <c r="I49" s="23">
        <v>1.38E-2</v>
      </c>
      <c r="J49" s="390">
        <v>1E-3</v>
      </c>
      <c r="K49" s="377" t="s">
        <v>239</v>
      </c>
      <c r="M49" s="375" t="s">
        <v>239</v>
      </c>
      <c r="N49" s="386" t="s">
        <v>239</v>
      </c>
      <c r="O49" s="387">
        <v>47</v>
      </c>
      <c r="P49" s="388">
        <v>0.50509999999999999</v>
      </c>
      <c r="Q49" s="388">
        <v>230.97450000000001</v>
      </c>
      <c r="R49" s="388">
        <v>2.0400000000000001E-2</v>
      </c>
      <c r="S49" s="24">
        <v>4.0000000000000002E-4</v>
      </c>
      <c r="T49" s="389">
        <v>2.3E-3</v>
      </c>
      <c r="U49" s="23">
        <v>4.7999999999999996E-3</v>
      </c>
      <c r="V49" s="390">
        <v>4.0000000000000002E-4</v>
      </c>
      <c r="W49" s="377" t="s">
        <v>239</v>
      </c>
    </row>
    <row r="50" spans="1:23" x14ac:dyDescent="0.2">
      <c r="A50" s="375" t="s">
        <v>239</v>
      </c>
      <c r="B50" s="386" t="s">
        <v>239</v>
      </c>
      <c r="C50" s="387">
        <v>48</v>
      </c>
      <c r="D50" s="388">
        <v>0.88139999999999996</v>
      </c>
      <c r="E50" s="388">
        <v>291.5326</v>
      </c>
      <c r="F50" s="388">
        <v>6.4699999999999994E-2</v>
      </c>
      <c r="G50" s="24">
        <v>1E-3</v>
      </c>
      <c r="H50" s="389">
        <v>2.8999999999999998E-3</v>
      </c>
      <c r="I50" s="23">
        <v>1.37E-2</v>
      </c>
      <c r="J50" s="390">
        <v>1E-3</v>
      </c>
      <c r="K50" s="377" t="s">
        <v>239</v>
      </c>
      <c r="M50" s="375" t="s">
        <v>239</v>
      </c>
      <c r="N50" s="386" t="s">
        <v>239</v>
      </c>
      <c r="O50" s="387">
        <v>48</v>
      </c>
      <c r="P50" s="388">
        <v>0.50209999999999999</v>
      </c>
      <c r="Q50" s="388">
        <v>233.93119999999999</v>
      </c>
      <c r="R50" s="388">
        <v>2.0500000000000001E-2</v>
      </c>
      <c r="S50" s="24">
        <v>4.0000000000000002E-4</v>
      </c>
      <c r="T50" s="389">
        <v>2.3E-3</v>
      </c>
      <c r="U50" s="23">
        <v>4.7999999999999996E-3</v>
      </c>
      <c r="V50" s="390">
        <v>4.0000000000000002E-4</v>
      </c>
      <c r="W50" s="377" t="s">
        <v>239</v>
      </c>
    </row>
    <row r="51" spans="1:23" x14ac:dyDescent="0.2">
      <c r="A51" s="375" t="s">
        <v>239</v>
      </c>
      <c r="B51" s="386" t="s">
        <v>239</v>
      </c>
      <c r="C51" s="387">
        <v>49</v>
      </c>
      <c r="D51" s="388">
        <v>0.87460000000000004</v>
      </c>
      <c r="E51" s="388">
        <v>294.26330000000002</v>
      </c>
      <c r="F51" s="388">
        <v>6.4899999999999999E-2</v>
      </c>
      <c r="G51" s="24">
        <v>1E-3</v>
      </c>
      <c r="H51" s="389">
        <v>2.8999999999999998E-3</v>
      </c>
      <c r="I51" s="23">
        <v>1.37E-2</v>
      </c>
      <c r="J51" s="390">
        <v>1E-3</v>
      </c>
      <c r="K51" s="377" t="s">
        <v>239</v>
      </c>
      <c r="M51" s="375" t="s">
        <v>239</v>
      </c>
      <c r="N51" s="386" t="s">
        <v>239</v>
      </c>
      <c r="O51" s="387">
        <v>49</v>
      </c>
      <c r="P51" s="388">
        <v>0.49909999999999999</v>
      </c>
      <c r="Q51" s="388">
        <v>236.92570000000001</v>
      </c>
      <c r="R51" s="388">
        <v>2.06E-2</v>
      </c>
      <c r="S51" s="24">
        <v>4.0000000000000002E-4</v>
      </c>
      <c r="T51" s="389">
        <v>2.3E-3</v>
      </c>
      <c r="U51" s="23">
        <v>4.7999999999999996E-3</v>
      </c>
      <c r="V51" s="390">
        <v>4.0000000000000002E-4</v>
      </c>
      <c r="W51" s="377" t="s">
        <v>239</v>
      </c>
    </row>
    <row r="52" spans="1:23" x14ac:dyDescent="0.2">
      <c r="A52" s="375" t="s">
        <v>239</v>
      </c>
      <c r="B52" s="386" t="s">
        <v>239</v>
      </c>
      <c r="C52" s="387">
        <v>50</v>
      </c>
      <c r="D52" s="388">
        <v>0.8679</v>
      </c>
      <c r="E52" s="388">
        <v>297.01949999999999</v>
      </c>
      <c r="F52" s="388">
        <v>6.5199999999999994E-2</v>
      </c>
      <c r="G52" s="24">
        <v>1E-3</v>
      </c>
      <c r="H52" s="389">
        <v>2.8999999999999998E-3</v>
      </c>
      <c r="I52" s="23">
        <v>1.37E-2</v>
      </c>
      <c r="J52" s="390">
        <v>1E-3</v>
      </c>
      <c r="K52" s="377" t="s">
        <v>239</v>
      </c>
      <c r="M52" s="375" t="s">
        <v>239</v>
      </c>
      <c r="N52" s="386" t="s">
        <v>239</v>
      </c>
      <c r="O52" s="387">
        <v>50</v>
      </c>
      <c r="P52" s="388">
        <v>0.49609999999999999</v>
      </c>
      <c r="Q52" s="388">
        <v>239.95859999999999</v>
      </c>
      <c r="R52" s="388">
        <v>2.07E-2</v>
      </c>
      <c r="S52" s="24">
        <v>4.0000000000000002E-4</v>
      </c>
      <c r="T52" s="389">
        <v>2.3999999999999998E-3</v>
      </c>
      <c r="U52" s="23">
        <v>4.7999999999999996E-3</v>
      </c>
      <c r="V52" s="390">
        <v>4.0000000000000002E-4</v>
      </c>
      <c r="W52" s="377" t="s">
        <v>239</v>
      </c>
    </row>
    <row r="53" spans="1:23" x14ac:dyDescent="0.2">
      <c r="A53" s="375" t="s">
        <v>239</v>
      </c>
      <c r="B53" s="386" t="s">
        <v>239</v>
      </c>
      <c r="C53" s="387">
        <v>51</v>
      </c>
      <c r="D53" s="388">
        <v>0.86080000000000001</v>
      </c>
      <c r="E53" s="388">
        <v>300.5677</v>
      </c>
      <c r="F53" s="388">
        <v>6.5500000000000003E-2</v>
      </c>
      <c r="G53" s="24">
        <v>1E-3</v>
      </c>
      <c r="H53" s="389">
        <v>3.0000000000000001E-3</v>
      </c>
      <c r="I53" s="23">
        <v>1.38E-2</v>
      </c>
      <c r="J53" s="390">
        <v>1E-3</v>
      </c>
      <c r="K53" s="377" t="s">
        <v>239</v>
      </c>
      <c r="M53" s="375" t="s">
        <v>239</v>
      </c>
      <c r="N53" s="386" t="s">
        <v>239</v>
      </c>
      <c r="O53" s="387">
        <v>51</v>
      </c>
      <c r="P53" s="388">
        <v>0.49370000000000003</v>
      </c>
      <c r="Q53" s="388">
        <v>243.83770000000001</v>
      </c>
      <c r="R53" s="388">
        <v>2.0899999999999998E-2</v>
      </c>
      <c r="S53" s="24">
        <v>4.0000000000000002E-4</v>
      </c>
      <c r="T53" s="389">
        <v>2.3999999999999998E-3</v>
      </c>
      <c r="U53" s="23">
        <v>4.8999999999999998E-3</v>
      </c>
      <c r="V53" s="390">
        <v>4.0000000000000002E-4</v>
      </c>
      <c r="W53" s="377" t="s">
        <v>239</v>
      </c>
    </row>
    <row r="54" spans="1:23" x14ac:dyDescent="0.2">
      <c r="A54" s="375" t="s">
        <v>239</v>
      </c>
      <c r="B54" s="386" t="s">
        <v>239</v>
      </c>
      <c r="C54" s="387">
        <v>52</v>
      </c>
      <c r="D54" s="388">
        <v>0.85370000000000001</v>
      </c>
      <c r="E54" s="388">
        <v>304.1583</v>
      </c>
      <c r="F54" s="388">
        <v>6.59E-2</v>
      </c>
      <c r="G54" s="24">
        <v>1E-3</v>
      </c>
      <c r="H54" s="389">
        <v>3.0000000000000001E-3</v>
      </c>
      <c r="I54" s="23">
        <v>1.3899999999999999E-2</v>
      </c>
      <c r="J54" s="390">
        <v>1E-3</v>
      </c>
      <c r="K54" s="377" t="s">
        <v>239</v>
      </c>
      <c r="M54" s="375" t="s">
        <v>239</v>
      </c>
      <c r="N54" s="386" t="s">
        <v>239</v>
      </c>
      <c r="O54" s="387">
        <v>52</v>
      </c>
      <c r="P54" s="388">
        <v>0.49130000000000001</v>
      </c>
      <c r="Q54" s="388">
        <v>247.77940000000001</v>
      </c>
      <c r="R54" s="388">
        <v>2.1100000000000001E-2</v>
      </c>
      <c r="S54" s="24">
        <v>4.0000000000000002E-4</v>
      </c>
      <c r="T54" s="389">
        <v>2.3999999999999998E-3</v>
      </c>
      <c r="U54" s="23">
        <v>4.8999999999999998E-3</v>
      </c>
      <c r="V54" s="390">
        <v>4.0000000000000002E-4</v>
      </c>
      <c r="W54" s="377" t="s">
        <v>239</v>
      </c>
    </row>
    <row r="55" spans="1:23" x14ac:dyDescent="0.2">
      <c r="A55" s="375" t="s">
        <v>239</v>
      </c>
      <c r="B55" s="386" t="s">
        <v>239</v>
      </c>
      <c r="C55" s="387">
        <v>53</v>
      </c>
      <c r="D55" s="388">
        <v>0.84670000000000001</v>
      </c>
      <c r="E55" s="388">
        <v>307.79180000000002</v>
      </c>
      <c r="F55" s="388">
        <v>6.6299999999999998E-2</v>
      </c>
      <c r="G55" s="24">
        <v>1E-3</v>
      </c>
      <c r="H55" s="389">
        <v>3.0000000000000001E-3</v>
      </c>
      <c r="I55" s="23">
        <v>1.4E-2</v>
      </c>
      <c r="J55" s="390">
        <v>1E-3</v>
      </c>
      <c r="K55" s="377" t="s">
        <v>239</v>
      </c>
      <c r="M55" s="375" t="s">
        <v>239</v>
      </c>
      <c r="N55" s="386" t="s">
        <v>239</v>
      </c>
      <c r="O55" s="387">
        <v>53</v>
      </c>
      <c r="P55" s="388">
        <v>0.4889</v>
      </c>
      <c r="Q55" s="388">
        <v>251.78489999999999</v>
      </c>
      <c r="R55" s="388">
        <v>2.1299999999999999E-2</v>
      </c>
      <c r="S55" s="24">
        <v>4.0000000000000002E-4</v>
      </c>
      <c r="T55" s="389">
        <v>2.5000000000000001E-3</v>
      </c>
      <c r="U55" s="23">
        <v>5.0000000000000001E-3</v>
      </c>
      <c r="V55" s="390">
        <v>4.0000000000000002E-4</v>
      </c>
      <c r="W55" s="377" t="s">
        <v>239</v>
      </c>
    </row>
    <row r="56" spans="1:23" x14ac:dyDescent="0.2">
      <c r="A56" s="375" t="s">
        <v>239</v>
      </c>
      <c r="B56" s="386" t="s">
        <v>239</v>
      </c>
      <c r="C56" s="387">
        <v>54</v>
      </c>
      <c r="D56" s="388">
        <v>0.83979999999999999</v>
      </c>
      <c r="E56" s="388">
        <v>311.46870000000001</v>
      </c>
      <c r="F56" s="388">
        <v>6.6699999999999995E-2</v>
      </c>
      <c r="G56" s="24">
        <v>1E-3</v>
      </c>
      <c r="H56" s="389">
        <v>3.0999999999999999E-3</v>
      </c>
      <c r="I56" s="23">
        <v>1.41E-2</v>
      </c>
      <c r="J56" s="390">
        <v>1E-3</v>
      </c>
      <c r="K56" s="377" t="s">
        <v>239</v>
      </c>
      <c r="M56" s="375" t="s">
        <v>239</v>
      </c>
      <c r="N56" s="386" t="s">
        <v>239</v>
      </c>
      <c r="O56" s="387">
        <v>54</v>
      </c>
      <c r="P56" s="388">
        <v>0.48659999999999998</v>
      </c>
      <c r="Q56" s="388">
        <v>255.8552</v>
      </c>
      <c r="R56" s="388">
        <v>2.1499999999999998E-2</v>
      </c>
      <c r="S56" s="24">
        <v>4.0000000000000002E-4</v>
      </c>
      <c r="T56" s="389">
        <v>2.5000000000000001E-3</v>
      </c>
      <c r="U56" s="23">
        <v>5.1000000000000004E-3</v>
      </c>
      <c r="V56" s="390">
        <v>4.0000000000000002E-4</v>
      </c>
      <c r="W56" s="377" t="s">
        <v>239</v>
      </c>
    </row>
    <row r="57" spans="1:23" x14ac:dyDescent="0.2">
      <c r="A57" s="375" t="s">
        <v>239</v>
      </c>
      <c r="B57" s="386" t="s">
        <v>239</v>
      </c>
      <c r="C57" s="387">
        <v>55</v>
      </c>
      <c r="D57" s="388">
        <v>0.83289999999999997</v>
      </c>
      <c r="E57" s="388">
        <v>315.18950000000001</v>
      </c>
      <c r="F57" s="388">
        <v>6.7100000000000007E-2</v>
      </c>
      <c r="G57" s="24">
        <v>1E-3</v>
      </c>
      <c r="H57" s="389">
        <v>3.0999999999999999E-3</v>
      </c>
      <c r="I57" s="23">
        <v>1.4200000000000001E-2</v>
      </c>
      <c r="J57" s="390">
        <v>1E-3</v>
      </c>
      <c r="K57" s="377" t="s">
        <v>239</v>
      </c>
      <c r="M57" s="375" t="s">
        <v>239</v>
      </c>
      <c r="N57" s="386" t="s">
        <v>239</v>
      </c>
      <c r="O57" s="387">
        <v>55</v>
      </c>
      <c r="P57" s="388">
        <v>0.48420000000000002</v>
      </c>
      <c r="Q57" s="388">
        <v>259.99119999999999</v>
      </c>
      <c r="R57" s="388">
        <v>2.1700000000000001E-2</v>
      </c>
      <c r="S57" s="24">
        <v>4.0000000000000002E-4</v>
      </c>
      <c r="T57" s="389">
        <v>2.5999999999999999E-3</v>
      </c>
      <c r="U57" s="23">
        <v>5.1000000000000004E-3</v>
      </c>
      <c r="V57" s="390">
        <v>4.0000000000000002E-4</v>
      </c>
      <c r="W57" s="377" t="s">
        <v>239</v>
      </c>
    </row>
    <row r="58" spans="1:23" x14ac:dyDescent="0.2">
      <c r="A58" s="375" t="s">
        <v>239</v>
      </c>
      <c r="B58" s="386" t="s">
        <v>239</v>
      </c>
      <c r="C58" s="387">
        <v>56</v>
      </c>
      <c r="D58" s="388">
        <v>0.81669999999999998</v>
      </c>
      <c r="E58" s="388">
        <v>317.38749999999999</v>
      </c>
      <c r="F58" s="388">
        <v>6.6799999999999998E-2</v>
      </c>
      <c r="G58" s="24">
        <v>1E-3</v>
      </c>
      <c r="H58" s="389">
        <v>3.0999999999999999E-3</v>
      </c>
      <c r="I58" s="23">
        <v>1.43E-2</v>
      </c>
      <c r="J58" s="390">
        <v>1E-3</v>
      </c>
      <c r="K58" s="377" t="s">
        <v>239</v>
      </c>
      <c r="M58" s="375" t="s">
        <v>239</v>
      </c>
      <c r="N58" s="386" t="s">
        <v>239</v>
      </c>
      <c r="O58" s="387">
        <v>56</v>
      </c>
      <c r="P58" s="388">
        <v>0.47720000000000001</v>
      </c>
      <c r="Q58" s="388">
        <v>262.64600000000002</v>
      </c>
      <c r="R58" s="388">
        <v>2.18E-2</v>
      </c>
      <c r="S58" s="24">
        <v>4.0000000000000002E-4</v>
      </c>
      <c r="T58" s="389">
        <v>2.5999999999999999E-3</v>
      </c>
      <c r="U58" s="23">
        <v>5.1999999999999998E-3</v>
      </c>
      <c r="V58" s="390">
        <v>4.0000000000000002E-4</v>
      </c>
      <c r="W58" s="377" t="s">
        <v>239</v>
      </c>
    </row>
    <row r="59" spans="1:23" x14ac:dyDescent="0.2">
      <c r="A59" s="375" t="s">
        <v>239</v>
      </c>
      <c r="B59" s="386" t="s">
        <v>239</v>
      </c>
      <c r="C59" s="387">
        <v>57</v>
      </c>
      <c r="D59" s="388">
        <v>0.80079999999999996</v>
      </c>
      <c r="E59" s="388">
        <v>319.60090000000002</v>
      </c>
      <c r="F59" s="388">
        <v>6.6600000000000006E-2</v>
      </c>
      <c r="G59" s="24">
        <v>1E-3</v>
      </c>
      <c r="H59" s="389">
        <v>3.2000000000000002E-3</v>
      </c>
      <c r="I59" s="23">
        <v>1.44E-2</v>
      </c>
      <c r="J59" s="390">
        <v>1E-3</v>
      </c>
      <c r="K59" s="377" t="s">
        <v>239</v>
      </c>
      <c r="M59" s="375" t="s">
        <v>239</v>
      </c>
      <c r="N59" s="386" t="s">
        <v>239</v>
      </c>
      <c r="O59" s="387">
        <v>57</v>
      </c>
      <c r="P59" s="388">
        <v>0.4703</v>
      </c>
      <c r="Q59" s="388">
        <v>265.3279</v>
      </c>
      <c r="R59" s="388">
        <v>2.1999999999999999E-2</v>
      </c>
      <c r="S59" s="24">
        <v>4.0000000000000002E-4</v>
      </c>
      <c r="T59" s="389">
        <v>2.5999999999999999E-3</v>
      </c>
      <c r="U59" s="23">
        <v>5.3E-3</v>
      </c>
      <c r="V59" s="390">
        <v>4.0000000000000002E-4</v>
      </c>
      <c r="W59" s="377" t="s">
        <v>239</v>
      </c>
    </row>
    <row r="60" spans="1:23" x14ac:dyDescent="0.2">
      <c r="A60" s="375" t="s">
        <v>239</v>
      </c>
      <c r="B60" s="386" t="s">
        <v>239</v>
      </c>
      <c r="C60" s="387">
        <v>58</v>
      </c>
      <c r="D60" s="388">
        <v>0.78520000000000001</v>
      </c>
      <c r="E60" s="388">
        <v>321.8297</v>
      </c>
      <c r="F60" s="388">
        <v>6.6400000000000001E-2</v>
      </c>
      <c r="G60" s="24">
        <v>1.1000000000000001E-3</v>
      </c>
      <c r="H60" s="389">
        <v>3.2000000000000002E-3</v>
      </c>
      <c r="I60" s="23">
        <v>1.44E-2</v>
      </c>
      <c r="J60" s="390">
        <v>1.1000000000000001E-3</v>
      </c>
      <c r="K60" s="377" t="s">
        <v>239</v>
      </c>
      <c r="M60" s="375" t="s">
        <v>239</v>
      </c>
      <c r="N60" s="386" t="s">
        <v>239</v>
      </c>
      <c r="O60" s="387">
        <v>58</v>
      </c>
      <c r="P60" s="388">
        <v>0.46350000000000002</v>
      </c>
      <c r="Q60" s="388">
        <v>268.03719999999998</v>
      </c>
      <c r="R60" s="388">
        <v>2.2200000000000001E-2</v>
      </c>
      <c r="S60" s="24">
        <v>4.0000000000000002E-4</v>
      </c>
      <c r="T60" s="389">
        <v>2.5999999999999999E-3</v>
      </c>
      <c r="U60" s="23">
        <v>5.4000000000000003E-3</v>
      </c>
      <c r="V60" s="390">
        <v>4.0000000000000002E-4</v>
      </c>
      <c r="W60" s="377" t="s">
        <v>239</v>
      </c>
    </row>
    <row r="61" spans="1:23" x14ac:dyDescent="0.2">
      <c r="A61" s="375" t="s">
        <v>239</v>
      </c>
      <c r="B61" s="386" t="s">
        <v>239</v>
      </c>
      <c r="C61" s="387">
        <v>59</v>
      </c>
      <c r="D61" s="388">
        <v>0.76990000000000003</v>
      </c>
      <c r="E61" s="388">
        <v>324.07400000000001</v>
      </c>
      <c r="F61" s="388">
        <v>6.6199999999999995E-2</v>
      </c>
      <c r="G61" s="24">
        <v>1.1000000000000001E-3</v>
      </c>
      <c r="H61" s="389">
        <v>3.2000000000000002E-3</v>
      </c>
      <c r="I61" s="23">
        <v>1.4500000000000001E-2</v>
      </c>
      <c r="J61" s="390">
        <v>1.1000000000000001E-3</v>
      </c>
      <c r="K61" s="377" t="s">
        <v>239</v>
      </c>
      <c r="M61" s="375" t="s">
        <v>239</v>
      </c>
      <c r="N61" s="386" t="s">
        <v>239</v>
      </c>
      <c r="O61" s="387">
        <v>59</v>
      </c>
      <c r="P61" s="388">
        <v>0.45679999999999998</v>
      </c>
      <c r="Q61" s="388">
        <v>270.77409999999998</v>
      </c>
      <c r="R61" s="388">
        <v>2.23E-2</v>
      </c>
      <c r="S61" s="24">
        <v>4.0000000000000002E-4</v>
      </c>
      <c r="T61" s="389">
        <v>2.7000000000000001E-3</v>
      </c>
      <c r="U61" s="23">
        <v>5.4999999999999997E-3</v>
      </c>
      <c r="V61" s="390">
        <v>4.0000000000000002E-4</v>
      </c>
      <c r="W61" s="377" t="s">
        <v>239</v>
      </c>
    </row>
    <row r="62" spans="1:23" x14ac:dyDescent="0.2">
      <c r="A62" s="375" t="s">
        <v>239</v>
      </c>
      <c r="B62" s="386" t="s">
        <v>239</v>
      </c>
      <c r="C62" s="387">
        <v>60</v>
      </c>
      <c r="D62" s="388">
        <v>0.75490000000000002</v>
      </c>
      <c r="E62" s="388">
        <v>326.334</v>
      </c>
      <c r="F62" s="388">
        <v>6.6000000000000003E-2</v>
      </c>
      <c r="G62" s="24">
        <v>1.1000000000000001E-3</v>
      </c>
      <c r="H62" s="389">
        <v>3.2000000000000002E-3</v>
      </c>
      <c r="I62" s="23">
        <v>1.46E-2</v>
      </c>
      <c r="J62" s="390">
        <v>1.1000000000000001E-3</v>
      </c>
      <c r="K62" s="377" t="s">
        <v>239</v>
      </c>
      <c r="M62" s="375" t="s">
        <v>239</v>
      </c>
      <c r="N62" s="386" t="s">
        <v>239</v>
      </c>
      <c r="O62" s="387">
        <v>60</v>
      </c>
      <c r="P62" s="388">
        <v>0.45019999999999999</v>
      </c>
      <c r="Q62" s="388">
        <v>273.53899999999999</v>
      </c>
      <c r="R62" s="388">
        <v>2.2499999999999999E-2</v>
      </c>
      <c r="S62" s="24">
        <v>4.0000000000000002E-4</v>
      </c>
      <c r="T62" s="389">
        <v>2.7000000000000001E-3</v>
      </c>
      <c r="U62" s="23">
        <v>5.7000000000000002E-3</v>
      </c>
      <c r="V62" s="390">
        <v>4.0000000000000002E-4</v>
      </c>
      <c r="W62" s="377" t="s">
        <v>239</v>
      </c>
    </row>
    <row r="63" spans="1:23" x14ac:dyDescent="0.2">
      <c r="A63" s="375" t="s">
        <v>239</v>
      </c>
      <c r="B63" s="386" t="s">
        <v>239</v>
      </c>
      <c r="C63" s="387">
        <v>61</v>
      </c>
      <c r="D63" s="388">
        <v>0.75190000000000001</v>
      </c>
      <c r="E63" s="388">
        <v>328.7321</v>
      </c>
      <c r="F63" s="388">
        <v>6.7199999999999996E-2</v>
      </c>
      <c r="G63" s="24">
        <v>1.1000000000000001E-3</v>
      </c>
      <c r="H63" s="389">
        <v>3.2000000000000002E-3</v>
      </c>
      <c r="I63" s="23">
        <v>1.5100000000000001E-2</v>
      </c>
      <c r="J63" s="390">
        <v>1.1000000000000001E-3</v>
      </c>
      <c r="K63" s="377" t="s">
        <v>239</v>
      </c>
      <c r="M63" s="375" t="s">
        <v>239</v>
      </c>
      <c r="N63" s="386" t="s">
        <v>239</v>
      </c>
      <c r="O63" s="387">
        <v>61</v>
      </c>
      <c r="P63" s="388">
        <v>0.44550000000000001</v>
      </c>
      <c r="Q63" s="388">
        <v>275.30180000000001</v>
      </c>
      <c r="R63" s="388">
        <v>2.2700000000000001E-2</v>
      </c>
      <c r="S63" s="24">
        <v>4.0000000000000002E-4</v>
      </c>
      <c r="T63" s="389">
        <v>2.7000000000000001E-3</v>
      </c>
      <c r="U63" s="23">
        <v>5.7999999999999996E-3</v>
      </c>
      <c r="V63" s="390">
        <v>4.0000000000000002E-4</v>
      </c>
      <c r="W63" s="377" t="s">
        <v>239</v>
      </c>
    </row>
    <row r="64" spans="1:23" x14ac:dyDescent="0.2">
      <c r="A64" s="375" t="s">
        <v>239</v>
      </c>
      <c r="B64" s="386" t="s">
        <v>239</v>
      </c>
      <c r="C64" s="387">
        <v>62</v>
      </c>
      <c r="D64" s="388">
        <v>0.749</v>
      </c>
      <c r="E64" s="388">
        <v>331.14769999999999</v>
      </c>
      <c r="F64" s="388">
        <v>6.8400000000000002E-2</v>
      </c>
      <c r="G64" s="24">
        <v>1.1000000000000001E-3</v>
      </c>
      <c r="H64" s="389">
        <v>3.3E-3</v>
      </c>
      <c r="I64" s="23">
        <v>1.5599999999999999E-2</v>
      </c>
      <c r="J64" s="390">
        <v>1.1000000000000001E-3</v>
      </c>
      <c r="K64" s="377" t="s">
        <v>239</v>
      </c>
      <c r="M64" s="375" t="s">
        <v>239</v>
      </c>
      <c r="N64" s="386" t="s">
        <v>239</v>
      </c>
      <c r="O64" s="387">
        <v>62</v>
      </c>
      <c r="P64" s="388">
        <v>0.44080000000000003</v>
      </c>
      <c r="Q64" s="388">
        <v>277.07600000000002</v>
      </c>
      <c r="R64" s="388">
        <v>2.29E-2</v>
      </c>
      <c r="S64" s="24">
        <v>4.0000000000000002E-4</v>
      </c>
      <c r="T64" s="389">
        <v>2.7000000000000001E-3</v>
      </c>
      <c r="U64" s="23">
        <v>5.8999999999999999E-3</v>
      </c>
      <c r="V64" s="390">
        <v>4.0000000000000002E-4</v>
      </c>
      <c r="W64" s="377" t="s">
        <v>239</v>
      </c>
    </row>
    <row r="65" spans="1:23" x14ac:dyDescent="0.2">
      <c r="A65" s="375" t="s">
        <v>239</v>
      </c>
      <c r="B65" s="386" t="s">
        <v>239</v>
      </c>
      <c r="C65" s="387">
        <v>63</v>
      </c>
      <c r="D65" s="388">
        <v>0.746</v>
      </c>
      <c r="E65" s="388">
        <v>333.58120000000002</v>
      </c>
      <c r="F65" s="388">
        <v>6.9699999999999998E-2</v>
      </c>
      <c r="G65" s="24">
        <v>1.1999999999999999E-3</v>
      </c>
      <c r="H65" s="389">
        <v>3.3E-3</v>
      </c>
      <c r="I65" s="23">
        <v>1.6E-2</v>
      </c>
      <c r="J65" s="390">
        <v>1.1999999999999999E-3</v>
      </c>
      <c r="K65" s="377" t="s">
        <v>239</v>
      </c>
      <c r="M65" s="375" t="s">
        <v>239</v>
      </c>
      <c r="N65" s="386" t="s">
        <v>239</v>
      </c>
      <c r="O65" s="387">
        <v>63</v>
      </c>
      <c r="P65" s="388">
        <v>0.43619999999999998</v>
      </c>
      <c r="Q65" s="388">
        <v>278.86160000000001</v>
      </c>
      <c r="R65" s="388">
        <v>2.3099999999999999E-2</v>
      </c>
      <c r="S65" s="24">
        <v>4.0000000000000002E-4</v>
      </c>
      <c r="T65" s="389">
        <v>2.8E-3</v>
      </c>
      <c r="U65" s="23">
        <v>6.1000000000000004E-3</v>
      </c>
      <c r="V65" s="390">
        <v>4.0000000000000002E-4</v>
      </c>
      <c r="W65" s="377" t="s">
        <v>239</v>
      </c>
    </row>
    <row r="66" spans="1:23" x14ac:dyDescent="0.2">
      <c r="A66" s="375" t="s">
        <v>239</v>
      </c>
      <c r="B66" s="386" t="s">
        <v>239</v>
      </c>
      <c r="C66" s="387">
        <v>64</v>
      </c>
      <c r="D66" s="388">
        <v>0.74299999999999999</v>
      </c>
      <c r="E66" s="388">
        <v>336.03250000000003</v>
      </c>
      <c r="F66" s="388">
        <v>7.0999999999999994E-2</v>
      </c>
      <c r="G66" s="24">
        <v>1.1999999999999999E-3</v>
      </c>
      <c r="H66" s="389">
        <v>3.3E-3</v>
      </c>
      <c r="I66" s="23">
        <v>1.6500000000000001E-2</v>
      </c>
      <c r="J66" s="390">
        <v>1.1999999999999999E-3</v>
      </c>
      <c r="K66" s="377" t="s">
        <v>239</v>
      </c>
      <c r="M66" s="375" t="s">
        <v>239</v>
      </c>
      <c r="N66" s="386" t="s">
        <v>239</v>
      </c>
      <c r="O66" s="387">
        <v>64</v>
      </c>
      <c r="P66" s="388">
        <v>0.43159999999999998</v>
      </c>
      <c r="Q66" s="388">
        <v>280.65870000000001</v>
      </c>
      <c r="R66" s="388">
        <v>2.3300000000000001E-2</v>
      </c>
      <c r="S66" s="24">
        <v>5.0000000000000001E-4</v>
      </c>
      <c r="T66" s="389">
        <v>2.8E-3</v>
      </c>
      <c r="U66" s="23">
        <v>6.1999999999999998E-3</v>
      </c>
      <c r="V66" s="390">
        <v>5.0000000000000001E-4</v>
      </c>
      <c r="W66" s="377" t="s">
        <v>239</v>
      </c>
    </row>
    <row r="67" spans="1:23" x14ac:dyDescent="0.2">
      <c r="A67" s="375" t="s">
        <v>239</v>
      </c>
      <c r="B67" s="386" t="s">
        <v>239</v>
      </c>
      <c r="C67" s="387">
        <v>65</v>
      </c>
      <c r="D67" s="388">
        <v>0.74009999999999998</v>
      </c>
      <c r="E67" s="388">
        <v>338.5018</v>
      </c>
      <c r="F67" s="388">
        <v>7.2300000000000003E-2</v>
      </c>
      <c r="G67" s="24">
        <v>1.1999999999999999E-3</v>
      </c>
      <c r="H67" s="389">
        <v>3.3E-3</v>
      </c>
      <c r="I67" s="23">
        <v>1.7100000000000001E-2</v>
      </c>
      <c r="J67" s="390">
        <v>1.1999999999999999E-3</v>
      </c>
      <c r="K67" s="377" t="s">
        <v>239</v>
      </c>
      <c r="M67" s="375" t="s">
        <v>239</v>
      </c>
      <c r="N67" s="386" t="s">
        <v>239</v>
      </c>
      <c r="O67" s="387">
        <v>65</v>
      </c>
      <c r="P67" s="388">
        <v>0.42709999999999998</v>
      </c>
      <c r="Q67" s="388">
        <v>282.46730000000002</v>
      </c>
      <c r="R67" s="388">
        <v>2.35E-2</v>
      </c>
      <c r="S67" s="24">
        <v>5.0000000000000001E-4</v>
      </c>
      <c r="T67" s="389">
        <v>2.8E-3</v>
      </c>
      <c r="U67" s="23">
        <v>6.4000000000000003E-3</v>
      </c>
      <c r="V67" s="390">
        <v>5.0000000000000001E-4</v>
      </c>
      <c r="W67" s="377" t="s">
        <v>239</v>
      </c>
    </row>
    <row r="68" spans="1:23" x14ac:dyDescent="0.2">
      <c r="A68" s="375" t="s">
        <v>239</v>
      </c>
      <c r="B68" s="386" t="s">
        <v>239</v>
      </c>
      <c r="C68" s="387">
        <v>66</v>
      </c>
      <c r="D68" s="388">
        <v>0.73799999999999999</v>
      </c>
      <c r="E68" s="388">
        <v>339.07780000000002</v>
      </c>
      <c r="F68" s="388">
        <v>7.2800000000000004E-2</v>
      </c>
      <c r="G68" s="24">
        <v>1.1999999999999999E-3</v>
      </c>
      <c r="H68" s="389">
        <v>3.3999999999999998E-3</v>
      </c>
      <c r="I68" s="23">
        <v>1.72E-2</v>
      </c>
      <c r="J68" s="390">
        <v>1.1999999999999999E-3</v>
      </c>
      <c r="K68" s="377" t="s">
        <v>239</v>
      </c>
      <c r="M68" s="375" t="s">
        <v>239</v>
      </c>
      <c r="N68" s="386" t="s">
        <v>239</v>
      </c>
      <c r="O68" s="387">
        <v>66</v>
      </c>
      <c r="P68" s="388">
        <v>0.42499999999999999</v>
      </c>
      <c r="Q68" s="388">
        <v>283.24509999999998</v>
      </c>
      <c r="R68" s="388">
        <v>2.3599999999999999E-2</v>
      </c>
      <c r="S68" s="24">
        <v>5.0000000000000001E-4</v>
      </c>
      <c r="T68" s="389">
        <v>2.8E-3</v>
      </c>
      <c r="U68" s="23">
        <v>6.4999999999999997E-3</v>
      </c>
      <c r="V68" s="390">
        <v>5.0000000000000001E-4</v>
      </c>
      <c r="W68" s="377" t="s">
        <v>239</v>
      </c>
    </row>
    <row r="69" spans="1:23" x14ac:dyDescent="0.2">
      <c r="A69" s="375" t="s">
        <v>239</v>
      </c>
      <c r="B69" s="386" t="s">
        <v>239</v>
      </c>
      <c r="C69" s="387">
        <v>67</v>
      </c>
      <c r="D69" s="388">
        <v>0.7359</v>
      </c>
      <c r="E69" s="388">
        <v>339.65469999999999</v>
      </c>
      <c r="F69" s="388">
        <v>7.3200000000000001E-2</v>
      </c>
      <c r="G69" s="24">
        <v>1.2999999999999999E-3</v>
      </c>
      <c r="H69" s="389">
        <v>3.3999999999999998E-3</v>
      </c>
      <c r="I69" s="23">
        <v>1.7299999999999999E-2</v>
      </c>
      <c r="J69" s="390">
        <v>1.2999999999999999E-3</v>
      </c>
      <c r="K69" s="377" t="s">
        <v>239</v>
      </c>
      <c r="M69" s="375" t="s">
        <v>239</v>
      </c>
      <c r="N69" s="386" t="s">
        <v>239</v>
      </c>
      <c r="O69" s="387">
        <v>67</v>
      </c>
      <c r="P69" s="388">
        <v>0.4229</v>
      </c>
      <c r="Q69" s="388">
        <v>284.02499999999998</v>
      </c>
      <c r="R69" s="388">
        <v>2.3699999999999999E-2</v>
      </c>
      <c r="S69" s="24">
        <v>5.0000000000000001E-4</v>
      </c>
      <c r="T69" s="389">
        <v>2.8E-3</v>
      </c>
      <c r="U69" s="23">
        <v>6.6E-3</v>
      </c>
      <c r="V69" s="390">
        <v>5.0000000000000001E-4</v>
      </c>
      <c r="W69" s="377" t="s">
        <v>239</v>
      </c>
    </row>
    <row r="70" spans="1:23" x14ac:dyDescent="0.2">
      <c r="A70" s="375" t="s">
        <v>239</v>
      </c>
      <c r="B70" s="386" t="s">
        <v>239</v>
      </c>
      <c r="C70" s="387">
        <v>68</v>
      </c>
      <c r="D70" s="388">
        <v>0.73380000000000001</v>
      </c>
      <c r="E70" s="388">
        <v>340.23259999999999</v>
      </c>
      <c r="F70" s="388">
        <v>7.3700000000000002E-2</v>
      </c>
      <c r="G70" s="24">
        <v>1.2999999999999999E-3</v>
      </c>
      <c r="H70" s="389">
        <v>3.3999999999999998E-3</v>
      </c>
      <c r="I70" s="23">
        <v>1.7500000000000002E-2</v>
      </c>
      <c r="J70" s="390">
        <v>1.2999999999999999E-3</v>
      </c>
      <c r="K70" s="377" t="s">
        <v>239</v>
      </c>
      <c r="M70" s="375" t="s">
        <v>239</v>
      </c>
      <c r="N70" s="386" t="s">
        <v>239</v>
      </c>
      <c r="O70" s="387">
        <v>68</v>
      </c>
      <c r="P70" s="388">
        <v>0.42080000000000001</v>
      </c>
      <c r="Q70" s="388">
        <v>284.80700000000002</v>
      </c>
      <c r="R70" s="388">
        <v>2.3800000000000002E-2</v>
      </c>
      <c r="S70" s="24">
        <v>5.0000000000000001E-4</v>
      </c>
      <c r="T70" s="389">
        <v>2.8E-3</v>
      </c>
      <c r="U70" s="23">
        <v>6.7000000000000002E-3</v>
      </c>
      <c r="V70" s="390">
        <v>5.0000000000000001E-4</v>
      </c>
      <c r="W70" s="377" t="s">
        <v>239</v>
      </c>
    </row>
    <row r="71" spans="1:23" x14ac:dyDescent="0.2">
      <c r="A71" s="375" t="s">
        <v>239</v>
      </c>
      <c r="B71" s="386" t="s">
        <v>239</v>
      </c>
      <c r="C71" s="387">
        <v>69</v>
      </c>
      <c r="D71" s="388">
        <v>0.73180000000000001</v>
      </c>
      <c r="E71" s="388">
        <v>340.81150000000002</v>
      </c>
      <c r="F71" s="388">
        <v>7.4200000000000002E-2</v>
      </c>
      <c r="G71" s="24">
        <v>1.2999999999999999E-3</v>
      </c>
      <c r="H71" s="389">
        <v>3.3999999999999998E-3</v>
      </c>
      <c r="I71" s="23">
        <v>1.7600000000000001E-2</v>
      </c>
      <c r="J71" s="390">
        <v>1.2999999999999999E-3</v>
      </c>
      <c r="K71" s="377" t="s">
        <v>239</v>
      </c>
      <c r="M71" s="375" t="s">
        <v>239</v>
      </c>
      <c r="N71" s="386" t="s">
        <v>239</v>
      </c>
      <c r="O71" s="387">
        <v>69</v>
      </c>
      <c r="P71" s="388">
        <v>0.41870000000000002</v>
      </c>
      <c r="Q71" s="388">
        <v>285.59120000000001</v>
      </c>
      <c r="R71" s="388">
        <v>2.3900000000000001E-2</v>
      </c>
      <c r="S71" s="24">
        <v>5.0000000000000001E-4</v>
      </c>
      <c r="T71" s="389">
        <v>2.8E-3</v>
      </c>
      <c r="U71" s="23">
        <v>6.7999999999999996E-3</v>
      </c>
      <c r="V71" s="390">
        <v>5.0000000000000001E-4</v>
      </c>
      <c r="W71" s="377" t="s">
        <v>239</v>
      </c>
    </row>
    <row r="72" spans="1:23" x14ac:dyDescent="0.2">
      <c r="A72" s="375" t="s">
        <v>239</v>
      </c>
      <c r="B72" s="386" t="s">
        <v>239</v>
      </c>
      <c r="C72" s="387">
        <v>70</v>
      </c>
      <c r="D72" s="388">
        <v>0.72970000000000002</v>
      </c>
      <c r="E72" s="388">
        <v>341.39139999999998</v>
      </c>
      <c r="F72" s="388">
        <v>7.46E-2</v>
      </c>
      <c r="G72" s="24">
        <v>1.2999999999999999E-3</v>
      </c>
      <c r="H72" s="389">
        <v>3.3999999999999998E-3</v>
      </c>
      <c r="I72" s="23">
        <v>1.78E-2</v>
      </c>
      <c r="J72" s="390">
        <v>1.2999999999999999E-3</v>
      </c>
      <c r="K72" s="377" t="s">
        <v>239</v>
      </c>
      <c r="M72" s="375" t="s">
        <v>239</v>
      </c>
      <c r="N72" s="386" t="s">
        <v>239</v>
      </c>
      <c r="O72" s="387">
        <v>70</v>
      </c>
      <c r="P72" s="388">
        <v>0.41660000000000003</v>
      </c>
      <c r="Q72" s="388">
        <v>286.3775</v>
      </c>
      <c r="R72" s="388">
        <v>2.41E-2</v>
      </c>
      <c r="S72" s="24">
        <v>5.0000000000000001E-4</v>
      </c>
      <c r="T72" s="389">
        <v>2.8E-3</v>
      </c>
      <c r="U72" s="23">
        <v>6.8999999999999999E-3</v>
      </c>
      <c r="V72" s="390">
        <v>5.0000000000000001E-4</v>
      </c>
      <c r="W72" s="377" t="s">
        <v>239</v>
      </c>
    </row>
    <row r="73" spans="1:23" x14ac:dyDescent="0.2">
      <c r="A73" s="375" t="s">
        <v>239</v>
      </c>
      <c r="B73" s="386" t="s">
        <v>239</v>
      </c>
      <c r="C73" s="387" t="s">
        <v>239</v>
      </c>
      <c r="D73" s="388" t="s">
        <v>239</v>
      </c>
      <c r="E73" s="388" t="s">
        <v>239</v>
      </c>
      <c r="F73" s="388" t="s">
        <v>239</v>
      </c>
      <c r="G73" s="24" t="s">
        <v>239</v>
      </c>
      <c r="H73" s="389" t="s">
        <v>239</v>
      </c>
      <c r="I73" s="23" t="s">
        <v>239</v>
      </c>
      <c r="J73" s="390" t="s">
        <v>239</v>
      </c>
      <c r="K73" s="377" t="s">
        <v>239</v>
      </c>
      <c r="M73" s="375" t="s">
        <v>239</v>
      </c>
      <c r="N73" s="386" t="s">
        <v>239</v>
      </c>
      <c r="O73" s="387" t="s">
        <v>239</v>
      </c>
      <c r="P73" s="388" t="s">
        <v>239</v>
      </c>
      <c r="Q73" s="388" t="s">
        <v>239</v>
      </c>
      <c r="R73" s="388" t="s">
        <v>239</v>
      </c>
      <c r="S73" s="24" t="s">
        <v>239</v>
      </c>
      <c r="T73" s="389" t="s">
        <v>239</v>
      </c>
      <c r="U73" s="23" t="s">
        <v>239</v>
      </c>
      <c r="V73" s="390" t="s">
        <v>239</v>
      </c>
      <c r="W73" s="377" t="s">
        <v>239</v>
      </c>
    </row>
    <row r="74" spans="1:23" x14ac:dyDescent="0.2">
      <c r="A74" s="375" t="s">
        <v>239</v>
      </c>
      <c r="B74" s="386" t="s">
        <v>218</v>
      </c>
      <c r="C74" s="387">
        <v>0</v>
      </c>
      <c r="D74" s="388">
        <v>1.3149999999999999</v>
      </c>
      <c r="E74" s="388">
        <v>11.029400000000001</v>
      </c>
      <c r="F74" s="388">
        <v>1.0065</v>
      </c>
      <c r="G74" s="24">
        <v>1E-4</v>
      </c>
      <c r="H74" s="389">
        <v>1E-4</v>
      </c>
      <c r="I74" s="23">
        <v>7.0300000000000001E-2</v>
      </c>
      <c r="J74" s="390">
        <v>1E-4</v>
      </c>
      <c r="K74" s="377" t="s">
        <v>239</v>
      </c>
      <c r="M74" s="375" t="s">
        <v>239</v>
      </c>
      <c r="N74" s="386" t="s">
        <v>218</v>
      </c>
      <c r="O74" s="387">
        <v>0</v>
      </c>
      <c r="P74" s="388">
        <v>0.66590000000000005</v>
      </c>
      <c r="Q74" s="388">
        <v>5.1022999999999996</v>
      </c>
      <c r="R74" s="388">
        <v>0.76559999999999995</v>
      </c>
      <c r="S74" s="24">
        <v>0</v>
      </c>
      <c r="T74" s="389">
        <v>1E-4</v>
      </c>
      <c r="U74" s="23">
        <v>2.0299999999999999E-2</v>
      </c>
      <c r="V74" s="390">
        <v>0</v>
      </c>
      <c r="W74" s="377" t="s">
        <v>239</v>
      </c>
    </row>
    <row r="75" spans="1:23" x14ac:dyDescent="0.2">
      <c r="A75" s="375" t="s">
        <v>239</v>
      </c>
      <c r="B75" s="386" t="s">
        <v>239</v>
      </c>
      <c r="C75" s="387">
        <v>5</v>
      </c>
      <c r="D75" s="388">
        <v>2.3136000000000001</v>
      </c>
      <c r="E75" s="388">
        <v>1696.8925999999999</v>
      </c>
      <c r="F75" s="388">
        <v>2.1959</v>
      </c>
      <c r="G75" s="24">
        <v>4.5999999999999999E-2</v>
      </c>
      <c r="H75" s="389">
        <v>1.6400000000000001E-2</v>
      </c>
      <c r="I75" s="23">
        <v>0.30649999999999999</v>
      </c>
      <c r="J75" s="390">
        <v>4.5999999999999999E-2</v>
      </c>
      <c r="K75" s="377" t="s">
        <v>239</v>
      </c>
      <c r="M75" s="375" t="s">
        <v>239</v>
      </c>
      <c r="N75" s="386" t="s">
        <v>239</v>
      </c>
      <c r="O75" s="387">
        <v>5</v>
      </c>
      <c r="P75" s="388">
        <v>0.65159999999999996</v>
      </c>
      <c r="Q75" s="388">
        <v>865.16229999999996</v>
      </c>
      <c r="R75" s="388">
        <v>0.42770000000000002</v>
      </c>
      <c r="S75" s="24">
        <v>9.4999999999999998E-3</v>
      </c>
      <c r="T75" s="389">
        <v>8.3000000000000001E-3</v>
      </c>
      <c r="U75" s="23">
        <v>4.7800000000000002E-2</v>
      </c>
      <c r="V75" s="390">
        <v>9.4999999999999998E-3</v>
      </c>
      <c r="W75" s="377" t="s">
        <v>239</v>
      </c>
    </row>
    <row r="76" spans="1:23" x14ac:dyDescent="0.2">
      <c r="A76" s="375" t="s">
        <v>239</v>
      </c>
      <c r="B76" s="386" t="s">
        <v>239</v>
      </c>
      <c r="C76" s="387">
        <v>6</v>
      </c>
      <c r="D76" s="388">
        <v>2.2435999999999998</v>
      </c>
      <c r="E76" s="388">
        <v>1668.3322000000001</v>
      </c>
      <c r="F76" s="388">
        <v>2.2233000000000001</v>
      </c>
      <c r="G76" s="24">
        <v>4.4299999999999999E-2</v>
      </c>
      <c r="H76" s="389">
        <v>1.61E-2</v>
      </c>
      <c r="I76" s="23">
        <v>0.28810000000000002</v>
      </c>
      <c r="J76" s="390">
        <v>4.4299999999999999E-2</v>
      </c>
      <c r="K76" s="377" t="s">
        <v>239</v>
      </c>
      <c r="M76" s="375" t="s">
        <v>239</v>
      </c>
      <c r="N76" s="386" t="s">
        <v>239</v>
      </c>
      <c r="O76" s="387">
        <v>6</v>
      </c>
      <c r="P76" s="388">
        <v>0.66249999999999998</v>
      </c>
      <c r="Q76" s="388">
        <v>866.04849999999999</v>
      </c>
      <c r="R76" s="388">
        <v>0.50160000000000005</v>
      </c>
      <c r="S76" s="24">
        <v>9.1999999999999998E-3</v>
      </c>
      <c r="T76" s="389">
        <v>8.3000000000000001E-3</v>
      </c>
      <c r="U76" s="23">
        <v>4.65E-2</v>
      </c>
      <c r="V76" s="390">
        <v>9.1999999999999998E-3</v>
      </c>
      <c r="W76" s="377" t="s">
        <v>239</v>
      </c>
    </row>
    <row r="77" spans="1:23" x14ac:dyDescent="0.2">
      <c r="A77" s="375" t="s">
        <v>239</v>
      </c>
      <c r="B77" s="386" t="s">
        <v>239</v>
      </c>
      <c r="C77" s="387">
        <v>7</v>
      </c>
      <c r="D77" s="388">
        <v>2.1757</v>
      </c>
      <c r="E77" s="388">
        <v>1640.2524000000001</v>
      </c>
      <c r="F77" s="388">
        <v>2.2511000000000001</v>
      </c>
      <c r="G77" s="24">
        <v>4.2599999999999999E-2</v>
      </c>
      <c r="H77" s="389">
        <v>1.5699999999999999E-2</v>
      </c>
      <c r="I77" s="23">
        <v>0.27079999999999999</v>
      </c>
      <c r="J77" s="390">
        <v>4.2599999999999999E-2</v>
      </c>
      <c r="K77" s="377" t="s">
        <v>239</v>
      </c>
      <c r="M77" s="375" t="s">
        <v>239</v>
      </c>
      <c r="N77" s="386" t="s">
        <v>239</v>
      </c>
      <c r="O77" s="387">
        <v>7</v>
      </c>
      <c r="P77" s="388">
        <v>0.67369999999999997</v>
      </c>
      <c r="Q77" s="388">
        <v>866.9357</v>
      </c>
      <c r="R77" s="388">
        <v>0.58819999999999995</v>
      </c>
      <c r="S77" s="24">
        <v>8.9999999999999993E-3</v>
      </c>
      <c r="T77" s="389">
        <v>8.2000000000000007E-3</v>
      </c>
      <c r="U77" s="23">
        <v>4.53E-2</v>
      </c>
      <c r="V77" s="390">
        <v>8.9999999999999993E-3</v>
      </c>
      <c r="W77" s="377" t="s">
        <v>239</v>
      </c>
    </row>
    <row r="78" spans="1:23" x14ac:dyDescent="0.2">
      <c r="A78" s="375" t="s">
        <v>239</v>
      </c>
      <c r="B78" s="386" t="s">
        <v>239</v>
      </c>
      <c r="C78" s="387">
        <v>8</v>
      </c>
      <c r="D78" s="388">
        <v>2.1097999999999999</v>
      </c>
      <c r="E78" s="388">
        <v>1612.6452999999999</v>
      </c>
      <c r="F78" s="388">
        <v>2.2791999999999999</v>
      </c>
      <c r="G78" s="24">
        <v>4.1000000000000002E-2</v>
      </c>
      <c r="H78" s="389">
        <v>1.54E-2</v>
      </c>
      <c r="I78" s="23">
        <v>0.25459999999999999</v>
      </c>
      <c r="J78" s="390">
        <v>4.1000000000000002E-2</v>
      </c>
      <c r="K78" s="377" t="s">
        <v>239</v>
      </c>
      <c r="M78" s="375" t="s">
        <v>239</v>
      </c>
      <c r="N78" s="386" t="s">
        <v>239</v>
      </c>
      <c r="O78" s="387">
        <v>8</v>
      </c>
      <c r="P78" s="388">
        <v>0.68500000000000005</v>
      </c>
      <c r="Q78" s="388">
        <v>867.82380000000001</v>
      </c>
      <c r="R78" s="388">
        <v>0.68969999999999998</v>
      </c>
      <c r="S78" s="24">
        <v>8.6999999999999994E-3</v>
      </c>
      <c r="T78" s="389">
        <v>8.2000000000000007E-3</v>
      </c>
      <c r="U78" s="23">
        <v>4.41E-2</v>
      </c>
      <c r="V78" s="390">
        <v>8.6999999999999994E-3</v>
      </c>
      <c r="W78" s="377" t="s">
        <v>239</v>
      </c>
    </row>
    <row r="79" spans="1:23" x14ac:dyDescent="0.2">
      <c r="A79" s="375" t="s">
        <v>239</v>
      </c>
      <c r="B79" s="386" t="s">
        <v>239</v>
      </c>
      <c r="C79" s="387">
        <v>9</v>
      </c>
      <c r="D79" s="388">
        <v>2.0459999999999998</v>
      </c>
      <c r="E79" s="388">
        <v>1585.5029</v>
      </c>
      <c r="F79" s="388">
        <v>2.3075999999999999</v>
      </c>
      <c r="G79" s="24">
        <v>3.95E-2</v>
      </c>
      <c r="H79" s="389">
        <v>1.5100000000000001E-2</v>
      </c>
      <c r="I79" s="23">
        <v>0.23930000000000001</v>
      </c>
      <c r="J79" s="390">
        <v>3.95E-2</v>
      </c>
      <c r="K79" s="377" t="s">
        <v>239</v>
      </c>
      <c r="M79" s="375" t="s">
        <v>239</v>
      </c>
      <c r="N79" s="386" t="s">
        <v>239</v>
      </c>
      <c r="O79" s="387">
        <v>9</v>
      </c>
      <c r="P79" s="388">
        <v>0.6966</v>
      </c>
      <c r="Q79" s="388">
        <v>868.71280000000002</v>
      </c>
      <c r="R79" s="388">
        <v>0.80879999999999996</v>
      </c>
      <c r="S79" s="24">
        <v>8.3999999999999995E-3</v>
      </c>
      <c r="T79" s="389">
        <v>8.2000000000000007E-3</v>
      </c>
      <c r="U79" s="23">
        <v>4.2999999999999997E-2</v>
      </c>
      <c r="V79" s="390">
        <v>8.3999999999999995E-3</v>
      </c>
      <c r="W79" s="377" t="s">
        <v>239</v>
      </c>
    </row>
    <row r="80" spans="1:23" x14ac:dyDescent="0.2">
      <c r="A80" s="375" t="s">
        <v>239</v>
      </c>
      <c r="B80" s="386" t="s">
        <v>239</v>
      </c>
      <c r="C80" s="387">
        <v>10</v>
      </c>
      <c r="D80" s="388">
        <v>1.9841</v>
      </c>
      <c r="E80" s="388">
        <v>1558.8172</v>
      </c>
      <c r="F80" s="388">
        <v>2.3365</v>
      </c>
      <c r="G80" s="24">
        <v>3.7999999999999999E-2</v>
      </c>
      <c r="H80" s="389">
        <v>1.4800000000000001E-2</v>
      </c>
      <c r="I80" s="23">
        <v>0.22489999999999999</v>
      </c>
      <c r="J80" s="390">
        <v>3.7999999999999999E-2</v>
      </c>
      <c r="K80" s="377" t="s">
        <v>239</v>
      </c>
      <c r="M80" s="375" t="s">
        <v>239</v>
      </c>
      <c r="N80" s="386" t="s">
        <v>239</v>
      </c>
      <c r="O80" s="387">
        <v>10</v>
      </c>
      <c r="P80" s="388">
        <v>0.70830000000000004</v>
      </c>
      <c r="Q80" s="388">
        <v>869.60270000000003</v>
      </c>
      <c r="R80" s="388">
        <v>0.94840000000000002</v>
      </c>
      <c r="S80" s="24">
        <v>8.2000000000000007E-3</v>
      </c>
      <c r="T80" s="389">
        <v>8.0999999999999996E-3</v>
      </c>
      <c r="U80" s="23">
        <v>4.19E-2</v>
      </c>
      <c r="V80" s="390">
        <v>8.2000000000000007E-3</v>
      </c>
      <c r="W80" s="377" t="s">
        <v>239</v>
      </c>
    </row>
    <row r="81" spans="1:23" x14ac:dyDescent="0.2">
      <c r="A81" s="375" t="s">
        <v>239</v>
      </c>
      <c r="B81" s="386" t="s">
        <v>239</v>
      </c>
      <c r="C81" s="387">
        <v>11</v>
      </c>
      <c r="D81" s="388">
        <v>1.8688</v>
      </c>
      <c r="E81" s="388">
        <v>1490.2475999999999</v>
      </c>
      <c r="F81" s="388">
        <v>2.1839</v>
      </c>
      <c r="G81" s="24">
        <v>3.5999999999999997E-2</v>
      </c>
      <c r="H81" s="389">
        <v>1.41E-2</v>
      </c>
      <c r="I81" s="23">
        <v>0.21110000000000001</v>
      </c>
      <c r="J81" s="390">
        <v>3.5999999999999997E-2</v>
      </c>
      <c r="K81" s="377" t="s">
        <v>239</v>
      </c>
      <c r="M81" s="375" t="s">
        <v>239</v>
      </c>
      <c r="N81" s="386" t="s">
        <v>239</v>
      </c>
      <c r="O81" s="387">
        <v>11</v>
      </c>
      <c r="P81" s="388">
        <v>0.66</v>
      </c>
      <c r="Q81" s="388">
        <v>836.53880000000004</v>
      </c>
      <c r="R81" s="388">
        <v>0.88519999999999999</v>
      </c>
      <c r="S81" s="24">
        <v>7.9000000000000008E-3</v>
      </c>
      <c r="T81" s="389">
        <v>7.7999999999999996E-3</v>
      </c>
      <c r="U81" s="23">
        <v>3.9800000000000002E-2</v>
      </c>
      <c r="V81" s="390">
        <v>7.9000000000000008E-3</v>
      </c>
      <c r="W81" s="377" t="s">
        <v>239</v>
      </c>
    </row>
    <row r="82" spans="1:23" x14ac:dyDescent="0.2">
      <c r="A82" s="375" t="s">
        <v>239</v>
      </c>
      <c r="B82" s="386" t="s">
        <v>239</v>
      </c>
      <c r="C82" s="387">
        <v>12</v>
      </c>
      <c r="D82" s="388">
        <v>1.7601</v>
      </c>
      <c r="E82" s="388">
        <v>1424.6943000000001</v>
      </c>
      <c r="F82" s="388">
        <v>2.0413000000000001</v>
      </c>
      <c r="G82" s="24">
        <v>3.4099999999999998E-2</v>
      </c>
      <c r="H82" s="389">
        <v>1.35E-2</v>
      </c>
      <c r="I82" s="23">
        <v>0.1981</v>
      </c>
      <c r="J82" s="390">
        <v>3.4099999999999998E-2</v>
      </c>
      <c r="K82" s="377" t="s">
        <v>239</v>
      </c>
      <c r="M82" s="375" t="s">
        <v>239</v>
      </c>
      <c r="N82" s="386" t="s">
        <v>239</v>
      </c>
      <c r="O82" s="387">
        <v>12</v>
      </c>
      <c r="P82" s="388">
        <v>0.61499999999999999</v>
      </c>
      <c r="Q82" s="388">
        <v>804.73209999999995</v>
      </c>
      <c r="R82" s="388">
        <v>0.82609999999999995</v>
      </c>
      <c r="S82" s="24">
        <v>7.7000000000000002E-3</v>
      </c>
      <c r="T82" s="389">
        <v>7.4999999999999997E-3</v>
      </c>
      <c r="U82" s="23">
        <v>3.78E-2</v>
      </c>
      <c r="V82" s="390">
        <v>7.7000000000000002E-3</v>
      </c>
      <c r="W82" s="377" t="s">
        <v>239</v>
      </c>
    </row>
    <row r="83" spans="1:23" x14ac:dyDescent="0.2">
      <c r="A83" s="375" t="s">
        <v>239</v>
      </c>
      <c r="B83" s="386" t="s">
        <v>239</v>
      </c>
      <c r="C83" s="387">
        <v>13</v>
      </c>
      <c r="D83" s="388">
        <v>1.6577999999999999</v>
      </c>
      <c r="E83" s="388">
        <v>1362.0246</v>
      </c>
      <c r="F83" s="388">
        <v>1.9079999999999999</v>
      </c>
      <c r="G83" s="24">
        <v>3.2300000000000002E-2</v>
      </c>
      <c r="H83" s="389">
        <v>1.29E-2</v>
      </c>
      <c r="I83" s="23">
        <v>0.186</v>
      </c>
      <c r="J83" s="390">
        <v>3.2300000000000002E-2</v>
      </c>
      <c r="K83" s="377" t="s">
        <v>239</v>
      </c>
      <c r="M83" s="375" t="s">
        <v>239</v>
      </c>
      <c r="N83" s="386" t="s">
        <v>239</v>
      </c>
      <c r="O83" s="387">
        <v>13</v>
      </c>
      <c r="P83" s="388">
        <v>0.57310000000000005</v>
      </c>
      <c r="Q83" s="388">
        <v>774.13480000000004</v>
      </c>
      <c r="R83" s="388">
        <v>0.77100000000000002</v>
      </c>
      <c r="S83" s="24">
        <v>7.4000000000000003E-3</v>
      </c>
      <c r="T83" s="389">
        <v>7.3000000000000001E-3</v>
      </c>
      <c r="U83" s="23">
        <v>3.5900000000000001E-2</v>
      </c>
      <c r="V83" s="390">
        <v>7.4000000000000003E-3</v>
      </c>
      <c r="W83" s="377" t="s">
        <v>239</v>
      </c>
    </row>
    <row r="84" spans="1:23" x14ac:dyDescent="0.2">
      <c r="A84" s="375" t="s">
        <v>239</v>
      </c>
      <c r="B84" s="386" t="s">
        <v>239</v>
      </c>
      <c r="C84" s="387">
        <v>14</v>
      </c>
      <c r="D84" s="388">
        <v>1.5615000000000001</v>
      </c>
      <c r="E84" s="388">
        <v>1302.1116</v>
      </c>
      <c r="F84" s="388">
        <v>1.7834000000000001</v>
      </c>
      <c r="G84" s="24">
        <v>3.0599999999999999E-2</v>
      </c>
      <c r="H84" s="389">
        <v>1.24E-2</v>
      </c>
      <c r="I84" s="23">
        <v>0.17460000000000001</v>
      </c>
      <c r="J84" s="390">
        <v>3.0599999999999999E-2</v>
      </c>
      <c r="K84" s="377" t="s">
        <v>239</v>
      </c>
      <c r="M84" s="375" t="s">
        <v>239</v>
      </c>
      <c r="N84" s="386" t="s">
        <v>239</v>
      </c>
      <c r="O84" s="387">
        <v>14</v>
      </c>
      <c r="P84" s="388">
        <v>0.53400000000000003</v>
      </c>
      <c r="Q84" s="388">
        <v>744.70079999999996</v>
      </c>
      <c r="R84" s="388">
        <v>0.71960000000000002</v>
      </c>
      <c r="S84" s="24">
        <v>7.1999999999999998E-3</v>
      </c>
      <c r="T84" s="389">
        <v>7.0000000000000001E-3</v>
      </c>
      <c r="U84" s="23">
        <v>3.4099999999999998E-2</v>
      </c>
      <c r="V84" s="390">
        <v>7.1999999999999998E-3</v>
      </c>
      <c r="W84" s="377" t="s">
        <v>239</v>
      </c>
    </row>
    <row r="85" spans="1:23" x14ac:dyDescent="0.2">
      <c r="A85" s="375" t="s">
        <v>239</v>
      </c>
      <c r="B85" s="386" t="s">
        <v>239</v>
      </c>
      <c r="C85" s="387">
        <v>15</v>
      </c>
      <c r="D85" s="388">
        <v>1.4706999999999999</v>
      </c>
      <c r="E85" s="388">
        <v>1244.8340000000001</v>
      </c>
      <c r="F85" s="388">
        <v>1.667</v>
      </c>
      <c r="G85" s="24">
        <v>2.9000000000000001E-2</v>
      </c>
      <c r="H85" s="389">
        <v>1.18E-2</v>
      </c>
      <c r="I85" s="23">
        <v>0.16389999999999999</v>
      </c>
      <c r="J85" s="390">
        <v>2.9000000000000001E-2</v>
      </c>
      <c r="K85" s="377" t="s">
        <v>239</v>
      </c>
      <c r="M85" s="375" t="s">
        <v>239</v>
      </c>
      <c r="N85" s="386" t="s">
        <v>239</v>
      </c>
      <c r="O85" s="387">
        <v>15</v>
      </c>
      <c r="P85" s="388">
        <v>0.49759999999999999</v>
      </c>
      <c r="Q85" s="388">
        <v>716.38599999999997</v>
      </c>
      <c r="R85" s="388">
        <v>0.67159999999999997</v>
      </c>
      <c r="S85" s="24">
        <v>7.0000000000000001E-3</v>
      </c>
      <c r="T85" s="389">
        <v>6.7000000000000002E-3</v>
      </c>
      <c r="U85" s="23">
        <v>3.2399999999999998E-2</v>
      </c>
      <c r="V85" s="390">
        <v>7.0000000000000001E-3</v>
      </c>
      <c r="W85" s="377" t="s">
        <v>239</v>
      </c>
    </row>
    <row r="86" spans="1:23" x14ac:dyDescent="0.2">
      <c r="A86" s="375" t="s">
        <v>239</v>
      </c>
      <c r="B86" s="386" t="s">
        <v>239</v>
      </c>
      <c r="C86" s="387">
        <v>16</v>
      </c>
      <c r="D86" s="388">
        <v>1.3769</v>
      </c>
      <c r="E86" s="388">
        <v>1231.6228000000001</v>
      </c>
      <c r="F86" s="388">
        <v>1.6476999999999999</v>
      </c>
      <c r="G86" s="24">
        <v>2.69E-2</v>
      </c>
      <c r="H86" s="389">
        <v>1.17E-2</v>
      </c>
      <c r="I86" s="23">
        <v>0.1517</v>
      </c>
      <c r="J86" s="390">
        <v>2.69E-2</v>
      </c>
      <c r="K86" s="377" t="s">
        <v>239</v>
      </c>
      <c r="M86" s="375" t="s">
        <v>239</v>
      </c>
      <c r="N86" s="386" t="s">
        <v>239</v>
      </c>
      <c r="O86" s="387">
        <v>16</v>
      </c>
      <c r="P86" s="388">
        <v>0.45839999999999997</v>
      </c>
      <c r="Q86" s="388">
        <v>707.56700000000001</v>
      </c>
      <c r="R86" s="388">
        <v>0.67120000000000002</v>
      </c>
      <c r="S86" s="24">
        <v>6.6E-3</v>
      </c>
      <c r="T86" s="389">
        <v>6.7000000000000002E-3</v>
      </c>
      <c r="U86" s="23">
        <v>3.0300000000000001E-2</v>
      </c>
      <c r="V86" s="390">
        <v>6.6E-3</v>
      </c>
      <c r="W86" s="377" t="s">
        <v>239</v>
      </c>
    </row>
    <row r="87" spans="1:23" x14ac:dyDescent="0.2">
      <c r="A87" s="375" t="s">
        <v>239</v>
      </c>
      <c r="B87" s="386" t="s">
        <v>239</v>
      </c>
      <c r="C87" s="387">
        <v>17</v>
      </c>
      <c r="D87" s="388">
        <v>1.2889999999999999</v>
      </c>
      <c r="E87" s="388">
        <v>1218.5517</v>
      </c>
      <c r="F87" s="388">
        <v>1.6286</v>
      </c>
      <c r="G87" s="24">
        <v>2.5100000000000001E-2</v>
      </c>
      <c r="H87" s="389">
        <v>1.1599999999999999E-2</v>
      </c>
      <c r="I87" s="23">
        <v>0.1404</v>
      </c>
      <c r="J87" s="390">
        <v>2.5100000000000001E-2</v>
      </c>
      <c r="K87" s="377" t="s">
        <v>239</v>
      </c>
      <c r="M87" s="375" t="s">
        <v>239</v>
      </c>
      <c r="N87" s="386" t="s">
        <v>239</v>
      </c>
      <c r="O87" s="387">
        <v>17</v>
      </c>
      <c r="P87" s="388">
        <v>0.42220000000000002</v>
      </c>
      <c r="Q87" s="388">
        <v>698.85659999999996</v>
      </c>
      <c r="R87" s="388">
        <v>0.67090000000000005</v>
      </c>
      <c r="S87" s="24">
        <v>6.1999999999999998E-3</v>
      </c>
      <c r="T87" s="389">
        <v>6.6E-3</v>
      </c>
      <c r="U87" s="23">
        <v>2.8299999999999999E-2</v>
      </c>
      <c r="V87" s="390">
        <v>6.1999999999999998E-3</v>
      </c>
      <c r="W87" s="377" t="s">
        <v>239</v>
      </c>
    </row>
    <row r="88" spans="1:23" x14ac:dyDescent="0.2">
      <c r="A88" s="375" t="s">
        <v>239</v>
      </c>
      <c r="B88" s="386" t="s">
        <v>239</v>
      </c>
      <c r="C88" s="387">
        <v>18</v>
      </c>
      <c r="D88" s="388">
        <v>1.2067000000000001</v>
      </c>
      <c r="E88" s="388">
        <v>1205.6194</v>
      </c>
      <c r="F88" s="388">
        <v>1.6096999999999999</v>
      </c>
      <c r="G88" s="24">
        <v>2.3300000000000001E-2</v>
      </c>
      <c r="H88" s="389">
        <v>1.15E-2</v>
      </c>
      <c r="I88" s="23">
        <v>0.13</v>
      </c>
      <c r="J88" s="390">
        <v>2.3300000000000001E-2</v>
      </c>
      <c r="K88" s="377" t="s">
        <v>239</v>
      </c>
      <c r="M88" s="375" t="s">
        <v>239</v>
      </c>
      <c r="N88" s="386" t="s">
        <v>239</v>
      </c>
      <c r="O88" s="387">
        <v>18</v>
      </c>
      <c r="P88" s="388">
        <v>0.38900000000000001</v>
      </c>
      <c r="Q88" s="388">
        <v>690.25340000000006</v>
      </c>
      <c r="R88" s="388">
        <v>0.67059999999999997</v>
      </c>
      <c r="S88" s="24">
        <v>5.7999999999999996E-3</v>
      </c>
      <c r="T88" s="389">
        <v>6.4999999999999997E-3</v>
      </c>
      <c r="U88" s="23">
        <v>2.6499999999999999E-2</v>
      </c>
      <c r="V88" s="390">
        <v>5.7999999999999996E-3</v>
      </c>
      <c r="W88" s="377" t="s">
        <v>239</v>
      </c>
    </row>
    <row r="89" spans="1:23" x14ac:dyDescent="0.2">
      <c r="A89" s="375" t="s">
        <v>239</v>
      </c>
      <c r="B89" s="386" t="s">
        <v>239</v>
      </c>
      <c r="C89" s="387">
        <v>19</v>
      </c>
      <c r="D89" s="388">
        <v>1.1296999999999999</v>
      </c>
      <c r="E89" s="388">
        <v>1192.8244</v>
      </c>
      <c r="F89" s="388">
        <v>1.591</v>
      </c>
      <c r="G89" s="24">
        <v>2.1700000000000001E-2</v>
      </c>
      <c r="H89" s="389">
        <v>1.1299999999999999E-2</v>
      </c>
      <c r="I89" s="23">
        <v>0.12039999999999999</v>
      </c>
      <c r="J89" s="390">
        <v>2.1700000000000001E-2</v>
      </c>
      <c r="K89" s="377" t="s">
        <v>239</v>
      </c>
      <c r="M89" s="375" t="s">
        <v>239</v>
      </c>
      <c r="N89" s="386" t="s">
        <v>239</v>
      </c>
      <c r="O89" s="387">
        <v>19</v>
      </c>
      <c r="P89" s="388">
        <v>0.35830000000000001</v>
      </c>
      <c r="Q89" s="388">
        <v>681.75620000000004</v>
      </c>
      <c r="R89" s="388">
        <v>0.67030000000000001</v>
      </c>
      <c r="S89" s="24">
        <v>5.4999999999999997E-3</v>
      </c>
      <c r="T89" s="389">
        <v>6.4000000000000003E-3</v>
      </c>
      <c r="U89" s="23">
        <v>2.47E-2</v>
      </c>
      <c r="V89" s="390">
        <v>5.4999999999999997E-3</v>
      </c>
      <c r="W89" s="377" t="s">
        <v>239</v>
      </c>
    </row>
    <row r="90" spans="1:23" x14ac:dyDescent="0.2">
      <c r="A90" s="375" t="s">
        <v>239</v>
      </c>
      <c r="B90" s="386" t="s">
        <v>239</v>
      </c>
      <c r="C90" s="387">
        <v>20</v>
      </c>
      <c r="D90" s="388">
        <v>1.0576000000000001</v>
      </c>
      <c r="E90" s="388">
        <v>1180.1650999999999</v>
      </c>
      <c r="F90" s="388">
        <v>1.5726</v>
      </c>
      <c r="G90" s="24">
        <v>2.01E-2</v>
      </c>
      <c r="H90" s="389">
        <v>1.12E-2</v>
      </c>
      <c r="I90" s="23">
        <v>0.1114</v>
      </c>
      <c r="J90" s="390">
        <v>2.01E-2</v>
      </c>
      <c r="K90" s="377" t="s">
        <v>239</v>
      </c>
      <c r="M90" s="375" t="s">
        <v>239</v>
      </c>
      <c r="N90" s="386" t="s">
        <v>239</v>
      </c>
      <c r="O90" s="387">
        <v>20</v>
      </c>
      <c r="P90" s="388">
        <v>0.33</v>
      </c>
      <c r="Q90" s="388">
        <v>673.36350000000004</v>
      </c>
      <c r="R90" s="388">
        <v>0.66990000000000005</v>
      </c>
      <c r="S90" s="24">
        <v>5.1999999999999998E-3</v>
      </c>
      <c r="T90" s="389">
        <v>6.3E-3</v>
      </c>
      <c r="U90" s="23">
        <v>2.3099999999999999E-2</v>
      </c>
      <c r="V90" s="390">
        <v>5.1999999999999998E-3</v>
      </c>
      <c r="W90" s="377" t="s">
        <v>239</v>
      </c>
    </row>
    <row r="91" spans="1:23" x14ac:dyDescent="0.2">
      <c r="A91" s="375" t="s">
        <v>239</v>
      </c>
      <c r="B91" s="386" t="s">
        <v>239</v>
      </c>
      <c r="C91" s="387">
        <v>21</v>
      </c>
      <c r="D91" s="388">
        <v>1.0154000000000001</v>
      </c>
      <c r="E91" s="388">
        <v>1138.1322</v>
      </c>
      <c r="F91" s="388">
        <v>1.5314000000000001</v>
      </c>
      <c r="G91" s="24">
        <v>1.9900000000000001E-2</v>
      </c>
      <c r="H91" s="389">
        <v>1.0800000000000001E-2</v>
      </c>
      <c r="I91" s="23">
        <v>0.1089</v>
      </c>
      <c r="J91" s="390">
        <v>1.9900000000000001E-2</v>
      </c>
      <c r="K91" s="377" t="s">
        <v>239</v>
      </c>
      <c r="M91" s="375" t="s">
        <v>239</v>
      </c>
      <c r="N91" s="386" t="s">
        <v>239</v>
      </c>
      <c r="O91" s="387">
        <v>21</v>
      </c>
      <c r="P91" s="388">
        <v>0.31569999999999998</v>
      </c>
      <c r="Q91" s="388">
        <v>654.89210000000003</v>
      </c>
      <c r="R91" s="388">
        <v>0.63229999999999997</v>
      </c>
      <c r="S91" s="24">
        <v>5.1000000000000004E-3</v>
      </c>
      <c r="T91" s="389">
        <v>6.1999999999999998E-3</v>
      </c>
      <c r="U91" s="23">
        <v>2.3E-2</v>
      </c>
      <c r="V91" s="390">
        <v>5.1000000000000004E-3</v>
      </c>
      <c r="W91" s="377" t="s">
        <v>239</v>
      </c>
    </row>
    <row r="92" spans="1:23" x14ac:dyDescent="0.2">
      <c r="A92" s="375" t="s">
        <v>239</v>
      </c>
      <c r="B92" s="386" t="s">
        <v>239</v>
      </c>
      <c r="C92" s="387">
        <v>22</v>
      </c>
      <c r="D92" s="388">
        <v>0.97489999999999999</v>
      </c>
      <c r="E92" s="388">
        <v>1097.5963999999999</v>
      </c>
      <c r="F92" s="388">
        <v>1.4913000000000001</v>
      </c>
      <c r="G92" s="24">
        <v>1.9699999999999999E-2</v>
      </c>
      <c r="H92" s="389">
        <v>1.04E-2</v>
      </c>
      <c r="I92" s="23">
        <v>0.1065</v>
      </c>
      <c r="J92" s="390">
        <v>1.9699999999999999E-2</v>
      </c>
      <c r="K92" s="377" t="s">
        <v>239</v>
      </c>
      <c r="M92" s="375" t="s">
        <v>239</v>
      </c>
      <c r="N92" s="386" t="s">
        <v>239</v>
      </c>
      <c r="O92" s="387">
        <v>22</v>
      </c>
      <c r="P92" s="388">
        <v>0.30209999999999998</v>
      </c>
      <c r="Q92" s="388">
        <v>636.92740000000003</v>
      </c>
      <c r="R92" s="388">
        <v>0.5968</v>
      </c>
      <c r="S92" s="24">
        <v>5.1000000000000004E-3</v>
      </c>
      <c r="T92" s="389">
        <v>6.0000000000000001E-3</v>
      </c>
      <c r="U92" s="23">
        <v>2.29E-2</v>
      </c>
      <c r="V92" s="390">
        <v>5.1000000000000004E-3</v>
      </c>
      <c r="W92" s="377" t="s">
        <v>239</v>
      </c>
    </row>
    <row r="93" spans="1:23" x14ac:dyDescent="0.2">
      <c r="A93" s="375" t="s">
        <v>239</v>
      </c>
      <c r="B93" s="386" t="s">
        <v>239</v>
      </c>
      <c r="C93" s="387">
        <v>23</v>
      </c>
      <c r="D93" s="388">
        <v>0.93610000000000004</v>
      </c>
      <c r="E93" s="388">
        <v>1058.5043000000001</v>
      </c>
      <c r="F93" s="388">
        <v>1.4521999999999999</v>
      </c>
      <c r="G93" s="24">
        <v>1.95E-2</v>
      </c>
      <c r="H93" s="389">
        <v>1.01E-2</v>
      </c>
      <c r="I93" s="23">
        <v>0.1041</v>
      </c>
      <c r="J93" s="390">
        <v>1.95E-2</v>
      </c>
      <c r="K93" s="377" t="s">
        <v>239</v>
      </c>
      <c r="M93" s="375" t="s">
        <v>239</v>
      </c>
      <c r="N93" s="386" t="s">
        <v>239</v>
      </c>
      <c r="O93" s="387">
        <v>23</v>
      </c>
      <c r="P93" s="388">
        <v>0.28899999999999998</v>
      </c>
      <c r="Q93" s="388">
        <v>619.45550000000003</v>
      </c>
      <c r="R93" s="388">
        <v>0.56320000000000003</v>
      </c>
      <c r="S93" s="24">
        <v>5.0000000000000001E-3</v>
      </c>
      <c r="T93" s="389">
        <v>5.7999999999999996E-3</v>
      </c>
      <c r="U93" s="23">
        <v>2.2700000000000001E-2</v>
      </c>
      <c r="V93" s="390">
        <v>5.0000000000000001E-3</v>
      </c>
      <c r="W93" s="377" t="s">
        <v>239</v>
      </c>
    </row>
    <row r="94" spans="1:23" x14ac:dyDescent="0.2">
      <c r="A94" s="375" t="s">
        <v>239</v>
      </c>
      <c r="B94" s="386" t="s">
        <v>239</v>
      </c>
      <c r="C94" s="387">
        <v>24</v>
      </c>
      <c r="D94" s="388">
        <v>0.89880000000000004</v>
      </c>
      <c r="E94" s="388">
        <v>1020.8046000000001</v>
      </c>
      <c r="F94" s="388">
        <v>1.4140999999999999</v>
      </c>
      <c r="G94" s="24">
        <v>1.9199999999999998E-2</v>
      </c>
      <c r="H94" s="389">
        <v>9.7000000000000003E-3</v>
      </c>
      <c r="I94" s="23">
        <v>0.1017</v>
      </c>
      <c r="J94" s="390">
        <v>1.9199999999999998E-2</v>
      </c>
      <c r="K94" s="377" t="s">
        <v>239</v>
      </c>
      <c r="M94" s="375" t="s">
        <v>239</v>
      </c>
      <c r="N94" s="386" t="s">
        <v>239</v>
      </c>
      <c r="O94" s="387">
        <v>24</v>
      </c>
      <c r="P94" s="388">
        <v>0.27650000000000002</v>
      </c>
      <c r="Q94" s="388">
        <v>602.46289999999999</v>
      </c>
      <c r="R94" s="388">
        <v>0.53159999999999996</v>
      </c>
      <c r="S94" s="24">
        <v>5.0000000000000001E-3</v>
      </c>
      <c r="T94" s="389">
        <v>5.7000000000000002E-3</v>
      </c>
      <c r="U94" s="23">
        <v>2.2599999999999999E-2</v>
      </c>
      <c r="V94" s="390">
        <v>5.0000000000000001E-3</v>
      </c>
      <c r="W94" s="377" t="s">
        <v>239</v>
      </c>
    </row>
    <row r="95" spans="1:23" x14ac:dyDescent="0.2">
      <c r="A95" s="375" t="s">
        <v>239</v>
      </c>
      <c r="B95" s="386" t="s">
        <v>239</v>
      </c>
      <c r="C95" s="387">
        <v>25</v>
      </c>
      <c r="D95" s="388">
        <v>0.8629</v>
      </c>
      <c r="E95" s="388">
        <v>984.44749999999999</v>
      </c>
      <c r="F95" s="388">
        <v>1.3771</v>
      </c>
      <c r="G95" s="24">
        <v>1.9E-2</v>
      </c>
      <c r="H95" s="389">
        <v>9.2999999999999992E-3</v>
      </c>
      <c r="I95" s="23">
        <v>9.9500000000000005E-2</v>
      </c>
      <c r="J95" s="390">
        <v>1.9E-2</v>
      </c>
      <c r="K95" s="377" t="s">
        <v>239</v>
      </c>
      <c r="M95" s="375" t="s">
        <v>239</v>
      </c>
      <c r="N95" s="386" t="s">
        <v>239</v>
      </c>
      <c r="O95" s="387">
        <v>25</v>
      </c>
      <c r="P95" s="388">
        <v>0.26450000000000001</v>
      </c>
      <c r="Q95" s="388">
        <v>585.93640000000005</v>
      </c>
      <c r="R95" s="388">
        <v>0.50170000000000003</v>
      </c>
      <c r="S95" s="24">
        <v>4.8999999999999998E-3</v>
      </c>
      <c r="T95" s="389">
        <v>5.4999999999999997E-3</v>
      </c>
      <c r="U95" s="23">
        <v>2.2499999999999999E-2</v>
      </c>
      <c r="V95" s="390">
        <v>4.8999999999999998E-3</v>
      </c>
      <c r="W95" s="377" t="s">
        <v>239</v>
      </c>
    </row>
    <row r="96" spans="1:23" x14ac:dyDescent="0.2">
      <c r="A96" s="375" t="s">
        <v>239</v>
      </c>
      <c r="B96" s="386" t="s">
        <v>239</v>
      </c>
      <c r="C96" s="387">
        <v>26</v>
      </c>
      <c r="D96" s="388">
        <v>0.82969999999999999</v>
      </c>
      <c r="E96" s="388">
        <v>974.59040000000005</v>
      </c>
      <c r="F96" s="388">
        <v>1.3491</v>
      </c>
      <c r="G96" s="24">
        <v>1.7999999999999999E-2</v>
      </c>
      <c r="H96" s="389">
        <v>9.1999999999999998E-3</v>
      </c>
      <c r="I96" s="23">
        <v>9.35E-2</v>
      </c>
      <c r="J96" s="390">
        <v>1.7999999999999999E-2</v>
      </c>
      <c r="K96" s="377" t="s">
        <v>239</v>
      </c>
      <c r="M96" s="375" t="s">
        <v>239</v>
      </c>
      <c r="N96" s="386" t="s">
        <v>239</v>
      </c>
      <c r="O96" s="387">
        <v>26</v>
      </c>
      <c r="P96" s="388">
        <v>0.2525</v>
      </c>
      <c r="Q96" s="388">
        <v>579.66480000000001</v>
      </c>
      <c r="R96" s="388">
        <v>0.48359999999999997</v>
      </c>
      <c r="S96" s="24">
        <v>4.7000000000000002E-3</v>
      </c>
      <c r="T96" s="389">
        <v>5.4000000000000003E-3</v>
      </c>
      <c r="U96" s="23">
        <v>2.1299999999999999E-2</v>
      </c>
      <c r="V96" s="390">
        <v>4.7000000000000002E-3</v>
      </c>
      <c r="W96" s="377" t="s">
        <v>239</v>
      </c>
    </row>
    <row r="97" spans="1:23" x14ac:dyDescent="0.2">
      <c r="A97" s="375" t="s">
        <v>239</v>
      </c>
      <c r="B97" s="386" t="s">
        <v>239</v>
      </c>
      <c r="C97" s="387">
        <v>27</v>
      </c>
      <c r="D97" s="388">
        <v>0.79769999999999996</v>
      </c>
      <c r="E97" s="388">
        <v>964.83190000000002</v>
      </c>
      <c r="F97" s="388">
        <v>1.3216000000000001</v>
      </c>
      <c r="G97" s="24">
        <v>1.7000000000000001E-2</v>
      </c>
      <c r="H97" s="389">
        <v>9.1000000000000004E-3</v>
      </c>
      <c r="I97" s="23">
        <v>8.7900000000000006E-2</v>
      </c>
      <c r="J97" s="390">
        <v>1.7000000000000001E-2</v>
      </c>
      <c r="K97" s="377" t="s">
        <v>239</v>
      </c>
      <c r="M97" s="375" t="s">
        <v>239</v>
      </c>
      <c r="N97" s="386" t="s">
        <v>239</v>
      </c>
      <c r="O97" s="387">
        <v>27</v>
      </c>
      <c r="P97" s="388">
        <v>0.24099999999999999</v>
      </c>
      <c r="Q97" s="388">
        <v>573.46029999999996</v>
      </c>
      <c r="R97" s="388">
        <v>0.4662</v>
      </c>
      <c r="S97" s="24">
        <v>4.4999999999999997E-3</v>
      </c>
      <c r="T97" s="389">
        <v>5.4000000000000003E-3</v>
      </c>
      <c r="U97" s="23">
        <v>2.0199999999999999E-2</v>
      </c>
      <c r="V97" s="390">
        <v>4.4999999999999997E-3</v>
      </c>
      <c r="W97" s="377" t="s">
        <v>239</v>
      </c>
    </row>
    <row r="98" spans="1:23" x14ac:dyDescent="0.2">
      <c r="A98" s="375" t="s">
        <v>239</v>
      </c>
      <c r="B98" s="386" t="s">
        <v>239</v>
      </c>
      <c r="C98" s="387">
        <v>28</v>
      </c>
      <c r="D98" s="388">
        <v>0.76700000000000002</v>
      </c>
      <c r="E98" s="388">
        <v>955.1712</v>
      </c>
      <c r="F98" s="388">
        <v>1.2948</v>
      </c>
      <c r="G98" s="24">
        <v>1.61E-2</v>
      </c>
      <c r="H98" s="389">
        <v>8.9999999999999993E-3</v>
      </c>
      <c r="I98" s="23">
        <v>8.2699999999999996E-2</v>
      </c>
      <c r="J98" s="390">
        <v>1.61E-2</v>
      </c>
      <c r="K98" s="377" t="s">
        <v>239</v>
      </c>
      <c r="M98" s="375" t="s">
        <v>239</v>
      </c>
      <c r="N98" s="386" t="s">
        <v>239</v>
      </c>
      <c r="O98" s="387">
        <v>28</v>
      </c>
      <c r="P98" s="388">
        <v>0.23</v>
      </c>
      <c r="Q98" s="388">
        <v>567.32219999999995</v>
      </c>
      <c r="R98" s="388">
        <v>0.44929999999999998</v>
      </c>
      <c r="S98" s="24">
        <v>4.3E-3</v>
      </c>
      <c r="T98" s="389">
        <v>5.3E-3</v>
      </c>
      <c r="U98" s="23">
        <v>1.9099999999999999E-2</v>
      </c>
      <c r="V98" s="390">
        <v>4.3E-3</v>
      </c>
      <c r="W98" s="377" t="s">
        <v>239</v>
      </c>
    </row>
    <row r="99" spans="1:23" x14ac:dyDescent="0.2">
      <c r="A99" s="375" t="s">
        <v>239</v>
      </c>
      <c r="B99" s="386" t="s">
        <v>239</v>
      </c>
      <c r="C99" s="387">
        <v>29</v>
      </c>
      <c r="D99" s="388">
        <v>0.73740000000000006</v>
      </c>
      <c r="E99" s="388">
        <v>945.60720000000003</v>
      </c>
      <c r="F99" s="388">
        <v>1.2684</v>
      </c>
      <c r="G99" s="24">
        <v>1.52E-2</v>
      </c>
      <c r="H99" s="389">
        <v>8.8999999999999999E-3</v>
      </c>
      <c r="I99" s="23">
        <v>7.7700000000000005E-2</v>
      </c>
      <c r="J99" s="390">
        <v>1.52E-2</v>
      </c>
      <c r="K99" s="377" t="s">
        <v>239</v>
      </c>
      <c r="M99" s="375" t="s">
        <v>239</v>
      </c>
      <c r="N99" s="386" t="s">
        <v>239</v>
      </c>
      <c r="O99" s="387">
        <v>29</v>
      </c>
      <c r="P99" s="388">
        <v>0.21959999999999999</v>
      </c>
      <c r="Q99" s="388">
        <v>561.24980000000005</v>
      </c>
      <c r="R99" s="388">
        <v>0.43309999999999998</v>
      </c>
      <c r="S99" s="24">
        <v>4.1000000000000003E-3</v>
      </c>
      <c r="T99" s="389">
        <v>5.3E-3</v>
      </c>
      <c r="U99" s="23">
        <v>1.8100000000000002E-2</v>
      </c>
      <c r="V99" s="390">
        <v>4.1000000000000003E-3</v>
      </c>
      <c r="W99" s="377" t="s">
        <v>239</v>
      </c>
    </row>
    <row r="100" spans="1:23" x14ac:dyDescent="0.2">
      <c r="A100" s="375" t="s">
        <v>239</v>
      </c>
      <c r="B100" s="386" t="s">
        <v>239</v>
      </c>
      <c r="C100" s="387">
        <v>30</v>
      </c>
      <c r="D100" s="388">
        <v>0.70899999999999996</v>
      </c>
      <c r="E100" s="388">
        <v>936.13890000000004</v>
      </c>
      <c r="F100" s="388">
        <v>1.2425999999999999</v>
      </c>
      <c r="G100" s="24">
        <v>1.44E-2</v>
      </c>
      <c r="H100" s="389">
        <v>8.8000000000000005E-3</v>
      </c>
      <c r="I100" s="23">
        <v>7.3099999999999998E-2</v>
      </c>
      <c r="J100" s="390">
        <v>1.44E-2</v>
      </c>
      <c r="K100" s="377" t="s">
        <v>239</v>
      </c>
      <c r="M100" s="375" t="s">
        <v>239</v>
      </c>
      <c r="N100" s="386" t="s">
        <v>239</v>
      </c>
      <c r="O100" s="387">
        <v>30</v>
      </c>
      <c r="P100" s="388">
        <v>0.20960000000000001</v>
      </c>
      <c r="Q100" s="388">
        <v>555.24239999999998</v>
      </c>
      <c r="R100" s="388">
        <v>0.41749999999999998</v>
      </c>
      <c r="S100" s="24">
        <v>3.8999999999999998E-3</v>
      </c>
      <c r="T100" s="389">
        <v>5.1999999999999998E-3</v>
      </c>
      <c r="U100" s="23">
        <v>1.72E-2</v>
      </c>
      <c r="V100" s="390">
        <v>3.8999999999999998E-3</v>
      </c>
      <c r="W100" s="377" t="s">
        <v>239</v>
      </c>
    </row>
    <row r="101" spans="1:23" x14ac:dyDescent="0.2">
      <c r="A101" s="375" t="s">
        <v>239</v>
      </c>
      <c r="B101" s="386" t="s">
        <v>239</v>
      </c>
      <c r="C101" s="387">
        <v>31</v>
      </c>
      <c r="D101" s="388">
        <v>0.67789999999999995</v>
      </c>
      <c r="E101" s="388">
        <v>941.27160000000003</v>
      </c>
      <c r="F101" s="388">
        <v>1.2298</v>
      </c>
      <c r="G101" s="24">
        <v>1.37E-2</v>
      </c>
      <c r="H101" s="389">
        <v>8.8999999999999999E-3</v>
      </c>
      <c r="I101" s="23">
        <v>6.8199999999999997E-2</v>
      </c>
      <c r="J101" s="390">
        <v>1.37E-2</v>
      </c>
      <c r="K101" s="377" t="s">
        <v>239</v>
      </c>
      <c r="M101" s="375" t="s">
        <v>239</v>
      </c>
      <c r="N101" s="386" t="s">
        <v>239</v>
      </c>
      <c r="O101" s="387">
        <v>31</v>
      </c>
      <c r="P101" s="388">
        <v>0.20180000000000001</v>
      </c>
      <c r="Q101" s="388">
        <v>559.83029999999997</v>
      </c>
      <c r="R101" s="388">
        <v>0.41310000000000002</v>
      </c>
      <c r="S101" s="24">
        <v>3.8E-3</v>
      </c>
      <c r="T101" s="389">
        <v>5.1999999999999998E-3</v>
      </c>
      <c r="U101" s="23">
        <v>1.6199999999999999E-2</v>
      </c>
      <c r="V101" s="390">
        <v>3.8E-3</v>
      </c>
      <c r="W101" s="377" t="s">
        <v>239</v>
      </c>
    </row>
    <row r="102" spans="1:23" x14ac:dyDescent="0.2">
      <c r="A102" s="375" t="s">
        <v>239</v>
      </c>
      <c r="B102" s="386" t="s">
        <v>239</v>
      </c>
      <c r="C102" s="387">
        <v>32</v>
      </c>
      <c r="D102" s="388">
        <v>0.6482</v>
      </c>
      <c r="E102" s="388">
        <v>946.43230000000005</v>
      </c>
      <c r="F102" s="388">
        <v>1.2171000000000001</v>
      </c>
      <c r="G102" s="24">
        <v>1.3100000000000001E-2</v>
      </c>
      <c r="H102" s="389">
        <v>8.8999999999999999E-3</v>
      </c>
      <c r="I102" s="23">
        <v>6.3600000000000004E-2</v>
      </c>
      <c r="J102" s="390">
        <v>1.3100000000000001E-2</v>
      </c>
      <c r="K102" s="377" t="s">
        <v>239</v>
      </c>
      <c r="M102" s="375" t="s">
        <v>239</v>
      </c>
      <c r="N102" s="386" t="s">
        <v>239</v>
      </c>
      <c r="O102" s="387">
        <v>32</v>
      </c>
      <c r="P102" s="388">
        <v>0.19420000000000001</v>
      </c>
      <c r="Q102" s="388">
        <v>564.45609999999999</v>
      </c>
      <c r="R102" s="388">
        <v>0.4088</v>
      </c>
      <c r="S102" s="24">
        <v>3.8E-3</v>
      </c>
      <c r="T102" s="389">
        <v>5.3E-3</v>
      </c>
      <c r="U102" s="23">
        <v>1.5299999999999999E-2</v>
      </c>
      <c r="V102" s="390">
        <v>3.8E-3</v>
      </c>
      <c r="W102" s="377" t="s">
        <v>239</v>
      </c>
    </row>
    <row r="103" spans="1:23" x14ac:dyDescent="0.2">
      <c r="A103" s="375" t="s">
        <v>239</v>
      </c>
      <c r="B103" s="386" t="s">
        <v>239</v>
      </c>
      <c r="C103" s="387">
        <v>33</v>
      </c>
      <c r="D103" s="388">
        <v>0.61980000000000002</v>
      </c>
      <c r="E103" s="388">
        <v>951.62139999999999</v>
      </c>
      <c r="F103" s="388">
        <v>1.2045999999999999</v>
      </c>
      <c r="G103" s="24">
        <v>1.26E-2</v>
      </c>
      <c r="H103" s="389">
        <v>8.8999999999999999E-3</v>
      </c>
      <c r="I103" s="23">
        <v>5.9299999999999999E-2</v>
      </c>
      <c r="J103" s="390">
        <v>1.26E-2</v>
      </c>
      <c r="K103" s="377" t="s">
        <v>239</v>
      </c>
      <c r="M103" s="375" t="s">
        <v>239</v>
      </c>
      <c r="N103" s="386" t="s">
        <v>239</v>
      </c>
      <c r="O103" s="387">
        <v>33</v>
      </c>
      <c r="P103" s="388">
        <v>0.187</v>
      </c>
      <c r="Q103" s="388">
        <v>569.12009999999998</v>
      </c>
      <c r="R103" s="388">
        <v>0.40450000000000003</v>
      </c>
      <c r="S103" s="24">
        <v>3.7000000000000002E-3</v>
      </c>
      <c r="T103" s="389">
        <v>5.3E-3</v>
      </c>
      <c r="U103" s="23">
        <v>1.44E-2</v>
      </c>
      <c r="V103" s="390">
        <v>3.7000000000000002E-3</v>
      </c>
      <c r="W103" s="377" t="s">
        <v>239</v>
      </c>
    </row>
    <row r="104" spans="1:23" x14ac:dyDescent="0.2">
      <c r="A104" s="375" t="s">
        <v>239</v>
      </c>
      <c r="B104" s="386" t="s">
        <v>239</v>
      </c>
      <c r="C104" s="387">
        <v>34</v>
      </c>
      <c r="D104" s="388">
        <v>0.59260000000000002</v>
      </c>
      <c r="E104" s="388">
        <v>956.83889999999997</v>
      </c>
      <c r="F104" s="388">
        <v>1.1920999999999999</v>
      </c>
      <c r="G104" s="24">
        <v>1.2E-2</v>
      </c>
      <c r="H104" s="389">
        <v>8.9999999999999993E-3</v>
      </c>
      <c r="I104" s="23">
        <v>5.5300000000000002E-2</v>
      </c>
      <c r="J104" s="390">
        <v>1.2E-2</v>
      </c>
      <c r="K104" s="377" t="s">
        <v>239</v>
      </c>
      <c r="M104" s="375" t="s">
        <v>239</v>
      </c>
      <c r="N104" s="386" t="s">
        <v>239</v>
      </c>
      <c r="O104" s="387">
        <v>34</v>
      </c>
      <c r="P104" s="388">
        <v>0.18</v>
      </c>
      <c r="Q104" s="388">
        <v>573.82259999999997</v>
      </c>
      <c r="R104" s="388">
        <v>0.40029999999999999</v>
      </c>
      <c r="S104" s="24">
        <v>3.5999999999999999E-3</v>
      </c>
      <c r="T104" s="389">
        <v>5.3E-3</v>
      </c>
      <c r="U104" s="23">
        <v>1.3599999999999999E-2</v>
      </c>
      <c r="V104" s="390">
        <v>3.5999999999999999E-3</v>
      </c>
      <c r="W104" s="377" t="s">
        <v>239</v>
      </c>
    </row>
    <row r="105" spans="1:23" x14ac:dyDescent="0.2">
      <c r="A105" s="375" t="s">
        <v>239</v>
      </c>
      <c r="B105" s="386" t="s">
        <v>239</v>
      </c>
      <c r="C105" s="387">
        <v>35</v>
      </c>
      <c r="D105" s="388">
        <v>0.56659999999999999</v>
      </c>
      <c r="E105" s="388">
        <v>962.08500000000004</v>
      </c>
      <c r="F105" s="388">
        <v>1.1798</v>
      </c>
      <c r="G105" s="24">
        <v>1.15E-2</v>
      </c>
      <c r="H105" s="389">
        <v>8.9999999999999993E-3</v>
      </c>
      <c r="I105" s="23">
        <v>5.16E-2</v>
      </c>
      <c r="J105" s="390">
        <v>1.15E-2</v>
      </c>
      <c r="K105" s="377" t="s">
        <v>239</v>
      </c>
      <c r="M105" s="375" t="s">
        <v>239</v>
      </c>
      <c r="N105" s="386" t="s">
        <v>239</v>
      </c>
      <c r="O105" s="387">
        <v>35</v>
      </c>
      <c r="P105" s="388">
        <v>0.17330000000000001</v>
      </c>
      <c r="Q105" s="388">
        <v>578.56399999999996</v>
      </c>
      <c r="R105" s="388">
        <v>0.39610000000000001</v>
      </c>
      <c r="S105" s="24">
        <v>3.5000000000000001E-3</v>
      </c>
      <c r="T105" s="389">
        <v>5.4000000000000003E-3</v>
      </c>
      <c r="U105" s="23">
        <v>1.2800000000000001E-2</v>
      </c>
      <c r="V105" s="390">
        <v>3.5000000000000001E-3</v>
      </c>
      <c r="W105" s="377" t="s">
        <v>239</v>
      </c>
    </row>
    <row r="106" spans="1:23" x14ac:dyDescent="0.2">
      <c r="A106" s="375" t="s">
        <v>239</v>
      </c>
      <c r="B106" s="386" t="s">
        <v>239</v>
      </c>
      <c r="C106" s="387">
        <v>36</v>
      </c>
      <c r="D106" s="388">
        <v>0.55049999999999999</v>
      </c>
      <c r="E106" s="388">
        <v>967.41949999999997</v>
      </c>
      <c r="F106" s="388">
        <v>1.1662999999999999</v>
      </c>
      <c r="G106" s="24">
        <v>1.1299999999999999E-2</v>
      </c>
      <c r="H106" s="389">
        <v>9.1000000000000004E-3</v>
      </c>
      <c r="I106" s="23">
        <v>4.8800000000000003E-2</v>
      </c>
      <c r="J106" s="390">
        <v>1.1299999999999999E-2</v>
      </c>
      <c r="K106" s="377" t="s">
        <v>239</v>
      </c>
      <c r="M106" s="375" t="s">
        <v>239</v>
      </c>
      <c r="N106" s="386" t="s">
        <v>239</v>
      </c>
      <c r="O106" s="387">
        <v>36</v>
      </c>
      <c r="P106" s="388">
        <v>0.16880000000000001</v>
      </c>
      <c r="Q106" s="388">
        <v>584.06709999999998</v>
      </c>
      <c r="R106" s="388">
        <v>0.38829999999999998</v>
      </c>
      <c r="S106" s="24">
        <v>3.5999999999999999E-3</v>
      </c>
      <c r="T106" s="389">
        <v>5.4000000000000003E-3</v>
      </c>
      <c r="U106" s="23">
        <v>1.2200000000000001E-2</v>
      </c>
      <c r="V106" s="390">
        <v>3.5999999999999999E-3</v>
      </c>
      <c r="W106" s="377" t="s">
        <v>239</v>
      </c>
    </row>
    <row r="107" spans="1:23" x14ac:dyDescent="0.2">
      <c r="A107" s="375" t="s">
        <v>239</v>
      </c>
      <c r="B107" s="386" t="s">
        <v>239</v>
      </c>
      <c r="C107" s="387">
        <v>37</v>
      </c>
      <c r="D107" s="388">
        <v>0.53490000000000004</v>
      </c>
      <c r="E107" s="388">
        <v>972.78359999999998</v>
      </c>
      <c r="F107" s="388">
        <v>1.1529</v>
      </c>
      <c r="G107" s="24">
        <v>1.0999999999999999E-2</v>
      </c>
      <c r="H107" s="389">
        <v>9.1000000000000004E-3</v>
      </c>
      <c r="I107" s="23">
        <v>4.6199999999999998E-2</v>
      </c>
      <c r="J107" s="390">
        <v>1.0999999999999999E-2</v>
      </c>
      <c r="K107" s="377" t="s">
        <v>239</v>
      </c>
      <c r="M107" s="375" t="s">
        <v>239</v>
      </c>
      <c r="N107" s="386" t="s">
        <v>239</v>
      </c>
      <c r="O107" s="387">
        <v>37</v>
      </c>
      <c r="P107" s="388">
        <v>0.16450000000000001</v>
      </c>
      <c r="Q107" s="388">
        <v>589.62249999999995</v>
      </c>
      <c r="R107" s="388">
        <v>0.38059999999999999</v>
      </c>
      <c r="S107" s="24">
        <v>3.7000000000000002E-3</v>
      </c>
      <c r="T107" s="389">
        <v>5.4999999999999997E-3</v>
      </c>
      <c r="U107" s="23">
        <v>1.1599999999999999E-2</v>
      </c>
      <c r="V107" s="390">
        <v>3.7000000000000002E-3</v>
      </c>
      <c r="W107" s="377" t="s">
        <v>239</v>
      </c>
    </row>
    <row r="108" spans="1:23" x14ac:dyDescent="0.2">
      <c r="A108" s="375" t="s">
        <v>239</v>
      </c>
      <c r="B108" s="386" t="s">
        <v>239</v>
      </c>
      <c r="C108" s="387">
        <v>38</v>
      </c>
      <c r="D108" s="388">
        <v>0.51970000000000005</v>
      </c>
      <c r="E108" s="388">
        <v>978.17750000000001</v>
      </c>
      <c r="F108" s="388">
        <v>1.1395999999999999</v>
      </c>
      <c r="G108" s="24">
        <v>1.0800000000000001E-2</v>
      </c>
      <c r="H108" s="389">
        <v>9.1000000000000004E-3</v>
      </c>
      <c r="I108" s="23">
        <v>4.3700000000000003E-2</v>
      </c>
      <c r="J108" s="390">
        <v>1.0800000000000001E-2</v>
      </c>
      <c r="K108" s="377" t="s">
        <v>239</v>
      </c>
      <c r="M108" s="375" t="s">
        <v>239</v>
      </c>
      <c r="N108" s="386" t="s">
        <v>239</v>
      </c>
      <c r="O108" s="387">
        <v>38</v>
      </c>
      <c r="P108" s="388">
        <v>0.1603</v>
      </c>
      <c r="Q108" s="388">
        <v>595.23080000000004</v>
      </c>
      <c r="R108" s="388">
        <v>0.37309999999999999</v>
      </c>
      <c r="S108" s="24">
        <v>3.8E-3</v>
      </c>
      <c r="T108" s="389">
        <v>5.4999999999999997E-3</v>
      </c>
      <c r="U108" s="23">
        <v>1.11E-2</v>
      </c>
      <c r="V108" s="390">
        <v>3.8E-3</v>
      </c>
      <c r="W108" s="377" t="s">
        <v>239</v>
      </c>
    </row>
    <row r="109" spans="1:23" x14ac:dyDescent="0.2">
      <c r="A109" s="375" t="s">
        <v>239</v>
      </c>
      <c r="B109" s="386" t="s">
        <v>239</v>
      </c>
      <c r="C109" s="387">
        <v>39</v>
      </c>
      <c r="D109" s="388">
        <v>0.505</v>
      </c>
      <c r="E109" s="388">
        <v>983.60130000000004</v>
      </c>
      <c r="F109" s="388">
        <v>1.1266</v>
      </c>
      <c r="G109" s="24">
        <v>1.06E-2</v>
      </c>
      <c r="H109" s="389">
        <v>9.1999999999999998E-3</v>
      </c>
      <c r="I109" s="23">
        <v>4.1300000000000003E-2</v>
      </c>
      <c r="J109" s="390">
        <v>1.06E-2</v>
      </c>
      <c r="K109" s="377" t="s">
        <v>239</v>
      </c>
      <c r="M109" s="375" t="s">
        <v>239</v>
      </c>
      <c r="N109" s="386" t="s">
        <v>239</v>
      </c>
      <c r="O109" s="387">
        <v>39</v>
      </c>
      <c r="P109" s="388">
        <v>0.15609999999999999</v>
      </c>
      <c r="Q109" s="388">
        <v>600.89239999999995</v>
      </c>
      <c r="R109" s="388">
        <v>0.36580000000000001</v>
      </c>
      <c r="S109" s="24">
        <v>3.8E-3</v>
      </c>
      <c r="T109" s="389">
        <v>5.5999999999999999E-3</v>
      </c>
      <c r="U109" s="23">
        <v>1.0500000000000001E-2</v>
      </c>
      <c r="V109" s="390">
        <v>3.8E-3</v>
      </c>
      <c r="W109" s="377" t="s">
        <v>239</v>
      </c>
    </row>
    <row r="110" spans="1:23" x14ac:dyDescent="0.2">
      <c r="A110" s="375" t="s">
        <v>239</v>
      </c>
      <c r="B110" s="386" t="s">
        <v>239</v>
      </c>
      <c r="C110" s="387">
        <v>40</v>
      </c>
      <c r="D110" s="388">
        <v>0.49059999999999998</v>
      </c>
      <c r="E110" s="388">
        <v>989.05510000000004</v>
      </c>
      <c r="F110" s="388">
        <v>1.1135999999999999</v>
      </c>
      <c r="G110" s="24">
        <v>1.04E-2</v>
      </c>
      <c r="H110" s="389">
        <v>9.1999999999999998E-3</v>
      </c>
      <c r="I110" s="23">
        <v>3.9100000000000003E-2</v>
      </c>
      <c r="J110" s="390">
        <v>1.04E-2</v>
      </c>
      <c r="K110" s="377" t="s">
        <v>239</v>
      </c>
      <c r="M110" s="375" t="s">
        <v>239</v>
      </c>
      <c r="N110" s="386" t="s">
        <v>239</v>
      </c>
      <c r="O110" s="387">
        <v>40</v>
      </c>
      <c r="P110" s="388">
        <v>0.15210000000000001</v>
      </c>
      <c r="Q110" s="388">
        <v>606.60789999999997</v>
      </c>
      <c r="R110" s="388">
        <v>0.35859999999999997</v>
      </c>
      <c r="S110" s="24">
        <v>3.8999999999999998E-3</v>
      </c>
      <c r="T110" s="389">
        <v>5.5999999999999999E-3</v>
      </c>
      <c r="U110" s="23">
        <v>0.01</v>
      </c>
      <c r="V110" s="390">
        <v>3.8999999999999998E-3</v>
      </c>
      <c r="W110" s="377" t="s">
        <v>239</v>
      </c>
    </row>
    <row r="111" spans="1:23" x14ac:dyDescent="0.2">
      <c r="A111" s="375" t="s">
        <v>239</v>
      </c>
      <c r="B111" s="386" t="s">
        <v>239</v>
      </c>
      <c r="C111" s="387">
        <v>41</v>
      </c>
      <c r="D111" s="388">
        <v>0.48680000000000001</v>
      </c>
      <c r="E111" s="388">
        <v>984.5077</v>
      </c>
      <c r="F111" s="388">
        <v>1.0993999999999999</v>
      </c>
      <c r="G111" s="24">
        <v>1.0500000000000001E-2</v>
      </c>
      <c r="H111" s="389">
        <v>9.1999999999999998E-3</v>
      </c>
      <c r="I111" s="23">
        <v>3.8199999999999998E-2</v>
      </c>
      <c r="J111" s="390">
        <v>1.0500000000000001E-2</v>
      </c>
      <c r="K111" s="377" t="s">
        <v>239</v>
      </c>
      <c r="M111" s="375" t="s">
        <v>239</v>
      </c>
      <c r="N111" s="386" t="s">
        <v>239</v>
      </c>
      <c r="O111" s="387">
        <v>41</v>
      </c>
      <c r="P111" s="388">
        <v>0.1479</v>
      </c>
      <c r="Q111" s="388">
        <v>611.86289999999997</v>
      </c>
      <c r="R111" s="388">
        <v>0.35299999999999998</v>
      </c>
      <c r="S111" s="24">
        <v>4.1999999999999997E-3</v>
      </c>
      <c r="T111" s="389">
        <v>5.7000000000000002E-3</v>
      </c>
      <c r="U111" s="23">
        <v>9.7999999999999997E-3</v>
      </c>
      <c r="V111" s="390">
        <v>4.1999999999999997E-3</v>
      </c>
      <c r="W111" s="377" t="s">
        <v>239</v>
      </c>
    </row>
    <row r="112" spans="1:23" x14ac:dyDescent="0.2">
      <c r="A112" s="375" t="s">
        <v>239</v>
      </c>
      <c r="B112" s="386" t="s">
        <v>239</v>
      </c>
      <c r="C112" s="387">
        <v>42</v>
      </c>
      <c r="D112" s="388">
        <v>0.4829</v>
      </c>
      <c r="E112" s="388">
        <v>979.98119999999994</v>
      </c>
      <c r="F112" s="388">
        <v>1.0853999999999999</v>
      </c>
      <c r="G112" s="24">
        <v>1.06E-2</v>
      </c>
      <c r="H112" s="389">
        <v>9.1000000000000004E-3</v>
      </c>
      <c r="I112" s="23">
        <v>3.7400000000000003E-2</v>
      </c>
      <c r="J112" s="390">
        <v>1.06E-2</v>
      </c>
      <c r="K112" s="377" t="s">
        <v>239</v>
      </c>
      <c r="M112" s="375" t="s">
        <v>239</v>
      </c>
      <c r="N112" s="386" t="s">
        <v>239</v>
      </c>
      <c r="O112" s="387">
        <v>42</v>
      </c>
      <c r="P112" s="388">
        <v>0.14380000000000001</v>
      </c>
      <c r="Q112" s="388">
        <v>617.16330000000005</v>
      </c>
      <c r="R112" s="388">
        <v>0.34739999999999999</v>
      </c>
      <c r="S112" s="24">
        <v>4.4000000000000003E-3</v>
      </c>
      <c r="T112" s="389">
        <v>5.7000000000000002E-3</v>
      </c>
      <c r="U112" s="23">
        <v>9.5999999999999992E-3</v>
      </c>
      <c r="V112" s="390">
        <v>4.4000000000000003E-3</v>
      </c>
      <c r="W112" s="377" t="s">
        <v>239</v>
      </c>
    </row>
    <row r="113" spans="1:23" x14ac:dyDescent="0.2">
      <c r="A113" s="375" t="s">
        <v>239</v>
      </c>
      <c r="B113" s="386" t="s">
        <v>239</v>
      </c>
      <c r="C113" s="387">
        <v>43</v>
      </c>
      <c r="D113" s="388">
        <v>0.47910000000000003</v>
      </c>
      <c r="E113" s="388">
        <v>975.47540000000004</v>
      </c>
      <c r="F113" s="388">
        <v>1.0714999999999999</v>
      </c>
      <c r="G113" s="24">
        <v>1.06E-2</v>
      </c>
      <c r="H113" s="389">
        <v>9.1000000000000004E-3</v>
      </c>
      <c r="I113" s="23">
        <v>3.6600000000000001E-2</v>
      </c>
      <c r="J113" s="390">
        <v>1.06E-2</v>
      </c>
      <c r="K113" s="377" t="s">
        <v>239</v>
      </c>
      <c r="M113" s="375" t="s">
        <v>239</v>
      </c>
      <c r="N113" s="386" t="s">
        <v>239</v>
      </c>
      <c r="O113" s="387">
        <v>43</v>
      </c>
      <c r="P113" s="388">
        <v>0.1399</v>
      </c>
      <c r="Q113" s="388">
        <v>622.50959999999998</v>
      </c>
      <c r="R113" s="388">
        <v>0.34200000000000003</v>
      </c>
      <c r="S113" s="24">
        <v>4.7000000000000002E-3</v>
      </c>
      <c r="T113" s="389">
        <v>5.7999999999999996E-3</v>
      </c>
      <c r="U113" s="23">
        <v>9.4000000000000004E-3</v>
      </c>
      <c r="V113" s="390">
        <v>4.7000000000000002E-3</v>
      </c>
      <c r="W113" s="377" t="s">
        <v>239</v>
      </c>
    </row>
    <row r="114" spans="1:23" x14ac:dyDescent="0.2">
      <c r="A114" s="375" t="s">
        <v>239</v>
      </c>
      <c r="B114" s="386" t="s">
        <v>239</v>
      </c>
      <c r="C114" s="387">
        <v>44</v>
      </c>
      <c r="D114" s="388">
        <v>0.4753</v>
      </c>
      <c r="E114" s="388">
        <v>970.99040000000002</v>
      </c>
      <c r="F114" s="388">
        <v>1.0579000000000001</v>
      </c>
      <c r="G114" s="24">
        <v>1.0699999999999999E-2</v>
      </c>
      <c r="H114" s="389">
        <v>9.1000000000000004E-3</v>
      </c>
      <c r="I114" s="23">
        <v>3.5900000000000001E-2</v>
      </c>
      <c r="J114" s="390">
        <v>1.0699999999999999E-2</v>
      </c>
      <c r="K114" s="377" t="s">
        <v>239</v>
      </c>
      <c r="M114" s="375" t="s">
        <v>239</v>
      </c>
      <c r="N114" s="386" t="s">
        <v>239</v>
      </c>
      <c r="O114" s="387">
        <v>44</v>
      </c>
      <c r="P114" s="388">
        <v>0.13600000000000001</v>
      </c>
      <c r="Q114" s="388">
        <v>627.90229999999997</v>
      </c>
      <c r="R114" s="388">
        <v>0.33660000000000001</v>
      </c>
      <c r="S114" s="24">
        <v>5.0000000000000001E-3</v>
      </c>
      <c r="T114" s="389">
        <v>5.7999999999999996E-3</v>
      </c>
      <c r="U114" s="23">
        <v>9.2999999999999992E-3</v>
      </c>
      <c r="V114" s="390">
        <v>5.0000000000000001E-3</v>
      </c>
      <c r="W114" s="377" t="s">
        <v>239</v>
      </c>
    </row>
    <row r="115" spans="1:23" x14ac:dyDescent="0.2">
      <c r="A115" s="375" t="s">
        <v>239</v>
      </c>
      <c r="B115" s="386" t="s">
        <v>239</v>
      </c>
      <c r="C115" s="387">
        <v>45</v>
      </c>
      <c r="D115" s="388">
        <v>0.47160000000000002</v>
      </c>
      <c r="E115" s="388">
        <v>966.52610000000004</v>
      </c>
      <c r="F115" s="388">
        <v>1.0444</v>
      </c>
      <c r="G115" s="24">
        <v>1.0800000000000001E-2</v>
      </c>
      <c r="H115" s="389">
        <v>8.9999999999999993E-3</v>
      </c>
      <c r="I115" s="23">
        <v>3.5099999999999999E-2</v>
      </c>
      <c r="J115" s="390">
        <v>1.0800000000000001E-2</v>
      </c>
      <c r="K115" s="377" t="s">
        <v>239</v>
      </c>
      <c r="M115" s="375" t="s">
        <v>239</v>
      </c>
      <c r="N115" s="386" t="s">
        <v>239</v>
      </c>
      <c r="O115" s="387">
        <v>45</v>
      </c>
      <c r="P115" s="388">
        <v>0.1323</v>
      </c>
      <c r="Q115" s="388">
        <v>633.34169999999995</v>
      </c>
      <c r="R115" s="388">
        <v>0.33139999999999997</v>
      </c>
      <c r="S115" s="24">
        <v>5.3E-3</v>
      </c>
      <c r="T115" s="389">
        <v>5.8999999999999999E-3</v>
      </c>
      <c r="U115" s="23">
        <v>9.1000000000000004E-3</v>
      </c>
      <c r="V115" s="390">
        <v>5.3E-3</v>
      </c>
      <c r="W115" s="377" t="s">
        <v>239</v>
      </c>
    </row>
    <row r="116" spans="1:23" x14ac:dyDescent="0.2">
      <c r="A116" s="375" t="s">
        <v>239</v>
      </c>
      <c r="B116" s="386" t="s">
        <v>239</v>
      </c>
      <c r="C116" s="387">
        <v>46</v>
      </c>
      <c r="D116" s="388">
        <v>0.47620000000000001</v>
      </c>
      <c r="E116" s="388">
        <v>930.22239999999999</v>
      </c>
      <c r="F116" s="388">
        <v>1.0417000000000001</v>
      </c>
      <c r="G116" s="24">
        <v>1.0999999999999999E-2</v>
      </c>
      <c r="H116" s="389">
        <v>8.6999999999999994E-3</v>
      </c>
      <c r="I116" s="23">
        <v>3.6799999999999999E-2</v>
      </c>
      <c r="J116" s="390">
        <v>1.0999999999999999E-2</v>
      </c>
      <c r="K116" s="377" t="s">
        <v>239</v>
      </c>
      <c r="M116" s="375" t="s">
        <v>239</v>
      </c>
      <c r="N116" s="386" t="s">
        <v>239</v>
      </c>
      <c r="O116" s="387">
        <v>46</v>
      </c>
      <c r="P116" s="388">
        <v>0.13</v>
      </c>
      <c r="Q116" s="388">
        <v>609.35320000000002</v>
      </c>
      <c r="R116" s="388">
        <v>0.31030000000000002</v>
      </c>
      <c r="S116" s="24">
        <v>5.4000000000000003E-3</v>
      </c>
      <c r="T116" s="389">
        <v>5.7000000000000002E-3</v>
      </c>
      <c r="U116" s="23">
        <v>9.2999999999999992E-3</v>
      </c>
      <c r="V116" s="390">
        <v>5.4000000000000003E-3</v>
      </c>
      <c r="W116" s="377" t="s">
        <v>239</v>
      </c>
    </row>
    <row r="117" spans="1:23" x14ac:dyDescent="0.2">
      <c r="A117" s="375" t="s">
        <v>239</v>
      </c>
      <c r="B117" s="386" t="s">
        <v>239</v>
      </c>
      <c r="C117" s="387">
        <v>47</v>
      </c>
      <c r="D117" s="388">
        <v>0.48089999999999999</v>
      </c>
      <c r="E117" s="388">
        <v>895.28229999999996</v>
      </c>
      <c r="F117" s="388">
        <v>1.0390999999999999</v>
      </c>
      <c r="G117" s="24">
        <v>1.12E-2</v>
      </c>
      <c r="H117" s="389">
        <v>8.3999999999999995E-3</v>
      </c>
      <c r="I117" s="23">
        <v>3.8600000000000002E-2</v>
      </c>
      <c r="J117" s="390">
        <v>1.12E-2</v>
      </c>
      <c r="K117" s="377" t="s">
        <v>239</v>
      </c>
      <c r="M117" s="375" t="s">
        <v>239</v>
      </c>
      <c r="N117" s="386" t="s">
        <v>239</v>
      </c>
      <c r="O117" s="387">
        <v>47</v>
      </c>
      <c r="P117" s="388">
        <v>0.1278</v>
      </c>
      <c r="Q117" s="388">
        <v>586.27319999999997</v>
      </c>
      <c r="R117" s="388">
        <v>0.29060000000000002</v>
      </c>
      <c r="S117" s="24">
        <v>5.4999999999999997E-3</v>
      </c>
      <c r="T117" s="389">
        <v>5.4999999999999997E-3</v>
      </c>
      <c r="U117" s="23">
        <v>9.5999999999999992E-3</v>
      </c>
      <c r="V117" s="390">
        <v>5.4999999999999997E-3</v>
      </c>
      <c r="W117" s="377" t="s">
        <v>239</v>
      </c>
    </row>
    <row r="118" spans="1:23" x14ac:dyDescent="0.2">
      <c r="A118" s="375" t="s">
        <v>239</v>
      </c>
      <c r="B118" s="386" t="s">
        <v>239</v>
      </c>
      <c r="C118" s="387">
        <v>48</v>
      </c>
      <c r="D118" s="388">
        <v>0.48570000000000002</v>
      </c>
      <c r="E118" s="388">
        <v>861.65459999999996</v>
      </c>
      <c r="F118" s="388">
        <v>1.0364</v>
      </c>
      <c r="G118" s="24">
        <v>1.15E-2</v>
      </c>
      <c r="H118" s="389">
        <v>8.0999999999999996E-3</v>
      </c>
      <c r="I118" s="23">
        <v>4.0500000000000001E-2</v>
      </c>
      <c r="J118" s="390">
        <v>1.15E-2</v>
      </c>
      <c r="K118" s="377" t="s">
        <v>239</v>
      </c>
      <c r="M118" s="375" t="s">
        <v>239</v>
      </c>
      <c r="N118" s="386" t="s">
        <v>239</v>
      </c>
      <c r="O118" s="387">
        <v>48</v>
      </c>
      <c r="P118" s="388">
        <v>0.12559999999999999</v>
      </c>
      <c r="Q118" s="388">
        <v>564.06740000000002</v>
      </c>
      <c r="R118" s="388">
        <v>0.2722</v>
      </c>
      <c r="S118" s="24">
        <v>5.5999999999999999E-3</v>
      </c>
      <c r="T118" s="389">
        <v>5.3E-3</v>
      </c>
      <c r="U118" s="23">
        <v>9.9000000000000008E-3</v>
      </c>
      <c r="V118" s="390">
        <v>5.5999999999999999E-3</v>
      </c>
      <c r="W118" s="377" t="s">
        <v>239</v>
      </c>
    </row>
    <row r="119" spans="1:23" x14ac:dyDescent="0.2">
      <c r="A119" s="375" t="s">
        <v>239</v>
      </c>
      <c r="B119" s="386" t="s">
        <v>239</v>
      </c>
      <c r="C119" s="387">
        <v>49</v>
      </c>
      <c r="D119" s="388">
        <v>0.49049999999999999</v>
      </c>
      <c r="E119" s="388">
        <v>829.28989999999999</v>
      </c>
      <c r="F119" s="388">
        <v>1.0338000000000001</v>
      </c>
      <c r="G119" s="24">
        <v>1.17E-2</v>
      </c>
      <c r="H119" s="389">
        <v>7.7999999999999996E-3</v>
      </c>
      <c r="I119" s="23">
        <v>4.2500000000000003E-2</v>
      </c>
      <c r="J119" s="390">
        <v>1.17E-2</v>
      </c>
      <c r="K119" s="377" t="s">
        <v>239</v>
      </c>
      <c r="M119" s="375" t="s">
        <v>239</v>
      </c>
      <c r="N119" s="386" t="s">
        <v>239</v>
      </c>
      <c r="O119" s="387">
        <v>49</v>
      </c>
      <c r="P119" s="388">
        <v>0.1234</v>
      </c>
      <c r="Q119" s="388">
        <v>542.70270000000005</v>
      </c>
      <c r="R119" s="388">
        <v>0.25490000000000002</v>
      </c>
      <c r="S119" s="24">
        <v>5.7000000000000002E-3</v>
      </c>
      <c r="T119" s="389">
        <v>5.1000000000000004E-3</v>
      </c>
      <c r="U119" s="23">
        <v>1.0200000000000001E-2</v>
      </c>
      <c r="V119" s="390">
        <v>5.7000000000000002E-3</v>
      </c>
      <c r="W119" s="377" t="s">
        <v>239</v>
      </c>
    </row>
    <row r="120" spans="1:23" x14ac:dyDescent="0.2">
      <c r="A120" s="375" t="s">
        <v>239</v>
      </c>
      <c r="B120" s="386" t="s">
        <v>239</v>
      </c>
      <c r="C120" s="387">
        <v>50</v>
      </c>
      <c r="D120" s="388">
        <v>0.49530000000000002</v>
      </c>
      <c r="E120" s="388">
        <v>798.14099999999996</v>
      </c>
      <c r="F120" s="388">
        <v>1.0310999999999999</v>
      </c>
      <c r="G120" s="24">
        <v>1.2E-2</v>
      </c>
      <c r="H120" s="389">
        <v>7.4999999999999997E-3</v>
      </c>
      <c r="I120" s="23">
        <v>4.4499999999999998E-2</v>
      </c>
      <c r="J120" s="390">
        <v>1.2E-2</v>
      </c>
      <c r="K120" s="377" t="s">
        <v>239</v>
      </c>
      <c r="M120" s="375" t="s">
        <v>239</v>
      </c>
      <c r="N120" s="386" t="s">
        <v>239</v>
      </c>
      <c r="O120" s="387">
        <v>50</v>
      </c>
      <c r="P120" s="388">
        <v>0.12130000000000001</v>
      </c>
      <c r="Q120" s="388">
        <v>522.1472</v>
      </c>
      <c r="R120" s="388">
        <v>0.2387</v>
      </c>
      <c r="S120" s="24">
        <v>5.7999999999999996E-3</v>
      </c>
      <c r="T120" s="389">
        <v>4.8999999999999998E-3</v>
      </c>
      <c r="U120" s="23">
        <v>1.0500000000000001E-2</v>
      </c>
      <c r="V120" s="390">
        <v>5.7999999999999996E-3</v>
      </c>
      <c r="W120" s="377" t="s">
        <v>239</v>
      </c>
    </row>
    <row r="121" spans="1:23" x14ac:dyDescent="0.2">
      <c r="A121" s="375" t="s">
        <v>239</v>
      </c>
      <c r="B121" s="386" t="s">
        <v>239</v>
      </c>
      <c r="C121" s="387">
        <v>51</v>
      </c>
      <c r="D121" s="388">
        <v>0.48010000000000003</v>
      </c>
      <c r="E121" s="388">
        <v>830.70860000000005</v>
      </c>
      <c r="F121" s="388">
        <v>1.0417000000000001</v>
      </c>
      <c r="G121" s="24">
        <v>1.2500000000000001E-2</v>
      </c>
      <c r="H121" s="389">
        <v>7.7999999999999996E-3</v>
      </c>
      <c r="I121" s="23">
        <v>4.2500000000000003E-2</v>
      </c>
      <c r="J121" s="390">
        <v>1.2500000000000001E-2</v>
      </c>
      <c r="K121" s="377" t="s">
        <v>239</v>
      </c>
      <c r="M121" s="375" t="s">
        <v>239</v>
      </c>
      <c r="N121" s="386" t="s">
        <v>239</v>
      </c>
      <c r="O121" s="387">
        <v>51</v>
      </c>
      <c r="P121" s="388">
        <v>0.11840000000000001</v>
      </c>
      <c r="Q121" s="388">
        <v>546.12260000000003</v>
      </c>
      <c r="R121" s="388">
        <v>0.25480000000000003</v>
      </c>
      <c r="S121" s="24">
        <v>6.4000000000000003E-3</v>
      </c>
      <c r="T121" s="389">
        <v>5.1000000000000004E-3</v>
      </c>
      <c r="U121" s="23">
        <v>1.01E-2</v>
      </c>
      <c r="V121" s="390">
        <v>6.4000000000000003E-3</v>
      </c>
      <c r="W121" s="377" t="s">
        <v>239</v>
      </c>
    </row>
    <row r="122" spans="1:23" x14ac:dyDescent="0.2">
      <c r="A122" s="375" t="s">
        <v>239</v>
      </c>
      <c r="B122" s="386" t="s">
        <v>239</v>
      </c>
      <c r="C122" s="387">
        <v>52</v>
      </c>
      <c r="D122" s="388">
        <v>0.46529999999999999</v>
      </c>
      <c r="E122" s="388">
        <v>864.60519999999997</v>
      </c>
      <c r="F122" s="388">
        <v>1.0523</v>
      </c>
      <c r="G122" s="24">
        <v>1.2999999999999999E-2</v>
      </c>
      <c r="H122" s="389">
        <v>8.0999999999999996E-3</v>
      </c>
      <c r="I122" s="23">
        <v>4.0500000000000001E-2</v>
      </c>
      <c r="J122" s="390">
        <v>1.2999999999999999E-2</v>
      </c>
      <c r="K122" s="377" t="s">
        <v>239</v>
      </c>
      <c r="M122" s="375" t="s">
        <v>239</v>
      </c>
      <c r="N122" s="386" t="s">
        <v>239</v>
      </c>
      <c r="O122" s="387">
        <v>52</v>
      </c>
      <c r="P122" s="388">
        <v>0.11559999999999999</v>
      </c>
      <c r="Q122" s="388">
        <v>571.19889999999998</v>
      </c>
      <c r="R122" s="388">
        <v>0.27189999999999998</v>
      </c>
      <c r="S122" s="24">
        <v>7.0000000000000001E-3</v>
      </c>
      <c r="T122" s="389">
        <v>5.3E-3</v>
      </c>
      <c r="U122" s="23">
        <v>9.7999999999999997E-3</v>
      </c>
      <c r="V122" s="390">
        <v>7.0000000000000001E-3</v>
      </c>
      <c r="W122" s="377" t="s">
        <v>239</v>
      </c>
    </row>
    <row r="123" spans="1:23" x14ac:dyDescent="0.2">
      <c r="A123" s="375" t="s">
        <v>239</v>
      </c>
      <c r="B123" s="386" t="s">
        <v>239</v>
      </c>
      <c r="C123" s="387">
        <v>53</v>
      </c>
      <c r="D123" s="388">
        <v>0.45100000000000001</v>
      </c>
      <c r="E123" s="388">
        <v>899.88480000000004</v>
      </c>
      <c r="F123" s="388">
        <v>1.0630999999999999</v>
      </c>
      <c r="G123" s="24">
        <v>1.3599999999999999E-2</v>
      </c>
      <c r="H123" s="389">
        <v>8.5000000000000006E-3</v>
      </c>
      <c r="I123" s="23">
        <v>3.8600000000000002E-2</v>
      </c>
      <c r="J123" s="390">
        <v>1.3599999999999999E-2</v>
      </c>
      <c r="K123" s="377" t="s">
        <v>239</v>
      </c>
      <c r="M123" s="375" t="s">
        <v>239</v>
      </c>
      <c r="N123" s="386" t="s">
        <v>239</v>
      </c>
      <c r="O123" s="387">
        <v>53</v>
      </c>
      <c r="P123" s="388">
        <v>0.1129</v>
      </c>
      <c r="Q123" s="388">
        <v>597.42660000000001</v>
      </c>
      <c r="R123" s="388">
        <v>0.29020000000000001</v>
      </c>
      <c r="S123" s="24">
        <v>7.6E-3</v>
      </c>
      <c r="T123" s="389">
        <v>5.5999999999999999E-3</v>
      </c>
      <c r="U123" s="23">
        <v>9.4000000000000004E-3</v>
      </c>
      <c r="V123" s="390">
        <v>7.6E-3</v>
      </c>
      <c r="W123" s="377" t="s">
        <v>239</v>
      </c>
    </row>
    <row r="124" spans="1:23" x14ac:dyDescent="0.2">
      <c r="A124" s="375" t="s">
        <v>239</v>
      </c>
      <c r="B124" s="386" t="s">
        <v>239</v>
      </c>
      <c r="C124" s="387">
        <v>54</v>
      </c>
      <c r="D124" s="388">
        <v>0.43709999999999999</v>
      </c>
      <c r="E124" s="388">
        <v>936.60400000000004</v>
      </c>
      <c r="F124" s="388">
        <v>1.0739000000000001</v>
      </c>
      <c r="G124" s="24">
        <v>1.4200000000000001E-2</v>
      </c>
      <c r="H124" s="389">
        <v>8.8000000000000005E-3</v>
      </c>
      <c r="I124" s="23">
        <v>3.6900000000000002E-2</v>
      </c>
      <c r="J124" s="390">
        <v>1.4200000000000001E-2</v>
      </c>
      <c r="K124" s="377" t="s">
        <v>239</v>
      </c>
      <c r="M124" s="375" t="s">
        <v>239</v>
      </c>
      <c r="N124" s="386" t="s">
        <v>239</v>
      </c>
      <c r="O124" s="387">
        <v>54</v>
      </c>
      <c r="P124" s="388">
        <v>0.11020000000000001</v>
      </c>
      <c r="Q124" s="388">
        <v>624.85850000000005</v>
      </c>
      <c r="R124" s="388">
        <v>0.30969999999999998</v>
      </c>
      <c r="S124" s="24">
        <v>8.3000000000000001E-3</v>
      </c>
      <c r="T124" s="389">
        <v>5.7999999999999996E-3</v>
      </c>
      <c r="U124" s="23">
        <v>9.1000000000000004E-3</v>
      </c>
      <c r="V124" s="390">
        <v>8.3000000000000001E-3</v>
      </c>
      <c r="W124" s="377" t="s">
        <v>239</v>
      </c>
    </row>
    <row r="125" spans="1:23" x14ac:dyDescent="0.2">
      <c r="A125" s="375" t="s">
        <v>239</v>
      </c>
      <c r="B125" s="386" t="s">
        <v>239</v>
      </c>
      <c r="C125" s="387">
        <v>55</v>
      </c>
      <c r="D125" s="388">
        <v>0.42359999999999998</v>
      </c>
      <c r="E125" s="388">
        <v>974.82159999999999</v>
      </c>
      <c r="F125" s="388">
        <v>1.0849</v>
      </c>
      <c r="G125" s="24">
        <v>1.4800000000000001E-2</v>
      </c>
      <c r="H125" s="389">
        <v>9.1000000000000004E-3</v>
      </c>
      <c r="I125" s="23">
        <v>3.5200000000000002E-2</v>
      </c>
      <c r="J125" s="390">
        <v>1.4800000000000001E-2</v>
      </c>
      <c r="K125" s="377" t="s">
        <v>239</v>
      </c>
      <c r="M125" s="375" t="s">
        <v>239</v>
      </c>
      <c r="N125" s="386" t="s">
        <v>239</v>
      </c>
      <c r="O125" s="387">
        <v>55</v>
      </c>
      <c r="P125" s="388">
        <v>0.1076</v>
      </c>
      <c r="Q125" s="388">
        <v>653.55010000000004</v>
      </c>
      <c r="R125" s="388">
        <v>0.3306</v>
      </c>
      <c r="S125" s="24">
        <v>9.1000000000000004E-3</v>
      </c>
      <c r="T125" s="389">
        <v>6.1000000000000004E-3</v>
      </c>
      <c r="U125" s="23">
        <v>8.8000000000000005E-3</v>
      </c>
      <c r="V125" s="390">
        <v>9.1000000000000004E-3</v>
      </c>
      <c r="W125" s="377" t="s">
        <v>239</v>
      </c>
    </row>
    <row r="126" spans="1:23" x14ac:dyDescent="0.2">
      <c r="A126" s="375" t="s">
        <v>239</v>
      </c>
      <c r="B126" s="386" t="s">
        <v>239</v>
      </c>
      <c r="C126" s="387">
        <v>56</v>
      </c>
      <c r="D126" s="388">
        <v>0.41</v>
      </c>
      <c r="E126" s="388">
        <v>1022.8646</v>
      </c>
      <c r="F126" s="388">
        <v>1.0831999999999999</v>
      </c>
      <c r="G126" s="24">
        <v>1.5699999999999999E-2</v>
      </c>
      <c r="H126" s="389">
        <v>9.5999999999999992E-3</v>
      </c>
      <c r="I126" s="23">
        <v>3.15E-2</v>
      </c>
      <c r="J126" s="390">
        <v>1.5699999999999999E-2</v>
      </c>
      <c r="K126" s="377" t="s">
        <v>239</v>
      </c>
      <c r="M126" s="375" t="s">
        <v>239</v>
      </c>
      <c r="N126" s="386" t="s">
        <v>239</v>
      </c>
      <c r="O126" s="387">
        <v>56</v>
      </c>
      <c r="P126" s="388">
        <v>0.1045</v>
      </c>
      <c r="Q126" s="388">
        <v>686.27470000000005</v>
      </c>
      <c r="R126" s="388">
        <v>0.36480000000000001</v>
      </c>
      <c r="S126" s="24">
        <v>0.01</v>
      </c>
      <c r="T126" s="389">
        <v>6.4000000000000003E-3</v>
      </c>
      <c r="U126" s="23">
        <v>8.5000000000000006E-3</v>
      </c>
      <c r="V126" s="390">
        <v>0.01</v>
      </c>
      <c r="W126" s="377" t="s">
        <v>239</v>
      </c>
    </row>
    <row r="127" spans="1:23" x14ac:dyDescent="0.2">
      <c r="A127" s="375" t="s">
        <v>239</v>
      </c>
      <c r="B127" s="386" t="s">
        <v>239</v>
      </c>
      <c r="C127" s="387">
        <v>57</v>
      </c>
      <c r="D127" s="388">
        <v>0.39689999999999998</v>
      </c>
      <c r="E127" s="388">
        <v>1073.2754</v>
      </c>
      <c r="F127" s="388">
        <v>1.0814999999999999</v>
      </c>
      <c r="G127" s="24">
        <v>1.6500000000000001E-2</v>
      </c>
      <c r="H127" s="389">
        <v>1.01E-2</v>
      </c>
      <c r="I127" s="23">
        <v>2.8199999999999999E-2</v>
      </c>
      <c r="J127" s="390">
        <v>1.6500000000000001E-2</v>
      </c>
      <c r="K127" s="377" t="s">
        <v>239</v>
      </c>
      <c r="M127" s="375" t="s">
        <v>239</v>
      </c>
      <c r="N127" s="386" t="s">
        <v>239</v>
      </c>
      <c r="O127" s="387">
        <v>57</v>
      </c>
      <c r="P127" s="388">
        <v>0.10150000000000001</v>
      </c>
      <c r="Q127" s="388">
        <v>720.63789999999995</v>
      </c>
      <c r="R127" s="388">
        <v>0.40250000000000002</v>
      </c>
      <c r="S127" s="24">
        <v>1.11E-2</v>
      </c>
      <c r="T127" s="389">
        <v>6.7000000000000002E-3</v>
      </c>
      <c r="U127" s="23">
        <v>8.3000000000000001E-3</v>
      </c>
      <c r="V127" s="390">
        <v>1.11E-2</v>
      </c>
      <c r="W127" s="377" t="s">
        <v>239</v>
      </c>
    </row>
    <row r="128" spans="1:23" x14ac:dyDescent="0.2">
      <c r="A128" s="375" t="s">
        <v>239</v>
      </c>
      <c r="B128" s="386" t="s">
        <v>239</v>
      </c>
      <c r="C128" s="387">
        <v>58</v>
      </c>
      <c r="D128" s="388">
        <v>0.3841</v>
      </c>
      <c r="E128" s="388">
        <v>1126.1706999999999</v>
      </c>
      <c r="F128" s="388">
        <v>1.0797000000000001</v>
      </c>
      <c r="G128" s="24">
        <v>1.7500000000000002E-2</v>
      </c>
      <c r="H128" s="389">
        <v>1.0500000000000001E-2</v>
      </c>
      <c r="I128" s="23">
        <v>2.52E-2</v>
      </c>
      <c r="J128" s="390">
        <v>1.7500000000000002E-2</v>
      </c>
      <c r="K128" s="377" t="s">
        <v>239</v>
      </c>
      <c r="M128" s="375" t="s">
        <v>239</v>
      </c>
      <c r="N128" s="386" t="s">
        <v>239</v>
      </c>
      <c r="O128" s="387">
        <v>58</v>
      </c>
      <c r="P128" s="388">
        <v>9.8599999999999993E-2</v>
      </c>
      <c r="Q128" s="388">
        <v>756.72170000000006</v>
      </c>
      <c r="R128" s="388">
        <v>0.44419999999999998</v>
      </c>
      <c r="S128" s="24">
        <v>1.23E-2</v>
      </c>
      <c r="T128" s="389">
        <v>7.1000000000000004E-3</v>
      </c>
      <c r="U128" s="23">
        <v>8.0000000000000002E-3</v>
      </c>
      <c r="V128" s="390">
        <v>1.23E-2</v>
      </c>
      <c r="W128" s="377" t="s">
        <v>239</v>
      </c>
    </row>
    <row r="129" spans="1:23" x14ac:dyDescent="0.2">
      <c r="A129" s="375" t="s">
        <v>239</v>
      </c>
      <c r="B129" s="386" t="s">
        <v>239</v>
      </c>
      <c r="C129" s="387">
        <v>59</v>
      </c>
      <c r="D129" s="388">
        <v>0.37180000000000002</v>
      </c>
      <c r="E129" s="388">
        <v>1181.6728000000001</v>
      </c>
      <c r="F129" s="388">
        <v>1.0780000000000001</v>
      </c>
      <c r="G129" s="24">
        <v>1.84E-2</v>
      </c>
      <c r="H129" s="389">
        <v>1.11E-2</v>
      </c>
      <c r="I129" s="23">
        <v>2.2599999999999999E-2</v>
      </c>
      <c r="J129" s="390">
        <v>1.84E-2</v>
      </c>
      <c r="K129" s="377" t="s">
        <v>239</v>
      </c>
      <c r="M129" s="375" t="s">
        <v>239</v>
      </c>
      <c r="N129" s="386" t="s">
        <v>239</v>
      </c>
      <c r="O129" s="387">
        <v>59</v>
      </c>
      <c r="P129" s="388">
        <v>9.5699999999999993E-2</v>
      </c>
      <c r="Q129" s="388">
        <v>794.6123</v>
      </c>
      <c r="R129" s="388">
        <v>0.49020000000000002</v>
      </c>
      <c r="S129" s="24">
        <v>1.37E-2</v>
      </c>
      <c r="T129" s="389">
        <v>7.4000000000000003E-3</v>
      </c>
      <c r="U129" s="23">
        <v>7.7999999999999996E-3</v>
      </c>
      <c r="V129" s="390">
        <v>1.37E-2</v>
      </c>
      <c r="W129" s="377" t="s">
        <v>239</v>
      </c>
    </row>
    <row r="130" spans="1:23" x14ac:dyDescent="0.2">
      <c r="A130" s="375" t="s">
        <v>239</v>
      </c>
      <c r="B130" s="386" t="s">
        <v>239</v>
      </c>
      <c r="C130" s="387">
        <v>60</v>
      </c>
      <c r="D130" s="388">
        <v>0.3599</v>
      </c>
      <c r="E130" s="388">
        <v>1239.9103</v>
      </c>
      <c r="F130" s="388">
        <v>1.0763</v>
      </c>
      <c r="G130" s="24">
        <v>1.95E-2</v>
      </c>
      <c r="H130" s="389">
        <v>1.1599999999999999E-2</v>
      </c>
      <c r="I130" s="23">
        <v>2.0199999999999999E-2</v>
      </c>
      <c r="J130" s="390">
        <v>1.95E-2</v>
      </c>
      <c r="K130" s="377" t="s">
        <v>239</v>
      </c>
      <c r="M130" s="375" t="s">
        <v>239</v>
      </c>
      <c r="N130" s="386" t="s">
        <v>239</v>
      </c>
      <c r="O130" s="387">
        <v>60</v>
      </c>
      <c r="P130" s="388">
        <v>9.2999999999999999E-2</v>
      </c>
      <c r="Q130" s="388">
        <v>834.40020000000004</v>
      </c>
      <c r="R130" s="388">
        <v>0.54090000000000005</v>
      </c>
      <c r="S130" s="24">
        <v>1.5100000000000001E-2</v>
      </c>
      <c r="T130" s="389">
        <v>7.7999999999999996E-3</v>
      </c>
      <c r="U130" s="23">
        <v>7.6E-3</v>
      </c>
      <c r="V130" s="390">
        <v>1.5100000000000001E-2</v>
      </c>
      <c r="W130" s="377" t="s">
        <v>239</v>
      </c>
    </row>
    <row r="131" spans="1:23" x14ac:dyDescent="0.2">
      <c r="A131" s="375" t="s">
        <v>239</v>
      </c>
      <c r="B131" s="386" t="s">
        <v>239</v>
      </c>
      <c r="C131" s="387">
        <v>61</v>
      </c>
      <c r="D131" s="388">
        <v>0.35010000000000002</v>
      </c>
      <c r="E131" s="388">
        <v>1264.0963999999999</v>
      </c>
      <c r="F131" s="388">
        <v>1.1266</v>
      </c>
      <c r="G131" s="24">
        <v>2.06E-2</v>
      </c>
      <c r="H131" s="389">
        <v>1.18E-2</v>
      </c>
      <c r="I131" s="23">
        <v>2.0199999999999999E-2</v>
      </c>
      <c r="J131" s="390">
        <v>2.06E-2</v>
      </c>
      <c r="K131" s="377" t="s">
        <v>239</v>
      </c>
      <c r="M131" s="375" t="s">
        <v>239</v>
      </c>
      <c r="N131" s="386" t="s">
        <v>239</v>
      </c>
      <c r="O131" s="387">
        <v>61</v>
      </c>
      <c r="P131" s="388">
        <v>9.1800000000000007E-2</v>
      </c>
      <c r="Q131" s="388">
        <v>852.48789999999997</v>
      </c>
      <c r="R131" s="388">
        <v>0.58609999999999995</v>
      </c>
      <c r="S131" s="24">
        <v>1.6199999999999999E-2</v>
      </c>
      <c r="T131" s="389">
        <v>8.0000000000000002E-3</v>
      </c>
      <c r="U131" s="23">
        <v>7.7999999999999996E-3</v>
      </c>
      <c r="V131" s="390">
        <v>1.6199999999999999E-2</v>
      </c>
      <c r="W131" s="377" t="s">
        <v>239</v>
      </c>
    </row>
    <row r="132" spans="1:23" x14ac:dyDescent="0.2">
      <c r="A132" s="375" t="s">
        <v>239</v>
      </c>
      <c r="B132" s="386" t="s">
        <v>239</v>
      </c>
      <c r="C132" s="387">
        <v>62</v>
      </c>
      <c r="D132" s="388">
        <v>0.34060000000000001</v>
      </c>
      <c r="E132" s="388">
        <v>1288.7544</v>
      </c>
      <c r="F132" s="388">
        <v>1.1792</v>
      </c>
      <c r="G132" s="24">
        <v>2.1899999999999999E-2</v>
      </c>
      <c r="H132" s="389">
        <v>1.21E-2</v>
      </c>
      <c r="I132" s="23">
        <v>2.01E-2</v>
      </c>
      <c r="J132" s="390">
        <v>2.1899999999999999E-2</v>
      </c>
      <c r="K132" s="377" t="s">
        <v>239</v>
      </c>
      <c r="M132" s="375" t="s">
        <v>239</v>
      </c>
      <c r="N132" s="386" t="s">
        <v>239</v>
      </c>
      <c r="O132" s="387">
        <v>62</v>
      </c>
      <c r="P132" s="388">
        <v>9.0700000000000003E-2</v>
      </c>
      <c r="Q132" s="388">
        <v>870.96770000000004</v>
      </c>
      <c r="R132" s="388">
        <v>0.6351</v>
      </c>
      <c r="S132" s="24">
        <v>1.7299999999999999E-2</v>
      </c>
      <c r="T132" s="389">
        <v>8.2000000000000007E-3</v>
      </c>
      <c r="U132" s="23">
        <v>8.0999999999999996E-3</v>
      </c>
      <c r="V132" s="390">
        <v>1.7299999999999999E-2</v>
      </c>
      <c r="W132" s="377" t="s">
        <v>239</v>
      </c>
    </row>
    <row r="133" spans="1:23" x14ac:dyDescent="0.2">
      <c r="A133" s="375" t="s">
        <v>239</v>
      </c>
      <c r="B133" s="386" t="s">
        <v>239</v>
      </c>
      <c r="C133" s="387">
        <v>63</v>
      </c>
      <c r="D133" s="388">
        <v>0.33129999999999998</v>
      </c>
      <c r="E133" s="388">
        <v>1313.8933</v>
      </c>
      <c r="F133" s="388">
        <v>1.2343</v>
      </c>
      <c r="G133" s="24">
        <v>2.3199999999999998E-2</v>
      </c>
      <c r="H133" s="389">
        <v>1.23E-2</v>
      </c>
      <c r="I133" s="23">
        <v>2.01E-2</v>
      </c>
      <c r="J133" s="390">
        <v>2.3199999999999998E-2</v>
      </c>
      <c r="K133" s="377" t="s">
        <v>239</v>
      </c>
      <c r="M133" s="375" t="s">
        <v>239</v>
      </c>
      <c r="N133" s="386" t="s">
        <v>239</v>
      </c>
      <c r="O133" s="387">
        <v>63</v>
      </c>
      <c r="P133" s="388">
        <v>8.9599999999999999E-2</v>
      </c>
      <c r="Q133" s="388">
        <v>889.84810000000004</v>
      </c>
      <c r="R133" s="388">
        <v>0.68820000000000003</v>
      </c>
      <c r="S133" s="24">
        <v>1.8499999999999999E-2</v>
      </c>
      <c r="T133" s="389">
        <v>8.3000000000000001E-3</v>
      </c>
      <c r="U133" s="23">
        <v>8.3999999999999995E-3</v>
      </c>
      <c r="V133" s="390">
        <v>1.8499999999999999E-2</v>
      </c>
      <c r="W133" s="377" t="s">
        <v>239</v>
      </c>
    </row>
    <row r="134" spans="1:23" x14ac:dyDescent="0.2">
      <c r="A134" s="375" t="s">
        <v>239</v>
      </c>
      <c r="B134" s="386" t="s">
        <v>239</v>
      </c>
      <c r="C134" s="387">
        <v>64</v>
      </c>
      <c r="D134" s="388">
        <v>0.32229999999999998</v>
      </c>
      <c r="E134" s="388">
        <v>1339.5226</v>
      </c>
      <c r="F134" s="388">
        <v>1.292</v>
      </c>
      <c r="G134" s="24">
        <v>2.47E-2</v>
      </c>
      <c r="H134" s="389">
        <v>1.26E-2</v>
      </c>
      <c r="I134" s="23">
        <v>2.01E-2</v>
      </c>
      <c r="J134" s="390">
        <v>2.47E-2</v>
      </c>
      <c r="K134" s="377" t="s">
        <v>239</v>
      </c>
      <c r="M134" s="375" t="s">
        <v>239</v>
      </c>
      <c r="N134" s="386" t="s">
        <v>239</v>
      </c>
      <c r="O134" s="387">
        <v>64</v>
      </c>
      <c r="P134" s="388">
        <v>8.8499999999999995E-2</v>
      </c>
      <c r="Q134" s="388">
        <v>909.1377</v>
      </c>
      <c r="R134" s="388">
        <v>0.74570000000000003</v>
      </c>
      <c r="S134" s="24">
        <v>1.9699999999999999E-2</v>
      </c>
      <c r="T134" s="389">
        <v>8.5000000000000006E-3</v>
      </c>
      <c r="U134" s="23">
        <v>8.6E-3</v>
      </c>
      <c r="V134" s="390">
        <v>1.9699999999999999E-2</v>
      </c>
      <c r="W134" s="377" t="s">
        <v>239</v>
      </c>
    </row>
    <row r="135" spans="1:23" x14ac:dyDescent="0.2">
      <c r="A135" s="375" t="s">
        <v>239</v>
      </c>
      <c r="B135" s="386" t="s">
        <v>239</v>
      </c>
      <c r="C135" s="387">
        <v>65</v>
      </c>
      <c r="D135" s="388">
        <v>0.3135</v>
      </c>
      <c r="E135" s="388">
        <v>1365.6518000000001</v>
      </c>
      <c r="F135" s="388">
        <v>1.3524</v>
      </c>
      <c r="G135" s="24">
        <v>2.6200000000000001E-2</v>
      </c>
      <c r="H135" s="389">
        <v>1.2800000000000001E-2</v>
      </c>
      <c r="I135" s="23">
        <v>0.02</v>
      </c>
      <c r="J135" s="390">
        <v>2.6200000000000001E-2</v>
      </c>
      <c r="K135" s="377" t="s">
        <v>239</v>
      </c>
      <c r="M135" s="375" t="s">
        <v>239</v>
      </c>
      <c r="N135" s="386" t="s">
        <v>239</v>
      </c>
      <c r="O135" s="387">
        <v>65</v>
      </c>
      <c r="P135" s="388">
        <v>8.7400000000000005E-2</v>
      </c>
      <c r="Q135" s="388">
        <v>928.84559999999999</v>
      </c>
      <c r="R135" s="388">
        <v>0.80810000000000004</v>
      </c>
      <c r="S135" s="24">
        <v>2.1100000000000001E-2</v>
      </c>
      <c r="T135" s="389">
        <v>8.6999999999999994E-3</v>
      </c>
      <c r="U135" s="23">
        <v>8.8999999999999999E-3</v>
      </c>
      <c r="V135" s="390">
        <v>2.1100000000000001E-2</v>
      </c>
      <c r="W135" s="377" t="s">
        <v>239</v>
      </c>
    </row>
    <row r="136" spans="1:23" x14ac:dyDescent="0.2">
      <c r="A136" s="375" t="s">
        <v>239</v>
      </c>
      <c r="B136" s="386" t="s">
        <v>239</v>
      </c>
      <c r="C136" s="387">
        <v>66</v>
      </c>
      <c r="D136" s="388">
        <v>0.31309999999999999</v>
      </c>
      <c r="E136" s="388">
        <v>1350.2911999999999</v>
      </c>
      <c r="F136" s="388">
        <v>1.3589</v>
      </c>
      <c r="G136" s="24">
        <v>2.64E-2</v>
      </c>
      <c r="H136" s="389">
        <v>1.2699999999999999E-2</v>
      </c>
      <c r="I136" s="23">
        <v>2.0899999999999998E-2</v>
      </c>
      <c r="J136" s="390">
        <v>2.64E-2</v>
      </c>
      <c r="K136" s="377" t="s">
        <v>239</v>
      </c>
      <c r="M136" s="375" t="s">
        <v>239</v>
      </c>
      <c r="N136" s="386" t="s">
        <v>239</v>
      </c>
      <c r="O136" s="387">
        <v>66</v>
      </c>
      <c r="P136" s="388">
        <v>8.6599999999999996E-2</v>
      </c>
      <c r="Q136" s="388">
        <v>929.4837</v>
      </c>
      <c r="R136" s="388">
        <v>0.8155</v>
      </c>
      <c r="S136" s="24">
        <v>2.1299999999999999E-2</v>
      </c>
      <c r="T136" s="389">
        <v>8.6999999999999994E-3</v>
      </c>
      <c r="U136" s="23">
        <v>9.1000000000000004E-3</v>
      </c>
      <c r="V136" s="390">
        <v>2.1299999999999999E-2</v>
      </c>
      <c r="W136" s="377" t="s">
        <v>239</v>
      </c>
    </row>
    <row r="137" spans="1:23" x14ac:dyDescent="0.2">
      <c r="A137" s="375" t="s">
        <v>239</v>
      </c>
      <c r="B137" s="386" t="s">
        <v>239</v>
      </c>
      <c r="C137" s="387">
        <v>67</v>
      </c>
      <c r="D137" s="388">
        <v>0.31269999999999998</v>
      </c>
      <c r="E137" s="388">
        <v>1335.1033</v>
      </c>
      <c r="F137" s="388">
        <v>1.3654999999999999</v>
      </c>
      <c r="G137" s="24">
        <v>2.6599999999999999E-2</v>
      </c>
      <c r="H137" s="389">
        <v>1.2500000000000001E-2</v>
      </c>
      <c r="I137" s="23">
        <v>2.18E-2</v>
      </c>
      <c r="J137" s="390">
        <v>2.6599999999999999E-2</v>
      </c>
      <c r="K137" s="377" t="s">
        <v>239</v>
      </c>
      <c r="M137" s="375" t="s">
        <v>239</v>
      </c>
      <c r="N137" s="386" t="s">
        <v>239</v>
      </c>
      <c r="O137" s="387">
        <v>67</v>
      </c>
      <c r="P137" s="388">
        <v>8.5800000000000001E-2</v>
      </c>
      <c r="Q137" s="388">
        <v>930.12239999999997</v>
      </c>
      <c r="R137" s="388">
        <v>0.82299999999999995</v>
      </c>
      <c r="S137" s="24">
        <v>2.1600000000000001E-2</v>
      </c>
      <c r="T137" s="389">
        <v>8.6999999999999994E-3</v>
      </c>
      <c r="U137" s="23">
        <v>9.1999999999999998E-3</v>
      </c>
      <c r="V137" s="390">
        <v>2.1600000000000001E-2</v>
      </c>
      <c r="W137" s="377" t="s">
        <v>239</v>
      </c>
    </row>
    <row r="138" spans="1:23" x14ac:dyDescent="0.2">
      <c r="A138" s="375" t="s">
        <v>239</v>
      </c>
      <c r="B138" s="386" t="s">
        <v>239</v>
      </c>
      <c r="C138" s="387">
        <v>68</v>
      </c>
      <c r="D138" s="388">
        <v>0.31240000000000001</v>
      </c>
      <c r="E138" s="388">
        <v>1320.0862</v>
      </c>
      <c r="F138" s="388">
        <v>1.3722000000000001</v>
      </c>
      <c r="G138" s="24">
        <v>2.69E-2</v>
      </c>
      <c r="H138" s="389">
        <v>1.24E-2</v>
      </c>
      <c r="I138" s="23">
        <v>2.2800000000000001E-2</v>
      </c>
      <c r="J138" s="390">
        <v>2.69E-2</v>
      </c>
      <c r="K138" s="377" t="s">
        <v>239</v>
      </c>
      <c r="M138" s="375" t="s">
        <v>239</v>
      </c>
      <c r="N138" s="386" t="s">
        <v>239</v>
      </c>
      <c r="O138" s="387">
        <v>68</v>
      </c>
      <c r="P138" s="388">
        <v>8.5000000000000006E-2</v>
      </c>
      <c r="Q138" s="388">
        <v>930.76139999999998</v>
      </c>
      <c r="R138" s="388">
        <v>0.8306</v>
      </c>
      <c r="S138" s="24">
        <v>2.18E-2</v>
      </c>
      <c r="T138" s="389">
        <v>8.6999999999999994E-3</v>
      </c>
      <c r="U138" s="23">
        <v>9.4000000000000004E-3</v>
      </c>
      <c r="V138" s="390">
        <v>2.18E-2</v>
      </c>
      <c r="W138" s="377" t="s">
        <v>239</v>
      </c>
    </row>
    <row r="139" spans="1:23" x14ac:dyDescent="0.2">
      <c r="A139" s="375" t="s">
        <v>239</v>
      </c>
      <c r="B139" s="386" t="s">
        <v>239</v>
      </c>
      <c r="C139" s="387">
        <v>69</v>
      </c>
      <c r="D139" s="388">
        <v>0.312</v>
      </c>
      <c r="E139" s="388">
        <v>1305.2381</v>
      </c>
      <c r="F139" s="388">
        <v>1.3788</v>
      </c>
      <c r="G139" s="24">
        <v>2.7099999999999999E-2</v>
      </c>
      <c r="H139" s="389">
        <v>1.23E-2</v>
      </c>
      <c r="I139" s="23">
        <v>2.3800000000000002E-2</v>
      </c>
      <c r="J139" s="390">
        <v>2.7099999999999999E-2</v>
      </c>
      <c r="K139" s="377" t="s">
        <v>239</v>
      </c>
      <c r="M139" s="375" t="s">
        <v>239</v>
      </c>
      <c r="N139" s="386" t="s">
        <v>239</v>
      </c>
      <c r="O139" s="387">
        <v>69</v>
      </c>
      <c r="P139" s="388">
        <v>8.4199999999999997E-2</v>
      </c>
      <c r="Q139" s="388">
        <v>931.40089999999998</v>
      </c>
      <c r="R139" s="388">
        <v>0.83830000000000005</v>
      </c>
      <c r="S139" s="24">
        <v>2.1999999999999999E-2</v>
      </c>
      <c r="T139" s="389">
        <v>8.8000000000000005E-3</v>
      </c>
      <c r="U139" s="23">
        <v>9.4999999999999998E-3</v>
      </c>
      <c r="V139" s="390">
        <v>2.1999999999999999E-2</v>
      </c>
      <c r="W139" s="377" t="s">
        <v>239</v>
      </c>
    </row>
    <row r="140" spans="1:23" x14ac:dyDescent="0.2">
      <c r="A140" s="375" t="s">
        <v>239</v>
      </c>
      <c r="B140" s="386" t="s">
        <v>239</v>
      </c>
      <c r="C140" s="387">
        <v>70</v>
      </c>
      <c r="D140" s="388">
        <v>0.31159999999999999</v>
      </c>
      <c r="E140" s="388">
        <v>1290.5569</v>
      </c>
      <c r="F140" s="388">
        <v>1.3855</v>
      </c>
      <c r="G140" s="24">
        <v>2.7300000000000001E-2</v>
      </c>
      <c r="H140" s="389">
        <v>1.2200000000000001E-2</v>
      </c>
      <c r="I140" s="23">
        <v>2.4799999999999999E-2</v>
      </c>
      <c r="J140" s="390">
        <v>2.7300000000000001E-2</v>
      </c>
      <c r="K140" s="377" t="s">
        <v>239</v>
      </c>
      <c r="M140" s="375" t="s">
        <v>239</v>
      </c>
      <c r="N140" s="386" t="s">
        <v>239</v>
      </c>
      <c r="O140" s="387">
        <v>70</v>
      </c>
      <c r="P140" s="388">
        <v>8.3400000000000002E-2</v>
      </c>
      <c r="Q140" s="388">
        <v>932.04079999999999</v>
      </c>
      <c r="R140" s="388">
        <v>0.84599999999999997</v>
      </c>
      <c r="S140" s="24">
        <v>2.23E-2</v>
      </c>
      <c r="T140" s="389">
        <v>8.8000000000000005E-3</v>
      </c>
      <c r="U140" s="23">
        <v>9.7000000000000003E-3</v>
      </c>
      <c r="V140" s="390">
        <v>2.23E-2</v>
      </c>
      <c r="W140" s="377" t="s">
        <v>239</v>
      </c>
    </row>
  </sheetData>
  <pageMargins left="0.7" right="0.7" top="0.75" bottom="0.75" header="0.3" footer="0.3"/>
  <pageSetup orientation="portrait" horizontalDpi="300" verticalDpi="0" copies="0" r:id="rId1"/>
  <headerFooter>
    <oddHeader>&amp;LPost Street Rail Crossing Project
CRISI 2022 BCA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C0B19702AEB448A48750F8DE551769" ma:contentTypeVersion="16" ma:contentTypeDescription="Create a new document." ma:contentTypeScope="" ma:versionID="c884316b9d825100e7c133b5fbf07b3e">
  <xsd:schema xmlns:xsd="http://www.w3.org/2001/XMLSchema" xmlns:xs="http://www.w3.org/2001/XMLSchema" xmlns:p="http://schemas.microsoft.com/office/2006/metadata/properties" xmlns:ns2="c18e8617-fc0f-4dda-a87a-c0ec120ddf92" xmlns:ns3="688a7a53-c4c9-4401-b6ff-67ad8d2fd350" xmlns:ns4="bf7186fe-3b84-4f91-ab24-aa7a3d570376" targetNamespace="http://schemas.microsoft.com/office/2006/metadata/properties" ma:root="true" ma:fieldsID="4958cb0e682759ba0b062a1170fe59b6" ns2:_="" ns3:_="" ns4:_="">
    <xsd:import namespace="c18e8617-fc0f-4dda-a87a-c0ec120ddf92"/>
    <xsd:import namespace="688a7a53-c4c9-4401-b6ff-67ad8d2fd350"/>
    <xsd:import namespace="bf7186fe-3b84-4f91-ab24-aa7a3d57037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8e8617-fc0f-4dda-a87a-c0ec120ddf9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8a7a53-c4c9-4401-b6ff-67ad8d2fd3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7186fe-3b84-4f91-ab24-aa7a3d570376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/>
</file>

<file path=customXml/item3.xml><?xml version="1.0" encoding="utf-8"?>
<?mso-contentType ?>
<SharedContentType xmlns="Microsoft.SharePoint.Taxonomy.ContentTypeSync" SourceId="781a52b0-d0f4-44f0-98bb-0d102f5fd161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82DF27D-947E-42DA-A4CC-415A5C747C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8e8617-fc0f-4dda-a87a-c0ec120ddf92"/>
    <ds:schemaRef ds:uri="688a7a53-c4c9-4401-b6ff-67ad8d2fd350"/>
    <ds:schemaRef ds:uri="bf7186fe-3b84-4f91-ab24-aa7a3d5703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BDB3F0-8374-45EC-9335-E8DB7FB603F0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77AD99F6-2623-4100-99C1-CA2937CC527C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E2AA03A5-88D7-487B-86AA-2DD8219007DD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FACA2BDA-6228-4910-BB02-D2ED1EB9094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21</vt:i4>
      </vt:variant>
    </vt:vector>
  </HeadingPairs>
  <TitlesOfParts>
    <vt:vector size="33" baseType="lpstr">
      <vt:lpstr>A - Inputs</vt:lpstr>
      <vt:lpstr>B - Output Table</vt:lpstr>
      <vt:lpstr>C - Summary</vt:lpstr>
      <vt:lpstr>D - Cost Estimate</vt:lpstr>
      <vt:lpstr>E - Construction &amp; Residual</vt:lpstr>
      <vt:lpstr>F - Maintenance &amp; SOGR</vt:lpstr>
      <vt:lpstr>G - Crash Savings</vt:lpstr>
      <vt:lpstr>I - Travel Time</vt:lpstr>
      <vt:lpstr>J -Operating Cost Savings</vt:lpstr>
      <vt:lpstr>L - Environmental</vt:lpstr>
      <vt:lpstr>H - Emergency Services</vt:lpstr>
      <vt:lpstr>Emission Rates</vt:lpstr>
      <vt:lpstr>AnalysisPd</vt:lpstr>
      <vt:lpstr>BaseYear</vt:lpstr>
      <vt:lpstr>BenefitStart</vt:lpstr>
      <vt:lpstr>disc1</vt:lpstr>
      <vt:lpstr>disc2</vt:lpstr>
      <vt:lpstr>'A - Inputs'!Print_Area</vt:lpstr>
      <vt:lpstr>'B - Output Table'!Print_Area</vt:lpstr>
      <vt:lpstr>'C - Summary'!Print_Area</vt:lpstr>
      <vt:lpstr>'D - Cost Estimate'!Print_Area</vt:lpstr>
      <vt:lpstr>'E - Construction &amp; Residual'!Print_Area</vt:lpstr>
      <vt:lpstr>'F - Maintenance &amp; SOGR'!Print_Area</vt:lpstr>
      <vt:lpstr>'G - Crash Savings'!Print_Area</vt:lpstr>
      <vt:lpstr>'H - Emergency Services'!Print_Area</vt:lpstr>
      <vt:lpstr>'I - Travel Time'!Print_Area</vt:lpstr>
      <vt:lpstr>'J -Operating Cost Savings'!Print_Area</vt:lpstr>
      <vt:lpstr>'L - Environmental'!Print_Area</vt:lpstr>
      <vt:lpstr>'I - Travel Time'!Print_Titles</vt:lpstr>
      <vt:lpstr>'J -Operating Cost Savings'!Print_Titles</vt:lpstr>
      <vt:lpstr>ProjStartYr</vt:lpstr>
      <vt:lpstr>ProjUseStart</vt:lpstr>
      <vt:lpstr>YearDays</vt:lpstr>
    </vt:vector>
  </TitlesOfParts>
  <Manager/>
  <Company>Northwest Design Group,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Winfield</dc:creator>
  <cp:keywords/>
  <dc:description/>
  <cp:lastModifiedBy>Crozier, Joe</cp:lastModifiedBy>
  <cp:revision/>
  <dcterms:created xsi:type="dcterms:W3CDTF">2011-10-10T20:23:01Z</dcterms:created>
  <dcterms:modified xsi:type="dcterms:W3CDTF">2022-11-03T15:22:13Z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0x010100FEC0B19702AEB448A48750F8DE551769</vt:lpwstr>
  </property>
</Properties>
</file>