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ebpgroup.sharepoint.com/sites/US_W_All_Staff/Freigegebene Dokumente/Small Projects/1049 - FDOT Hatchet Creek Bridge - KH/BCA model/"/>
    </mc:Choice>
  </mc:AlternateContent>
  <xr:revisionPtr revIDLastSave="902" documentId="8_{E005166B-5484-4280-8404-1CD9D866FD07}" xr6:coauthVersionLast="47" xr6:coauthVersionMax="47" xr10:uidLastSave="{14ACDDF6-FD9C-4915-9BC6-89D00205B8AA}"/>
  <bookViews>
    <workbookView xWindow="-110" yWindow="-110" windowWidth="19420" windowHeight="10420" tabRatio="786" firstSheet="15" activeTab="18" xr2:uid="{D9592330-F94D-418B-A55C-A04D45C285FD}"/>
  </bookViews>
  <sheets>
    <sheet name="Results" sheetId="3" r:id="rId1"/>
    <sheet name="Financial Return" sheetId="22" state="hidden" r:id="rId2"/>
    <sheet name="Costs" sheetId="1" r:id="rId3"/>
    <sheet name="Delay Savings - Bridge Link" sheetId="23" state="hidden" r:id="rId4"/>
    <sheet name="Maintenance Cost Savings" sheetId="28" r:id="rId5"/>
    <sheet name="Structurally Deficient Impact" sheetId="36" r:id="rId6"/>
    <sheet name="Unaccomodated Rail Freight" sheetId="25" state="hidden" r:id="rId7"/>
    <sheet name="Truck VMT VHT reductions" sheetId="20" state="hidden" r:id="rId8"/>
    <sheet name="Emissions" sheetId="14" state="hidden" r:id="rId9"/>
    <sheet name="Crash Reduction" sheetId="6" state="hidden" r:id="rId10"/>
    <sheet name="Land Productivity Benefits" sheetId="16" state="hidden" r:id="rId11"/>
    <sheet name="Reduced Pavement Damage" sheetId="21" state="hidden" r:id="rId12"/>
    <sheet name="VMT-PHT Savings - Storm Close" sheetId="31" r:id="rId13"/>
    <sheet name="TT Benefits - Storm Close" sheetId="34" r:id="rId14"/>
    <sheet name="Repair Cost - Storm Close" sheetId="37" r:id="rId15"/>
    <sheet name="VOC Benefits - Storm Close" sheetId="35" r:id="rId16"/>
    <sheet name="Emission Benefits - Storm Close" sheetId="33" r:id="rId17"/>
    <sheet name="Look Up Data" sheetId="5" r:id="rId18"/>
    <sheet name="Avoided Emissions Summary" sheetId="38" r:id="rId19"/>
    <sheet name="Sheet1" sheetId="9" state="hidden"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 i="3" l="1"/>
  <c r="C8" i="3"/>
  <c r="D4" i="38"/>
  <c r="D5" i="38"/>
  <c r="D6" i="38"/>
  <c r="D3" i="38"/>
  <c r="H7" i="33"/>
  <c r="B18" i="36"/>
  <c r="C4" i="38"/>
  <c r="C5" i="38"/>
  <c r="C6" i="38"/>
  <c r="B4" i="38"/>
  <c r="B5" i="38"/>
  <c r="B6" i="38"/>
  <c r="C47" i="36"/>
  <c r="D47" i="36"/>
  <c r="E47" i="36"/>
  <c r="F47" i="36"/>
  <c r="G47" i="36"/>
  <c r="H47" i="36"/>
  <c r="I47" i="36"/>
  <c r="J47" i="36"/>
  <c r="K47" i="36"/>
  <c r="L47" i="36"/>
  <c r="M47" i="36"/>
  <c r="N47" i="36"/>
  <c r="O47" i="36"/>
  <c r="P47" i="36"/>
  <c r="Q47" i="36"/>
  <c r="R47" i="36"/>
  <c r="S47" i="36"/>
  <c r="T47" i="36"/>
  <c r="U47" i="36"/>
  <c r="B46" i="36"/>
  <c r="B44" i="36"/>
  <c r="B43" i="36"/>
  <c r="B42" i="36"/>
  <c r="C6" i="37"/>
  <c r="B32" i="36"/>
  <c r="E7" i="37"/>
  <c r="F7" i="37" s="1"/>
  <c r="G7" i="37" s="1"/>
  <c r="H7" i="37" s="1"/>
  <c r="I7" i="37" s="1"/>
  <c r="J7" i="37" s="1"/>
  <c r="K7" i="37" s="1"/>
  <c r="L7" i="37" s="1"/>
  <c r="M7" i="37" s="1"/>
  <c r="N7" i="37" s="1"/>
  <c r="O7" i="37" s="1"/>
  <c r="P7" i="37" s="1"/>
  <c r="Q7" i="37" s="1"/>
  <c r="R7" i="37" s="1"/>
  <c r="S7" i="37" s="1"/>
  <c r="T7" i="37" s="1"/>
  <c r="U7" i="37" s="1"/>
  <c r="V7" i="37" s="1"/>
  <c r="D7" i="37"/>
  <c r="C7" i="37"/>
  <c r="B7" i="5"/>
  <c r="C4" i="33"/>
  <c r="D4" i="33" s="1"/>
  <c r="E4" i="33" s="1"/>
  <c r="F4" i="33" s="1"/>
  <c r="G4" i="33" s="1"/>
  <c r="J12" i="31"/>
  <c r="K12" i="31"/>
  <c r="L12" i="31"/>
  <c r="M12" i="31"/>
  <c r="N12" i="31"/>
  <c r="O12" i="31"/>
  <c r="P12" i="31"/>
  <c r="Q12" i="31"/>
  <c r="R12" i="31"/>
  <c r="S12" i="31"/>
  <c r="T12" i="31"/>
  <c r="U12" i="31"/>
  <c r="V12" i="31"/>
  <c r="W12" i="31"/>
  <c r="X12" i="31"/>
  <c r="Y12" i="31"/>
  <c r="Z12" i="31"/>
  <c r="AA12" i="31"/>
  <c r="AB12" i="31"/>
  <c r="I12" i="31"/>
  <c r="D6" i="37"/>
  <c r="E6" i="37"/>
  <c r="F6" i="37"/>
  <c r="G6" i="37"/>
  <c r="H6" i="37"/>
  <c r="I6" i="37"/>
  <c r="J6" i="37"/>
  <c r="K6" i="37"/>
  <c r="L6" i="37"/>
  <c r="M6" i="37"/>
  <c r="N6" i="37"/>
  <c r="O6" i="37"/>
  <c r="P6" i="37"/>
  <c r="Q6" i="37"/>
  <c r="R6" i="37"/>
  <c r="S6" i="37"/>
  <c r="T6" i="37"/>
  <c r="U6" i="37"/>
  <c r="V6" i="37"/>
  <c r="E68" i="5"/>
  <c r="C12" i="36" l="1"/>
  <c r="D12" i="36"/>
  <c r="E12" i="36"/>
  <c r="F12" i="36"/>
  <c r="G12" i="36"/>
  <c r="H12" i="36"/>
  <c r="I12" i="36"/>
  <c r="J12" i="36"/>
  <c r="K12" i="36"/>
  <c r="L12" i="36"/>
  <c r="M12" i="36"/>
  <c r="N12" i="36"/>
  <c r="O12" i="36"/>
  <c r="P12" i="36"/>
  <c r="Q12" i="36"/>
  <c r="R12" i="36"/>
  <c r="S12" i="36"/>
  <c r="T12" i="36"/>
  <c r="U12" i="36"/>
  <c r="B12" i="36"/>
  <c r="C16" i="1"/>
  <c r="C11" i="1"/>
  <c r="AC13" i="1"/>
  <c r="C12" i="1" s="1"/>
  <c r="C10" i="1"/>
  <c r="G9" i="1"/>
  <c r="I9" i="1"/>
  <c r="I7" i="31"/>
  <c r="J7" i="31" s="1"/>
  <c r="C4" i="36"/>
  <c r="D4" i="36" s="1"/>
  <c r="E4" i="36" s="1"/>
  <c r="F4" i="36" s="1"/>
  <c r="G4" i="36" s="1"/>
  <c r="H4" i="36" s="1"/>
  <c r="I4" i="36" s="1"/>
  <c r="J4" i="36" s="1"/>
  <c r="K4" i="36" s="1"/>
  <c r="L4" i="36" s="1"/>
  <c r="M4" i="36" s="1"/>
  <c r="N4" i="36" s="1"/>
  <c r="O4" i="36" s="1"/>
  <c r="P4" i="36" s="1"/>
  <c r="Q4" i="36" s="1"/>
  <c r="R4" i="36" s="1"/>
  <c r="S4" i="36" s="1"/>
  <c r="T4" i="36" s="1"/>
  <c r="U4" i="36" s="1"/>
  <c r="C3" i="36"/>
  <c r="D4" i="37"/>
  <c r="E4" i="37" s="1"/>
  <c r="F4" i="37" s="1"/>
  <c r="G4" i="37" s="1"/>
  <c r="H4" i="37" s="1"/>
  <c r="I4" i="37" s="1"/>
  <c r="J4" i="37" s="1"/>
  <c r="K4" i="37" s="1"/>
  <c r="L4" i="37" s="1"/>
  <c r="M4" i="37" s="1"/>
  <c r="N4" i="37" s="1"/>
  <c r="O4" i="37" s="1"/>
  <c r="P4" i="37" s="1"/>
  <c r="Q4" i="37" s="1"/>
  <c r="R4" i="37" s="1"/>
  <c r="S4" i="37" s="1"/>
  <c r="T4" i="37" s="1"/>
  <c r="U4" i="37" s="1"/>
  <c r="V4" i="37" s="1"/>
  <c r="D3" i="37"/>
  <c r="E3" i="37" s="1"/>
  <c r="F3" i="37" s="1"/>
  <c r="G3" i="37" s="1"/>
  <c r="H3" i="37" s="1"/>
  <c r="I3" i="37" s="1"/>
  <c r="J3" i="37" s="1"/>
  <c r="K3" i="37" s="1"/>
  <c r="L3" i="37" s="1"/>
  <c r="M3" i="37" s="1"/>
  <c r="N3" i="37" s="1"/>
  <c r="O3" i="37" s="1"/>
  <c r="P3" i="37" s="1"/>
  <c r="Q3" i="37" s="1"/>
  <c r="R3" i="37" s="1"/>
  <c r="S3" i="37" s="1"/>
  <c r="T3" i="37" s="1"/>
  <c r="U3" i="37" s="1"/>
  <c r="V3" i="37" s="1"/>
  <c r="I30" i="5"/>
  <c r="I29" i="5"/>
  <c r="I28" i="5"/>
  <c r="I27" i="5"/>
  <c r="I25" i="5"/>
  <c r="I24" i="5"/>
  <c r="I23" i="5"/>
  <c r="I22" i="5"/>
  <c r="I20" i="5"/>
  <c r="I19" i="5"/>
  <c r="I18" i="5"/>
  <c r="I17" i="5"/>
  <c r="F33" i="5"/>
  <c r="G33" i="5" s="1"/>
  <c r="H33" i="5" s="1"/>
  <c r="I33" i="5" s="1"/>
  <c r="D3" i="36" l="1"/>
  <c r="C32" i="36"/>
  <c r="K7" i="31"/>
  <c r="J18" i="31"/>
  <c r="J19" i="31"/>
  <c r="H4" i="33"/>
  <c r="I4" i="33" s="1"/>
  <c r="J4" i="33" s="1"/>
  <c r="K4" i="33" s="1"/>
  <c r="L4" i="33" s="1"/>
  <c r="M4" i="33" s="1"/>
  <c r="N4" i="33" s="1"/>
  <c r="O4" i="33" s="1"/>
  <c r="P4" i="33" s="1"/>
  <c r="Q4" i="33" s="1"/>
  <c r="R4" i="33" s="1"/>
  <c r="S4" i="33" s="1"/>
  <c r="T4" i="33" s="1"/>
  <c r="U4" i="33" s="1"/>
  <c r="V4" i="33" s="1"/>
  <c r="W4" i="33" s="1"/>
  <c r="X4" i="33" s="1"/>
  <c r="Y4" i="33" s="1"/>
  <c r="Z4" i="33" s="1"/>
  <c r="AA4" i="33" s="1"/>
  <c r="I3" i="33"/>
  <c r="J3" i="33" s="1"/>
  <c r="K3" i="33" s="1"/>
  <c r="L3" i="33" s="1"/>
  <c r="M3" i="33" s="1"/>
  <c r="N3" i="33" s="1"/>
  <c r="O3" i="33" s="1"/>
  <c r="P3" i="33" s="1"/>
  <c r="Q3" i="33" s="1"/>
  <c r="R3" i="33" s="1"/>
  <c r="S3" i="33" s="1"/>
  <c r="T3" i="33" s="1"/>
  <c r="U3" i="33" s="1"/>
  <c r="V3" i="33" s="1"/>
  <c r="W3" i="33" s="1"/>
  <c r="X3" i="33" s="1"/>
  <c r="Y3" i="33" s="1"/>
  <c r="Z3" i="33" s="1"/>
  <c r="AA3" i="33" s="1"/>
  <c r="D4" i="35"/>
  <c r="E4" i="35" s="1"/>
  <c r="F4" i="35" s="1"/>
  <c r="G4" i="35" s="1"/>
  <c r="H4" i="35" s="1"/>
  <c r="I4" i="35" s="1"/>
  <c r="J4" i="35" s="1"/>
  <c r="K4" i="35" s="1"/>
  <c r="L4" i="35" s="1"/>
  <c r="M4" i="35" s="1"/>
  <c r="N4" i="35" s="1"/>
  <c r="O4" i="35" s="1"/>
  <c r="P4" i="35" s="1"/>
  <c r="Q4" i="35" s="1"/>
  <c r="R4" i="35" s="1"/>
  <c r="S4" i="35" s="1"/>
  <c r="T4" i="35" s="1"/>
  <c r="U4" i="35" s="1"/>
  <c r="V4" i="35" s="1"/>
  <c r="D3" i="35"/>
  <c r="E3" i="35" s="1"/>
  <c r="F3" i="35" s="1"/>
  <c r="G3" i="35" s="1"/>
  <c r="H3" i="35" s="1"/>
  <c r="I3" i="35" s="1"/>
  <c r="J3" i="35" s="1"/>
  <c r="K3" i="35" s="1"/>
  <c r="L3" i="35" s="1"/>
  <c r="M3" i="35" s="1"/>
  <c r="N3" i="35" s="1"/>
  <c r="O3" i="35" s="1"/>
  <c r="P3" i="35" s="1"/>
  <c r="Q3" i="35" s="1"/>
  <c r="R3" i="35" s="1"/>
  <c r="S3" i="35" s="1"/>
  <c r="T3" i="35" s="1"/>
  <c r="U3" i="35" s="1"/>
  <c r="V3" i="35" s="1"/>
  <c r="D6" i="35"/>
  <c r="D4" i="34"/>
  <c r="E4" i="34" s="1"/>
  <c r="F4" i="34" s="1"/>
  <c r="G4" i="34" s="1"/>
  <c r="H4" i="34" s="1"/>
  <c r="I4" i="34" s="1"/>
  <c r="J4" i="34" s="1"/>
  <c r="K4" i="34" s="1"/>
  <c r="L4" i="34" s="1"/>
  <c r="M4" i="34" s="1"/>
  <c r="N4" i="34" s="1"/>
  <c r="O4" i="34" s="1"/>
  <c r="P4" i="34" s="1"/>
  <c r="Q4" i="34" s="1"/>
  <c r="R4" i="34" s="1"/>
  <c r="S4" i="34" s="1"/>
  <c r="T4" i="34" s="1"/>
  <c r="U4" i="34" s="1"/>
  <c r="V4" i="34" s="1"/>
  <c r="D3" i="34"/>
  <c r="E3" i="34" s="1"/>
  <c r="F3" i="34" s="1"/>
  <c r="G3" i="34" s="1"/>
  <c r="H3" i="34" s="1"/>
  <c r="I3" i="34" s="1"/>
  <c r="J3" i="34" s="1"/>
  <c r="K3" i="34" s="1"/>
  <c r="L3" i="34" s="1"/>
  <c r="M3" i="34" s="1"/>
  <c r="N3" i="34" s="1"/>
  <c r="O3" i="34" s="1"/>
  <c r="P3" i="34" s="1"/>
  <c r="Q3" i="34" s="1"/>
  <c r="R3" i="34" s="1"/>
  <c r="S3" i="34" s="1"/>
  <c r="T3" i="34" s="1"/>
  <c r="U3" i="34" s="1"/>
  <c r="V3" i="34" s="1"/>
  <c r="AB11" i="31"/>
  <c r="AA11" i="31"/>
  <c r="Z11" i="31"/>
  <c r="Y11" i="31"/>
  <c r="X11" i="31"/>
  <c r="W11" i="31"/>
  <c r="V11" i="31"/>
  <c r="U11" i="31"/>
  <c r="T11" i="31"/>
  <c r="S11" i="31"/>
  <c r="R11" i="31"/>
  <c r="Q11" i="31"/>
  <c r="P11" i="31"/>
  <c r="I6" i="36" s="1"/>
  <c r="I8" i="36" s="1"/>
  <c r="I10" i="36" s="1"/>
  <c r="O11" i="31"/>
  <c r="N11" i="31"/>
  <c r="M11" i="31"/>
  <c r="L11" i="31"/>
  <c r="K11" i="31"/>
  <c r="J11" i="31"/>
  <c r="R10" i="31"/>
  <c r="J10" i="31"/>
  <c r="I11" i="31"/>
  <c r="I19" i="31" s="1"/>
  <c r="B30" i="1"/>
  <c r="D4" i="31"/>
  <c r="E4" i="31" s="1"/>
  <c r="F4" i="31" s="1"/>
  <c r="G4" i="31" s="1"/>
  <c r="H4" i="31" s="1"/>
  <c r="I4" i="31" s="1"/>
  <c r="J4" i="31" s="1"/>
  <c r="K4" i="31" s="1"/>
  <c r="L4" i="31" s="1"/>
  <c r="M4" i="31" s="1"/>
  <c r="N4" i="31" s="1"/>
  <c r="O4" i="31" s="1"/>
  <c r="P4" i="31" s="1"/>
  <c r="Q4" i="31" s="1"/>
  <c r="R4" i="31" s="1"/>
  <c r="S4" i="31" s="1"/>
  <c r="T4" i="31" s="1"/>
  <c r="U4" i="31" s="1"/>
  <c r="V4" i="31" s="1"/>
  <c r="W4" i="31" s="1"/>
  <c r="X4" i="31" s="1"/>
  <c r="Y4" i="31" s="1"/>
  <c r="Z4" i="31" s="1"/>
  <c r="AA4" i="31" s="1"/>
  <c r="AB4" i="31" s="1"/>
  <c r="J3" i="31"/>
  <c r="K3" i="31" s="1"/>
  <c r="L3" i="31" s="1"/>
  <c r="M3" i="31" s="1"/>
  <c r="N3" i="31" s="1"/>
  <c r="O3" i="31" s="1"/>
  <c r="P3" i="31" s="1"/>
  <c r="Q3" i="31" s="1"/>
  <c r="R3" i="31" s="1"/>
  <c r="S3" i="31" s="1"/>
  <c r="T3" i="31" s="1"/>
  <c r="U3" i="31" s="1"/>
  <c r="V3" i="31" s="1"/>
  <c r="W3" i="31" s="1"/>
  <c r="X3" i="31" s="1"/>
  <c r="Y3" i="31" s="1"/>
  <c r="Z3" i="31" s="1"/>
  <c r="AA3" i="31" s="1"/>
  <c r="AB3" i="31" s="1"/>
  <c r="W12" i="28"/>
  <c r="AA12" i="28"/>
  <c r="Z12" i="28"/>
  <c r="Y12" i="28"/>
  <c r="X12" i="28"/>
  <c r="V12" i="28"/>
  <c r="U12" i="28"/>
  <c r="T12" i="28"/>
  <c r="S12" i="28"/>
  <c r="R12" i="28"/>
  <c r="Q12" i="28"/>
  <c r="P12" i="28"/>
  <c r="O12" i="28"/>
  <c r="N12" i="28"/>
  <c r="M12" i="28"/>
  <c r="L12" i="28"/>
  <c r="K12" i="28"/>
  <c r="J12" i="28"/>
  <c r="I12" i="28"/>
  <c r="H12" i="28"/>
  <c r="C4" i="28"/>
  <c r="D4" i="28" s="1"/>
  <c r="E4" i="28" s="1"/>
  <c r="F4" i="28" s="1"/>
  <c r="G4" i="28" s="1"/>
  <c r="H4" i="28" s="1"/>
  <c r="I4" i="28" s="1"/>
  <c r="J4" i="28" s="1"/>
  <c r="K4" i="28" s="1"/>
  <c r="L4" i="28" s="1"/>
  <c r="M4" i="28" s="1"/>
  <c r="N4" i="28" s="1"/>
  <c r="O4" i="28" s="1"/>
  <c r="P4" i="28" s="1"/>
  <c r="Q4" i="28" s="1"/>
  <c r="R4" i="28" s="1"/>
  <c r="S4" i="28" s="1"/>
  <c r="T4" i="28" s="1"/>
  <c r="U4" i="28" s="1"/>
  <c r="V4" i="28" s="1"/>
  <c r="W4" i="28" s="1"/>
  <c r="X4" i="28" s="1"/>
  <c r="Y4" i="28" s="1"/>
  <c r="Z4" i="28" s="1"/>
  <c r="AA4" i="28" s="1"/>
  <c r="I3" i="28"/>
  <c r="J3" i="28" s="1"/>
  <c r="K3" i="28" s="1"/>
  <c r="L3" i="28" s="1"/>
  <c r="M3" i="28" s="1"/>
  <c r="N3" i="28" s="1"/>
  <c r="O3" i="28" s="1"/>
  <c r="P3" i="28" s="1"/>
  <c r="Q3" i="28" s="1"/>
  <c r="R3" i="28" s="1"/>
  <c r="S3" i="28" s="1"/>
  <c r="T3" i="28" s="1"/>
  <c r="U3" i="28" s="1"/>
  <c r="V3" i="28" s="1"/>
  <c r="W3" i="28" s="1"/>
  <c r="X3" i="28" s="1"/>
  <c r="Y3" i="28" s="1"/>
  <c r="Z3" i="28" s="1"/>
  <c r="AA3" i="28" s="1"/>
  <c r="K3" i="1"/>
  <c r="L3" i="1" s="1"/>
  <c r="M3" i="1" s="1"/>
  <c r="N3" i="1" s="1"/>
  <c r="O3" i="1" s="1"/>
  <c r="P3" i="1" s="1"/>
  <c r="Q3" i="1" s="1"/>
  <c r="R3" i="1" s="1"/>
  <c r="S3" i="1" s="1"/>
  <c r="T3" i="1" s="1"/>
  <c r="U3" i="1" s="1"/>
  <c r="V3" i="1" s="1"/>
  <c r="W3" i="1" s="1"/>
  <c r="X3" i="1" s="1"/>
  <c r="J5" i="3"/>
  <c r="K5" i="3" s="1"/>
  <c r="L5" i="3" s="1"/>
  <c r="M5" i="3" s="1"/>
  <c r="N5" i="3" s="1"/>
  <c r="O5" i="3" s="1"/>
  <c r="P5" i="3" s="1"/>
  <c r="Q5" i="3" s="1"/>
  <c r="R5" i="3" s="1"/>
  <c r="S5" i="3" s="1"/>
  <c r="T5" i="3" s="1"/>
  <c r="U5" i="3" s="1"/>
  <c r="V5" i="3" s="1"/>
  <c r="W5" i="3" s="1"/>
  <c r="X5" i="3" s="1"/>
  <c r="Y5" i="3" s="1"/>
  <c r="Z5" i="3" s="1"/>
  <c r="AA5" i="3" s="1"/>
  <c r="AB5" i="3" s="1"/>
  <c r="E3" i="36" l="1"/>
  <c r="D32" i="36"/>
  <c r="I20" i="36"/>
  <c r="I18" i="36"/>
  <c r="I19" i="36"/>
  <c r="I21" i="36"/>
  <c r="L7" i="31"/>
  <c r="K19" i="31"/>
  <c r="E7" i="35" s="1"/>
  <c r="K18" i="31"/>
  <c r="I11" i="36"/>
  <c r="J6" i="36"/>
  <c r="J8" i="36" s="1"/>
  <c r="J10" i="36" s="1"/>
  <c r="AA10" i="31"/>
  <c r="T6" i="36"/>
  <c r="T8" i="36" s="1"/>
  <c r="T10" i="36" s="1"/>
  <c r="L10" i="31"/>
  <c r="E6" i="36"/>
  <c r="E8" i="36" s="1"/>
  <c r="E10" i="36" s="1"/>
  <c r="U6" i="36"/>
  <c r="U8" i="36" s="1"/>
  <c r="U10" i="36" s="1"/>
  <c r="M10" i="31"/>
  <c r="F6" i="36"/>
  <c r="F8" i="36" s="1"/>
  <c r="F10" i="36" s="1"/>
  <c r="U10" i="31"/>
  <c r="N6" i="36"/>
  <c r="N8" i="36" s="1"/>
  <c r="N10" i="36" s="1"/>
  <c r="L6" i="36"/>
  <c r="L8" i="36" s="1"/>
  <c r="L10" i="36" s="1"/>
  <c r="I10" i="31"/>
  <c r="I18" i="31" s="1"/>
  <c r="H8" i="33" s="1"/>
  <c r="B6" i="36"/>
  <c r="B8" i="36" s="1"/>
  <c r="B10" i="36" s="1"/>
  <c r="T10" i="31"/>
  <c r="M6" i="36"/>
  <c r="M8" i="36" s="1"/>
  <c r="M10" i="36" s="1"/>
  <c r="P10" i="31"/>
  <c r="N10" i="31"/>
  <c r="G6" i="36"/>
  <c r="G8" i="36" s="1"/>
  <c r="G10" i="36" s="1"/>
  <c r="G18" i="36" s="1"/>
  <c r="V10" i="31"/>
  <c r="O6" i="36"/>
  <c r="O8" i="36" s="1"/>
  <c r="O10" i="36" s="1"/>
  <c r="R6" i="36"/>
  <c r="R8" i="36" s="1"/>
  <c r="R10" i="36" s="1"/>
  <c r="O10" i="31"/>
  <c r="H6" i="36"/>
  <c r="H8" i="36" s="1"/>
  <c r="H10" i="36" s="1"/>
  <c r="W10" i="31"/>
  <c r="P6" i="36"/>
  <c r="P8" i="36" s="1"/>
  <c r="P10" i="36" s="1"/>
  <c r="Y10" i="31"/>
  <c r="D6" i="36"/>
  <c r="D8" i="36" s="1"/>
  <c r="D10" i="36" s="1"/>
  <c r="Q10" i="31"/>
  <c r="X10" i="31"/>
  <c r="Q6" i="36"/>
  <c r="Q8" i="36" s="1"/>
  <c r="Q10" i="36" s="1"/>
  <c r="C7" i="35"/>
  <c r="C6" i="36"/>
  <c r="C8" i="36" s="1"/>
  <c r="C10" i="36" s="1"/>
  <c r="K6" i="36"/>
  <c r="K8" i="36" s="1"/>
  <c r="K10" i="36" s="1"/>
  <c r="S6" i="36"/>
  <c r="S8" i="36" s="1"/>
  <c r="S10" i="36" s="1"/>
  <c r="H13" i="33"/>
  <c r="I15" i="36"/>
  <c r="D7" i="35"/>
  <c r="J22" i="31"/>
  <c r="J25" i="31" s="1"/>
  <c r="S10" i="31"/>
  <c r="Z10" i="31"/>
  <c r="J21" i="31"/>
  <c r="J24" i="31" s="1"/>
  <c r="H10" i="33"/>
  <c r="H9" i="33"/>
  <c r="C6" i="35"/>
  <c r="I21" i="31"/>
  <c r="I24" i="31" s="1"/>
  <c r="K10" i="31"/>
  <c r="AB10" i="31"/>
  <c r="I22" i="31"/>
  <c r="I25" i="31" s="1"/>
  <c r="C7" i="34" s="1"/>
  <c r="J7" i="22"/>
  <c r="H7" i="22"/>
  <c r="D6" i="3"/>
  <c r="E6" i="3" s="1"/>
  <c r="E26" i="14"/>
  <c r="F7" i="6"/>
  <c r="A16" i="6" s="1"/>
  <c r="B40" i="6" s="1"/>
  <c r="B6" i="21"/>
  <c r="C6" i="21" s="1"/>
  <c r="D6" i="21" s="1"/>
  <c r="E6" i="21" s="1"/>
  <c r="F6" i="21" s="1"/>
  <c r="G6" i="21" s="1"/>
  <c r="H6" i="21" s="1"/>
  <c r="I6" i="21" s="1"/>
  <c r="J6" i="21" s="1"/>
  <c r="K6" i="21" s="1"/>
  <c r="L6" i="21" s="1"/>
  <c r="M6" i="21" s="1"/>
  <c r="N6" i="21" s="1"/>
  <c r="O6" i="21" s="1"/>
  <c r="P6" i="21" s="1"/>
  <c r="Q6" i="21" s="1"/>
  <c r="R6" i="21" s="1"/>
  <c r="S6" i="21" s="1"/>
  <c r="T6" i="21" s="1"/>
  <c r="U6" i="21" s="1"/>
  <c r="D3" i="3"/>
  <c r="E3" i="3" s="1"/>
  <c r="F3" i="3" s="1"/>
  <c r="G3" i="3" s="1"/>
  <c r="H3" i="3" s="1"/>
  <c r="I3" i="3" s="1"/>
  <c r="J3" i="3" s="1"/>
  <c r="K3" i="3" s="1"/>
  <c r="L3" i="3" s="1"/>
  <c r="M3" i="3" s="1"/>
  <c r="N3" i="3" s="1"/>
  <c r="O3" i="3" s="1"/>
  <c r="P3" i="3" s="1"/>
  <c r="Q3" i="3" s="1"/>
  <c r="R3" i="3" s="1"/>
  <c r="S3" i="3" s="1"/>
  <c r="T3" i="3" s="1"/>
  <c r="U3" i="3" s="1"/>
  <c r="V3" i="3" s="1"/>
  <c r="W3" i="3" s="1"/>
  <c r="X3" i="3" s="1"/>
  <c r="Y3" i="3" s="1"/>
  <c r="Z3" i="3" s="1"/>
  <c r="AA3" i="3" s="1"/>
  <c r="AB3" i="3" s="1"/>
  <c r="E4" i="1"/>
  <c r="F4" i="1" s="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Y3" i="1"/>
  <c r="Z3" i="1" s="1"/>
  <c r="AA3" i="1" s="1"/>
  <c r="AB3" i="1" s="1"/>
  <c r="AC3" i="1" s="1"/>
  <c r="D3" i="23"/>
  <c r="E3" i="23"/>
  <c r="F3" i="23"/>
  <c r="G3" i="23"/>
  <c r="H3" i="23"/>
  <c r="I3" i="23"/>
  <c r="J3" i="23"/>
  <c r="K3" i="23"/>
  <c r="L3" i="23"/>
  <c r="M3" i="23"/>
  <c r="N3" i="23"/>
  <c r="O3" i="23"/>
  <c r="P3" i="23"/>
  <c r="Q3" i="23"/>
  <c r="R3" i="23"/>
  <c r="S3" i="23"/>
  <c r="T3" i="23"/>
  <c r="U3" i="23"/>
  <c r="V3" i="23"/>
  <c r="W3" i="23"/>
  <c r="X3" i="23"/>
  <c r="Y3" i="23"/>
  <c r="Z3" i="23"/>
  <c r="AA3" i="23"/>
  <c r="AA4" i="22"/>
  <c r="Z4" i="22"/>
  <c r="Y4" i="22"/>
  <c r="X4" i="22"/>
  <c r="W4" i="22"/>
  <c r="V4" i="22"/>
  <c r="U4" i="22"/>
  <c r="T4" i="22"/>
  <c r="S4" i="22"/>
  <c r="R4" i="22"/>
  <c r="Q4" i="22"/>
  <c r="P4" i="22"/>
  <c r="O4" i="22"/>
  <c r="N4" i="22"/>
  <c r="M4" i="22"/>
  <c r="L4" i="22"/>
  <c r="K4" i="22"/>
  <c r="J4" i="22"/>
  <c r="I4" i="22"/>
  <c r="H4" i="22"/>
  <c r="G4" i="22"/>
  <c r="F4" i="22"/>
  <c r="E4" i="22"/>
  <c r="D4" i="22"/>
  <c r="C4" i="22"/>
  <c r="H13" i="22"/>
  <c r="H14" i="22"/>
  <c r="H15" i="22"/>
  <c r="I13" i="22"/>
  <c r="I14" i="22"/>
  <c r="I15" i="22"/>
  <c r="J13" i="22"/>
  <c r="J14" i="22"/>
  <c r="J15" i="22"/>
  <c r="K13" i="22"/>
  <c r="K14" i="22"/>
  <c r="K15" i="22"/>
  <c r="L13" i="22"/>
  <c r="L14" i="22"/>
  <c r="L15" i="22"/>
  <c r="M13" i="22"/>
  <c r="M14" i="22"/>
  <c r="M15" i="22"/>
  <c r="N13" i="22"/>
  <c r="N14" i="22"/>
  <c r="N15" i="22"/>
  <c r="O13" i="22"/>
  <c r="O14" i="22"/>
  <c r="O15" i="22"/>
  <c r="P13" i="22"/>
  <c r="P14" i="22"/>
  <c r="P15" i="22"/>
  <c r="Q13" i="22"/>
  <c r="Q14" i="22"/>
  <c r="Q15" i="22"/>
  <c r="R13" i="22"/>
  <c r="R14" i="22"/>
  <c r="R15" i="22"/>
  <c r="S13" i="22"/>
  <c r="S14" i="22"/>
  <c r="S15" i="22"/>
  <c r="T13" i="22"/>
  <c r="T14" i="22"/>
  <c r="T15" i="22"/>
  <c r="U13" i="22"/>
  <c r="U14" i="22"/>
  <c r="U15" i="22"/>
  <c r="V13" i="22"/>
  <c r="V14" i="22"/>
  <c r="V15" i="22"/>
  <c r="W13" i="22"/>
  <c r="W14" i="22"/>
  <c r="W15" i="22"/>
  <c r="X13" i="22"/>
  <c r="X14" i="22"/>
  <c r="X15" i="22"/>
  <c r="Y13" i="22"/>
  <c r="Y14" i="22"/>
  <c r="Y15" i="22"/>
  <c r="Z13" i="22"/>
  <c r="Z14" i="22"/>
  <c r="Z15" i="22"/>
  <c r="AA13" i="22"/>
  <c r="AA14" i="22"/>
  <c r="AA15" i="22"/>
  <c r="B15" i="22"/>
  <c r="AA7" i="22"/>
  <c r="Z7" i="22"/>
  <c r="Y7" i="22"/>
  <c r="X7" i="22"/>
  <c r="W7" i="22"/>
  <c r="V7" i="22"/>
  <c r="U7" i="22"/>
  <c r="T7" i="22"/>
  <c r="S7" i="22"/>
  <c r="R7" i="22"/>
  <c r="Q7" i="22"/>
  <c r="P7" i="22"/>
  <c r="O7" i="22"/>
  <c r="N7" i="22"/>
  <c r="M7" i="22"/>
  <c r="L7" i="22"/>
  <c r="K7" i="22"/>
  <c r="J8" i="22"/>
  <c r="I8" i="22"/>
  <c r="H8" i="22"/>
  <c r="G7" i="22"/>
  <c r="G9" i="22" s="1"/>
  <c r="E3" i="22"/>
  <c r="F3" i="22"/>
  <c r="G3" i="22"/>
  <c r="H3" i="22"/>
  <c r="I3" i="22"/>
  <c r="J3" i="22"/>
  <c r="K3" i="22"/>
  <c r="L3" i="22"/>
  <c r="M3" i="22"/>
  <c r="N3" i="22"/>
  <c r="O3" i="22"/>
  <c r="P3" i="22"/>
  <c r="Q3" i="22"/>
  <c r="R3" i="22"/>
  <c r="S3" i="22"/>
  <c r="T3" i="22"/>
  <c r="U3" i="22"/>
  <c r="V3" i="22"/>
  <c r="W3" i="22"/>
  <c r="X3" i="22"/>
  <c r="Y3" i="22"/>
  <c r="Z3" i="22"/>
  <c r="AA3" i="22"/>
  <c r="B14" i="22"/>
  <c r="B13" i="22"/>
  <c r="I2" i="22"/>
  <c r="J2" i="22"/>
  <c r="K2" i="22"/>
  <c r="L2" i="22"/>
  <c r="M2" i="22"/>
  <c r="N2" i="22"/>
  <c r="O2" i="22"/>
  <c r="P2" i="22"/>
  <c r="Q2" i="22"/>
  <c r="R2" i="22"/>
  <c r="S2" i="22"/>
  <c r="T2" i="22"/>
  <c r="U2" i="22"/>
  <c r="V2" i="22"/>
  <c r="W2" i="22"/>
  <c r="X2" i="22"/>
  <c r="Y2" i="22"/>
  <c r="Z2" i="22"/>
  <c r="AA2" i="22"/>
  <c r="D1" i="22"/>
  <c r="E1" i="22"/>
  <c r="F1" i="22"/>
  <c r="G1" i="22"/>
  <c r="H1" i="22"/>
  <c r="I1" i="22"/>
  <c r="J1" i="22"/>
  <c r="K1" i="22"/>
  <c r="L1" i="22"/>
  <c r="M1" i="22"/>
  <c r="N1" i="22"/>
  <c r="O1" i="22"/>
  <c r="P1" i="22"/>
  <c r="Q1" i="22"/>
  <c r="R1" i="22"/>
  <c r="S1" i="22"/>
  <c r="T1" i="22"/>
  <c r="U1" i="22"/>
  <c r="V1" i="22"/>
  <c r="W1" i="22"/>
  <c r="X1" i="22"/>
  <c r="Y1" i="22"/>
  <c r="Z1" i="22"/>
  <c r="AA1" i="22"/>
  <c r="D5" i="21"/>
  <c r="E5" i="21"/>
  <c r="F5" i="21"/>
  <c r="G5" i="21"/>
  <c r="H5" i="21"/>
  <c r="I5" i="21"/>
  <c r="J5" i="21"/>
  <c r="K5" i="21"/>
  <c r="L5" i="21"/>
  <c r="M5" i="21"/>
  <c r="N5" i="21"/>
  <c r="O5" i="21"/>
  <c r="P5" i="21"/>
  <c r="Q5" i="21"/>
  <c r="R5" i="21"/>
  <c r="S5" i="21"/>
  <c r="T5" i="21"/>
  <c r="U5" i="21"/>
  <c r="C5" i="21"/>
  <c r="G40" i="3"/>
  <c r="H40" i="3" s="1"/>
  <c r="I40" i="3" s="1"/>
  <c r="J40" i="3" s="1"/>
  <c r="K40" i="3" s="1"/>
  <c r="L40" i="3" s="1"/>
  <c r="M40" i="3" s="1"/>
  <c r="N40" i="3" s="1"/>
  <c r="O40" i="3" s="1"/>
  <c r="P40" i="3" s="1"/>
  <c r="Q40" i="3" s="1"/>
  <c r="R40" i="3" s="1"/>
  <c r="S40" i="3" s="1"/>
  <c r="T40" i="3" s="1"/>
  <c r="U40" i="3" s="1"/>
  <c r="V40" i="3" s="1"/>
  <c r="W40" i="3" s="1"/>
  <c r="X40" i="3" s="1"/>
  <c r="Y40" i="3" s="1"/>
  <c r="Z40" i="3" s="1"/>
  <c r="B11" i="6"/>
  <c r="B9" i="6"/>
  <c r="C9" i="6"/>
  <c r="B8" i="6"/>
  <c r="B7" i="6"/>
  <c r="C7" i="6"/>
  <c r="C8" i="6"/>
  <c r="F21" i="6"/>
  <c r="F19" i="6"/>
  <c r="B40" i="3"/>
  <c r="G2" i="14"/>
  <c r="A70" i="5"/>
  <c r="C39" i="6"/>
  <c r="D39" i="6"/>
  <c r="E39" i="6"/>
  <c r="F39" i="6"/>
  <c r="G39" i="6"/>
  <c r="H39" i="6"/>
  <c r="I39" i="6"/>
  <c r="J39" i="6"/>
  <c r="K39" i="6"/>
  <c r="L39" i="6"/>
  <c r="M39" i="6"/>
  <c r="N39" i="6"/>
  <c r="O39" i="6"/>
  <c r="P39" i="6"/>
  <c r="Q39" i="6"/>
  <c r="R39" i="6"/>
  <c r="S39" i="6"/>
  <c r="T39" i="6"/>
  <c r="U39" i="6"/>
  <c r="P41" i="6"/>
  <c r="Q41" i="6"/>
  <c r="R41" i="6"/>
  <c r="O41" i="6"/>
  <c r="N41" i="6"/>
  <c r="M41" i="6"/>
  <c r="L41" i="6"/>
  <c r="K41" i="6"/>
  <c r="J41" i="6"/>
  <c r="I41" i="6"/>
  <c r="H41" i="6"/>
  <c r="G41" i="6"/>
  <c r="F41" i="6"/>
  <c r="E41" i="6"/>
  <c r="D41" i="6"/>
  <c r="C41" i="6"/>
  <c r="B41" i="6"/>
  <c r="B10" i="5"/>
  <c r="S41" i="6"/>
  <c r="T41" i="6"/>
  <c r="U41" i="6"/>
  <c r="M34" i="5"/>
  <c r="L34" i="5"/>
  <c r="N34" i="5" s="1"/>
  <c r="K34" i="5"/>
  <c r="M47" i="5"/>
  <c r="L47" i="5"/>
  <c r="N47" i="5" s="1"/>
  <c r="M46" i="5"/>
  <c r="L46" i="5"/>
  <c r="N46" i="5" s="1"/>
  <c r="M45" i="5"/>
  <c r="L45" i="5"/>
  <c r="N45" i="5" s="1"/>
  <c r="M44" i="5"/>
  <c r="L44" i="5"/>
  <c r="N44" i="5" s="1"/>
  <c r="L42" i="5"/>
  <c r="N42" i="5" s="1"/>
  <c r="L41" i="5"/>
  <c r="L40" i="5"/>
  <c r="N40" i="5" s="1"/>
  <c r="L39" i="5"/>
  <c r="N39" i="5" s="1"/>
  <c r="M42" i="5"/>
  <c r="M41" i="5"/>
  <c r="M40" i="5"/>
  <c r="M39" i="5"/>
  <c r="L37" i="5"/>
  <c r="N37" i="5" s="1"/>
  <c r="L36" i="5"/>
  <c r="N36" i="5" s="1"/>
  <c r="L35" i="5"/>
  <c r="N35" i="5" s="1"/>
  <c r="M37" i="5"/>
  <c r="M36" i="5"/>
  <c r="M35" i="5"/>
  <c r="K35" i="5"/>
  <c r="K36" i="5"/>
  <c r="K37" i="5"/>
  <c r="K39" i="5"/>
  <c r="K40" i="5"/>
  <c r="K41" i="5"/>
  <c r="K42" i="5"/>
  <c r="K44" i="5"/>
  <c r="K45" i="5"/>
  <c r="K46" i="5"/>
  <c r="K47" i="5"/>
  <c r="F50" i="5"/>
  <c r="G50" i="5" s="1"/>
  <c r="H50" i="5" s="1"/>
  <c r="I50" i="5" s="1"/>
  <c r="J50" i="5" s="1"/>
  <c r="K50" i="5" s="1"/>
  <c r="L50" i="5" s="1"/>
  <c r="M50" i="5" s="1"/>
  <c r="N50" i="5" s="1"/>
  <c r="O50" i="5" s="1"/>
  <c r="P50" i="5" s="1"/>
  <c r="Q50" i="5" s="1"/>
  <c r="R50" i="5" s="1"/>
  <c r="S50" i="5" s="1"/>
  <c r="T50" i="5" s="1"/>
  <c r="U50" i="5" s="1"/>
  <c r="V50" i="5" s="1"/>
  <c r="W50" i="5" s="1"/>
  <c r="X50" i="5" s="1"/>
  <c r="Y50" i="5" s="1"/>
  <c r="Z50" i="5" s="1"/>
  <c r="AA50" i="5" s="1"/>
  <c r="AB50" i="5" s="1"/>
  <c r="AC50" i="5" s="1"/>
  <c r="AD50" i="5" s="1"/>
  <c r="AE50" i="5" s="1"/>
  <c r="AF50" i="5" s="1"/>
  <c r="AG50" i="5" s="1"/>
  <c r="AH50" i="5" s="1"/>
  <c r="G16" i="14"/>
  <c r="H16" i="14" s="1"/>
  <c r="I16" i="14" s="1"/>
  <c r="J16" i="14" s="1"/>
  <c r="K16" i="14" s="1"/>
  <c r="L16" i="14" s="1"/>
  <c r="M16" i="14" s="1"/>
  <c r="N16" i="14" s="1"/>
  <c r="O16" i="14" s="1"/>
  <c r="P16" i="14" s="1"/>
  <c r="Q16" i="14" s="1"/>
  <c r="R16" i="14" s="1"/>
  <c r="S16" i="14" s="1"/>
  <c r="T16" i="14" s="1"/>
  <c r="U16" i="14" s="1"/>
  <c r="V16" i="14" s="1"/>
  <c r="W16" i="14" s="1"/>
  <c r="X16" i="14" s="1"/>
  <c r="Y16" i="14" s="1"/>
  <c r="Z16" i="14" s="1"/>
  <c r="AA16" i="14" s="1"/>
  <c r="AB16" i="14" s="1"/>
  <c r="AC16" i="14" s="1"/>
  <c r="AD16" i="14" s="1"/>
  <c r="AE16" i="14" s="1"/>
  <c r="F64" i="5"/>
  <c r="G64" i="5" s="1"/>
  <c r="H64" i="5" s="1"/>
  <c r="I64" i="5" s="1"/>
  <c r="J64" i="5" s="1"/>
  <c r="K64" i="5" s="1"/>
  <c r="L64" i="5" s="1"/>
  <c r="M64" i="5" s="1"/>
  <c r="N64" i="5" s="1"/>
  <c r="O64" i="5" s="1"/>
  <c r="P64" i="5" s="1"/>
  <c r="Q64" i="5" s="1"/>
  <c r="R64" i="5" s="1"/>
  <c r="S64" i="5" s="1"/>
  <c r="T64" i="5" s="1"/>
  <c r="U64" i="5" s="1"/>
  <c r="V64" i="5" s="1"/>
  <c r="W64" i="5" s="1"/>
  <c r="X64" i="5" s="1"/>
  <c r="Y64" i="5" s="1"/>
  <c r="Z64" i="5" s="1"/>
  <c r="AA64" i="5" s="1"/>
  <c r="AB64" i="5" s="1"/>
  <c r="AC64" i="5" s="1"/>
  <c r="AD64" i="5" s="1"/>
  <c r="AE64" i="5" s="1"/>
  <c r="AF64" i="5" s="1"/>
  <c r="AG64" i="5" s="1"/>
  <c r="AH64" i="5" s="1"/>
  <c r="AI64" i="5" s="1"/>
  <c r="AJ64" i="5" s="1"/>
  <c r="H2" i="14"/>
  <c r="I2" i="14"/>
  <c r="J2" i="14"/>
  <c r="K2" i="14"/>
  <c r="L2" i="14"/>
  <c r="M2" i="14"/>
  <c r="N2" i="14"/>
  <c r="O2" i="14"/>
  <c r="P2" i="14"/>
  <c r="Q2" i="14"/>
  <c r="R2" i="14"/>
  <c r="S2" i="14"/>
  <c r="T2" i="14"/>
  <c r="U2" i="14"/>
  <c r="V2" i="14"/>
  <c r="W2" i="14"/>
  <c r="X2" i="14"/>
  <c r="F57" i="5"/>
  <c r="G57" i="5" s="1"/>
  <c r="H57" i="5" s="1"/>
  <c r="I57" i="5" s="1"/>
  <c r="J57" i="5" s="1"/>
  <c r="K57" i="5" s="1"/>
  <c r="L57" i="5" s="1"/>
  <c r="M57" i="5" s="1"/>
  <c r="N57" i="5" s="1"/>
  <c r="O57" i="5" s="1"/>
  <c r="P57" i="5" s="1"/>
  <c r="Q57" i="5" s="1"/>
  <c r="R57" i="5" s="1"/>
  <c r="S57" i="5" s="1"/>
  <c r="T57" i="5" s="1"/>
  <c r="U57" i="5" s="1"/>
  <c r="V57" i="5" s="1"/>
  <c r="W57" i="5" s="1"/>
  <c r="X57" i="5" s="1"/>
  <c r="Y57" i="5" s="1"/>
  <c r="Z57" i="5" s="1"/>
  <c r="AA57" i="5" s="1"/>
  <c r="AB57" i="5" s="1"/>
  <c r="AC57" i="5" s="1"/>
  <c r="AD57" i="5" s="1"/>
  <c r="AE57" i="5" s="1"/>
  <c r="AF57" i="5" s="1"/>
  <c r="AG57" i="5" s="1"/>
  <c r="AH57" i="5" s="1"/>
  <c r="AI57" i="5" s="1"/>
  <c r="AJ57" i="5" s="1"/>
  <c r="F65" i="5"/>
  <c r="G65" i="5" s="1"/>
  <c r="F60" i="5"/>
  <c r="G60" i="5" s="1"/>
  <c r="H60" i="5" s="1"/>
  <c r="I60" i="5" s="1"/>
  <c r="J60" i="5" s="1"/>
  <c r="K60" i="5" s="1"/>
  <c r="L60" i="5" s="1"/>
  <c r="M60" i="5" s="1"/>
  <c r="N60" i="5" s="1"/>
  <c r="O60" i="5" s="1"/>
  <c r="P60" i="5" s="1"/>
  <c r="Q60" i="5" s="1"/>
  <c r="R60" i="5" s="1"/>
  <c r="S60" i="5" s="1"/>
  <c r="T60" i="5" s="1"/>
  <c r="U60" i="5" s="1"/>
  <c r="V60" i="5" s="1"/>
  <c r="W60" i="5" s="1"/>
  <c r="X60" i="5" s="1"/>
  <c r="Y60" i="5" s="1"/>
  <c r="Z60" i="5" s="1"/>
  <c r="AA60" i="5" s="1"/>
  <c r="AB60" i="5" s="1"/>
  <c r="AC60" i="5" s="1"/>
  <c r="AD60" i="5" s="1"/>
  <c r="AE60" i="5" s="1"/>
  <c r="AF60" i="5" s="1"/>
  <c r="AG60" i="5" s="1"/>
  <c r="AH60" i="5" s="1"/>
  <c r="AI60" i="5" s="1"/>
  <c r="AJ60" i="5" s="1"/>
  <c r="F59" i="5"/>
  <c r="G59" i="5" s="1"/>
  <c r="H59" i="5" s="1"/>
  <c r="I59" i="5" s="1"/>
  <c r="J59" i="5" s="1"/>
  <c r="K59" i="5" s="1"/>
  <c r="L59" i="5" s="1"/>
  <c r="M59" i="5" s="1"/>
  <c r="N59" i="5" s="1"/>
  <c r="O59" i="5" s="1"/>
  <c r="P59" i="5" s="1"/>
  <c r="Q59" i="5" s="1"/>
  <c r="R59" i="5" s="1"/>
  <c r="S59" i="5" s="1"/>
  <c r="T59" i="5" s="1"/>
  <c r="U59" i="5" s="1"/>
  <c r="V59" i="5" s="1"/>
  <c r="W59" i="5" s="1"/>
  <c r="X59" i="5" s="1"/>
  <c r="Y59" i="5" s="1"/>
  <c r="Z59" i="5" s="1"/>
  <c r="AA59" i="5" s="1"/>
  <c r="AB59" i="5" s="1"/>
  <c r="AC59" i="5" s="1"/>
  <c r="AD59" i="5" s="1"/>
  <c r="AE59" i="5" s="1"/>
  <c r="AF59" i="5" s="1"/>
  <c r="AG59" i="5" s="1"/>
  <c r="AH59" i="5" s="1"/>
  <c r="AI59" i="5" s="1"/>
  <c r="AJ59" i="5" s="1"/>
  <c r="F61" i="5"/>
  <c r="G61" i="5" s="1"/>
  <c r="H61" i="5" s="1"/>
  <c r="I61" i="5" s="1"/>
  <c r="J61" i="5" s="1"/>
  <c r="K61" i="5" s="1"/>
  <c r="L61" i="5" s="1"/>
  <c r="M61" i="5" s="1"/>
  <c r="N61" i="5" s="1"/>
  <c r="O61" i="5" s="1"/>
  <c r="P61" i="5" s="1"/>
  <c r="Q61" i="5" s="1"/>
  <c r="R61" i="5" s="1"/>
  <c r="S61" i="5" s="1"/>
  <c r="T61" i="5" s="1"/>
  <c r="U61" i="5" s="1"/>
  <c r="V61" i="5" s="1"/>
  <c r="W61" i="5" s="1"/>
  <c r="X61" i="5" s="1"/>
  <c r="Y61" i="5" s="1"/>
  <c r="Z61" i="5" s="1"/>
  <c r="AA61" i="5" s="1"/>
  <c r="AB61" i="5" s="1"/>
  <c r="AC61" i="5" s="1"/>
  <c r="AD61" i="5" s="1"/>
  <c r="AE61" i="5" s="1"/>
  <c r="AF61" i="5" s="1"/>
  <c r="AG61" i="5" s="1"/>
  <c r="AH61" i="5" s="1"/>
  <c r="AI61" i="5" s="1"/>
  <c r="AJ61" i="5" s="1"/>
  <c r="F58" i="5"/>
  <c r="G58" i="5" s="1"/>
  <c r="H58" i="5" s="1"/>
  <c r="I58" i="5" s="1"/>
  <c r="J58" i="5" s="1"/>
  <c r="K58" i="5" s="1"/>
  <c r="L58" i="5" s="1"/>
  <c r="M58" i="5" s="1"/>
  <c r="N58" i="5" s="1"/>
  <c r="O58" i="5" s="1"/>
  <c r="P58" i="5" s="1"/>
  <c r="Q58" i="5" s="1"/>
  <c r="R58" i="5" s="1"/>
  <c r="S58" i="5" s="1"/>
  <c r="T58" i="5" s="1"/>
  <c r="U58" i="5" s="1"/>
  <c r="V58" i="5" s="1"/>
  <c r="W58" i="5" s="1"/>
  <c r="X58" i="5" s="1"/>
  <c r="Y58" i="5" s="1"/>
  <c r="Z58" i="5" s="1"/>
  <c r="AA58" i="5" s="1"/>
  <c r="AB58" i="5" s="1"/>
  <c r="AC58" i="5" s="1"/>
  <c r="AD58" i="5" s="1"/>
  <c r="AE58" i="5" s="1"/>
  <c r="AF58" i="5" s="1"/>
  <c r="AG58" i="5" s="1"/>
  <c r="AH58" i="5" s="1"/>
  <c r="AI58" i="5" s="1"/>
  <c r="AJ58" i="5" s="1"/>
  <c r="AV65" i="5"/>
  <c r="AV66" i="5"/>
  <c r="L8" i="22"/>
  <c r="N8" i="22"/>
  <c r="N9" i="22" s="1"/>
  <c r="P8" i="22"/>
  <c r="R8" i="22"/>
  <c r="T8" i="22"/>
  <c r="X8" i="22"/>
  <c r="Z8" i="22"/>
  <c r="K8" i="22"/>
  <c r="M8" i="22"/>
  <c r="O8" i="22"/>
  <c r="Q8" i="22"/>
  <c r="S8" i="22"/>
  <c r="S9" i="22" s="1"/>
  <c r="U8" i="22"/>
  <c r="W8" i="22"/>
  <c r="Y8" i="22"/>
  <c r="AA8" i="22"/>
  <c r="V8" i="22"/>
  <c r="V9" i="22" s="1"/>
  <c r="E23" i="14"/>
  <c r="I7" i="22"/>
  <c r="I25" i="36" l="1"/>
  <c r="I27" i="36"/>
  <c r="G24" i="36"/>
  <c r="I26" i="36"/>
  <c r="F3" i="36"/>
  <c r="E32" i="36"/>
  <c r="I24" i="36"/>
  <c r="K19" i="36"/>
  <c r="K21" i="36"/>
  <c r="K20" i="36"/>
  <c r="K18" i="36"/>
  <c r="P20" i="36"/>
  <c r="P19" i="36"/>
  <c r="P18" i="36"/>
  <c r="P21" i="36"/>
  <c r="J19" i="36"/>
  <c r="J20" i="36"/>
  <c r="J21" i="36"/>
  <c r="J18" i="36"/>
  <c r="C19" i="36"/>
  <c r="C21" i="36"/>
  <c r="C20" i="36"/>
  <c r="C18" i="36"/>
  <c r="F18" i="36"/>
  <c r="F21" i="36"/>
  <c r="F20" i="36"/>
  <c r="F19" i="36"/>
  <c r="H20" i="36"/>
  <c r="H19" i="36"/>
  <c r="H18" i="36"/>
  <c r="H21" i="36"/>
  <c r="M21" i="36"/>
  <c r="M19" i="36"/>
  <c r="M18" i="36"/>
  <c r="M20" i="36"/>
  <c r="R21" i="36"/>
  <c r="R20" i="36"/>
  <c r="R19" i="36"/>
  <c r="R18" i="36"/>
  <c r="E18" i="36"/>
  <c r="E21" i="36"/>
  <c r="E19" i="36"/>
  <c r="E20" i="36"/>
  <c r="Q20" i="36"/>
  <c r="Q19" i="36"/>
  <c r="Q18" i="36"/>
  <c r="Q21" i="36"/>
  <c r="U21" i="36"/>
  <c r="U20" i="36"/>
  <c r="U19" i="36"/>
  <c r="U18" i="36"/>
  <c r="B21" i="36"/>
  <c r="B20" i="36"/>
  <c r="B19" i="36"/>
  <c r="O18" i="36"/>
  <c r="O21" i="36"/>
  <c r="O19" i="36"/>
  <c r="O20" i="36"/>
  <c r="D19" i="36"/>
  <c r="D18" i="36"/>
  <c r="D21" i="36"/>
  <c r="D20" i="36"/>
  <c r="L19" i="36"/>
  <c r="L18" i="36"/>
  <c r="L20" i="36"/>
  <c r="L21" i="36"/>
  <c r="T21" i="36"/>
  <c r="T19" i="36"/>
  <c r="T20" i="36"/>
  <c r="T18" i="36"/>
  <c r="S19" i="36"/>
  <c r="S18" i="36"/>
  <c r="S20" i="36"/>
  <c r="S21" i="36"/>
  <c r="G20" i="36"/>
  <c r="G21" i="36"/>
  <c r="G19" i="36"/>
  <c r="N18" i="36"/>
  <c r="N21" i="36"/>
  <c r="N19" i="36"/>
  <c r="N20" i="36"/>
  <c r="K22" i="31"/>
  <c r="K25" i="31" s="1"/>
  <c r="M7" i="31"/>
  <c r="L18" i="31"/>
  <c r="L21" i="31" s="1"/>
  <c r="L24" i="31" s="1"/>
  <c r="F6" i="34" s="1"/>
  <c r="L19" i="31"/>
  <c r="F7" i="35" s="1"/>
  <c r="H14" i="33"/>
  <c r="B11" i="36"/>
  <c r="B15" i="36"/>
  <c r="U11" i="36"/>
  <c r="U15" i="36"/>
  <c r="K11" i="36"/>
  <c r="K15" i="36"/>
  <c r="H15" i="33"/>
  <c r="C11" i="36"/>
  <c r="C15" i="36"/>
  <c r="O15" i="36"/>
  <c r="O11" i="36"/>
  <c r="H12" i="33"/>
  <c r="P11" i="36"/>
  <c r="P15" i="36"/>
  <c r="L11" i="36"/>
  <c r="L15" i="36"/>
  <c r="E15" i="36"/>
  <c r="E11" i="36"/>
  <c r="D11" i="36"/>
  <c r="D15" i="36"/>
  <c r="G15" i="36"/>
  <c r="G11" i="36"/>
  <c r="Q11" i="36"/>
  <c r="Q15" i="36"/>
  <c r="H11" i="36"/>
  <c r="H15" i="36"/>
  <c r="N15" i="36"/>
  <c r="N11" i="36"/>
  <c r="T11" i="36"/>
  <c r="T15" i="36"/>
  <c r="S11" i="36"/>
  <c r="S15" i="36"/>
  <c r="R11" i="36"/>
  <c r="R15" i="36"/>
  <c r="M15" i="36"/>
  <c r="M11" i="36"/>
  <c r="F15" i="36"/>
  <c r="F11" i="36"/>
  <c r="J11" i="36"/>
  <c r="J15" i="36"/>
  <c r="W9" i="22"/>
  <c r="H24" i="33"/>
  <c r="I13" i="33"/>
  <c r="E6" i="35"/>
  <c r="I7" i="33"/>
  <c r="H18" i="33"/>
  <c r="I8" i="33"/>
  <c r="H19" i="33"/>
  <c r="I9" i="33"/>
  <c r="H20" i="33"/>
  <c r="I10" i="33"/>
  <c r="H21" i="33"/>
  <c r="E18" i="14"/>
  <c r="C21" i="14"/>
  <c r="D24" i="14"/>
  <c r="C20" i="14"/>
  <c r="B25" i="14"/>
  <c r="D25" i="14"/>
  <c r="B19" i="14"/>
  <c r="F20" i="14"/>
  <c r="G20" i="14" s="1"/>
  <c r="H20" i="14" s="1"/>
  <c r="I20" i="14" s="1"/>
  <c r="J20" i="14" s="1"/>
  <c r="K20" i="14" s="1"/>
  <c r="L20" i="14" s="1"/>
  <c r="M20" i="14" s="1"/>
  <c r="N20" i="14" s="1"/>
  <c r="O20" i="14" s="1"/>
  <c r="P20" i="14" s="1"/>
  <c r="Q20" i="14" s="1"/>
  <c r="R20" i="14" s="1"/>
  <c r="S20" i="14" s="1"/>
  <c r="T20" i="14" s="1"/>
  <c r="U20" i="14" s="1"/>
  <c r="V20" i="14" s="1"/>
  <c r="W20" i="14" s="1"/>
  <c r="X20" i="14" s="1"/>
  <c r="Y20" i="14" s="1"/>
  <c r="Z20" i="14" s="1"/>
  <c r="AA20" i="14" s="1"/>
  <c r="AB20" i="14" s="1"/>
  <c r="AC20" i="14" s="1"/>
  <c r="AD20" i="14" s="1"/>
  <c r="AE20" i="14" s="1"/>
  <c r="E24" i="14"/>
  <c r="B18" i="14"/>
  <c r="F28" i="14"/>
  <c r="G28" i="14" s="1"/>
  <c r="H28" i="14" s="1"/>
  <c r="I28" i="14" s="1"/>
  <c r="J28" i="14" s="1"/>
  <c r="K28" i="14" s="1"/>
  <c r="L28" i="14" s="1"/>
  <c r="M28" i="14" s="1"/>
  <c r="N28" i="14" s="1"/>
  <c r="O28" i="14" s="1"/>
  <c r="P28" i="14" s="1"/>
  <c r="Q28" i="14" s="1"/>
  <c r="R28" i="14" s="1"/>
  <c r="S28" i="14" s="1"/>
  <c r="T28" i="14" s="1"/>
  <c r="U28" i="14" s="1"/>
  <c r="V28" i="14" s="1"/>
  <c r="W28" i="14" s="1"/>
  <c r="X28" i="14" s="1"/>
  <c r="Y28" i="14" s="1"/>
  <c r="Z28" i="14" s="1"/>
  <c r="AA28" i="14" s="1"/>
  <c r="AB28" i="14" s="1"/>
  <c r="AC28" i="14" s="1"/>
  <c r="AD28" i="14" s="1"/>
  <c r="AE28" i="14" s="1"/>
  <c r="C28" i="14"/>
  <c r="E28" i="14"/>
  <c r="E4" i="14" s="1"/>
  <c r="F4" i="14" s="1"/>
  <c r="F9" i="14" s="1"/>
  <c r="D31" i="14"/>
  <c r="B29" i="14"/>
  <c r="B28" i="14"/>
  <c r="F29" i="14"/>
  <c r="G29" i="14" s="1"/>
  <c r="H29" i="14" s="1"/>
  <c r="I29" i="14" s="1"/>
  <c r="J29" i="14" s="1"/>
  <c r="K29" i="14" s="1"/>
  <c r="L29" i="14" s="1"/>
  <c r="M29" i="14" s="1"/>
  <c r="N29" i="14" s="1"/>
  <c r="O29" i="14" s="1"/>
  <c r="P29" i="14" s="1"/>
  <c r="Q29" i="14" s="1"/>
  <c r="R29" i="14" s="1"/>
  <c r="S29" i="14" s="1"/>
  <c r="T29" i="14" s="1"/>
  <c r="U29" i="14" s="1"/>
  <c r="V29" i="14" s="1"/>
  <c r="W29" i="14" s="1"/>
  <c r="X29" i="14" s="1"/>
  <c r="Y29" i="14" s="1"/>
  <c r="Z29" i="14" s="1"/>
  <c r="AA29" i="14" s="1"/>
  <c r="AB29" i="14" s="1"/>
  <c r="AC29" i="14" s="1"/>
  <c r="AD29" i="14" s="1"/>
  <c r="AE29" i="14" s="1"/>
  <c r="E29" i="14"/>
  <c r="F19" i="14"/>
  <c r="G19" i="14" s="1"/>
  <c r="H19" i="14" s="1"/>
  <c r="I19" i="14" s="1"/>
  <c r="J19" i="14" s="1"/>
  <c r="K19" i="14" s="1"/>
  <c r="L19" i="14" s="1"/>
  <c r="M19" i="14" s="1"/>
  <c r="N19" i="14" s="1"/>
  <c r="O19" i="14" s="1"/>
  <c r="P19" i="14" s="1"/>
  <c r="Q19" i="14" s="1"/>
  <c r="R19" i="14" s="1"/>
  <c r="S19" i="14" s="1"/>
  <c r="T19" i="14" s="1"/>
  <c r="U19" i="14" s="1"/>
  <c r="V19" i="14" s="1"/>
  <c r="W19" i="14" s="1"/>
  <c r="X19" i="14" s="1"/>
  <c r="Y19" i="14" s="1"/>
  <c r="Z19" i="14" s="1"/>
  <c r="AA19" i="14" s="1"/>
  <c r="AB19" i="14" s="1"/>
  <c r="AC19" i="14" s="1"/>
  <c r="AD19" i="14" s="1"/>
  <c r="AE19" i="14" s="1"/>
  <c r="C19" i="14"/>
  <c r="E20" i="14"/>
  <c r="B21" i="14"/>
  <c r="D28" i="14"/>
  <c r="C30" i="14"/>
  <c r="F26" i="14"/>
  <c r="G26" i="14" s="1"/>
  <c r="H26" i="14" s="1"/>
  <c r="I26" i="14" s="1"/>
  <c r="J26" i="14" s="1"/>
  <c r="K26" i="14" s="1"/>
  <c r="L26" i="14" s="1"/>
  <c r="M26" i="14" s="1"/>
  <c r="N26" i="14" s="1"/>
  <c r="O26" i="14" s="1"/>
  <c r="P26" i="14" s="1"/>
  <c r="Q26" i="14" s="1"/>
  <c r="R26" i="14" s="1"/>
  <c r="S26" i="14" s="1"/>
  <c r="T26" i="14" s="1"/>
  <c r="U26" i="14" s="1"/>
  <c r="V26" i="14" s="1"/>
  <c r="W26" i="14" s="1"/>
  <c r="X26" i="14" s="1"/>
  <c r="Y26" i="14" s="1"/>
  <c r="Z26" i="14" s="1"/>
  <c r="AA26" i="14" s="1"/>
  <c r="AB26" i="14" s="1"/>
  <c r="AC26" i="14" s="1"/>
  <c r="AD26" i="14" s="1"/>
  <c r="AE26" i="14" s="1"/>
  <c r="B30" i="14"/>
  <c r="F24" i="14"/>
  <c r="G24" i="14" s="1"/>
  <c r="H24" i="14" s="1"/>
  <c r="I24" i="14" s="1"/>
  <c r="J24" i="14" s="1"/>
  <c r="K24" i="14" s="1"/>
  <c r="L24" i="14" s="1"/>
  <c r="M24" i="14" s="1"/>
  <c r="N24" i="14" s="1"/>
  <c r="O24" i="14" s="1"/>
  <c r="P24" i="14" s="1"/>
  <c r="Q24" i="14" s="1"/>
  <c r="R24" i="14" s="1"/>
  <c r="S24" i="14" s="1"/>
  <c r="T24" i="14" s="1"/>
  <c r="U24" i="14" s="1"/>
  <c r="V24" i="14" s="1"/>
  <c r="W24" i="14" s="1"/>
  <c r="X24" i="14" s="1"/>
  <c r="Y24" i="14" s="1"/>
  <c r="Z24" i="14" s="1"/>
  <c r="AA24" i="14" s="1"/>
  <c r="AB24" i="14" s="1"/>
  <c r="AC24" i="14" s="1"/>
  <c r="AD24" i="14" s="1"/>
  <c r="AE24" i="14" s="1"/>
  <c r="B26" i="14"/>
  <c r="C23" i="14"/>
  <c r="D29" i="14"/>
  <c r="C29" i="14"/>
  <c r="D21" i="14"/>
  <c r="C25" i="14"/>
  <c r="E21" i="14"/>
  <c r="F21" i="14"/>
  <c r="G21" i="14" s="1"/>
  <c r="H21" i="14" s="1"/>
  <c r="I21" i="14" s="1"/>
  <c r="J21" i="14" s="1"/>
  <c r="K21" i="14" s="1"/>
  <c r="L21" i="14" s="1"/>
  <c r="M21" i="14" s="1"/>
  <c r="N21" i="14" s="1"/>
  <c r="O21" i="14" s="1"/>
  <c r="P21" i="14" s="1"/>
  <c r="Q21" i="14" s="1"/>
  <c r="R21" i="14" s="1"/>
  <c r="S21" i="14" s="1"/>
  <c r="T21" i="14" s="1"/>
  <c r="U21" i="14" s="1"/>
  <c r="V21" i="14" s="1"/>
  <c r="W21" i="14" s="1"/>
  <c r="X21" i="14" s="1"/>
  <c r="Y21" i="14" s="1"/>
  <c r="Z21" i="14" s="1"/>
  <c r="AA21" i="14" s="1"/>
  <c r="AB21" i="14" s="1"/>
  <c r="AC21" i="14" s="1"/>
  <c r="AD21" i="14" s="1"/>
  <c r="AE21" i="14" s="1"/>
  <c r="B31" i="14"/>
  <c r="C31" i="14"/>
  <c r="C18" i="14"/>
  <c r="D19" i="14"/>
  <c r="E30" i="14"/>
  <c r="F31" i="14"/>
  <c r="G31" i="14" s="1"/>
  <c r="H31" i="14" s="1"/>
  <c r="I31" i="14" s="1"/>
  <c r="J31" i="14" s="1"/>
  <c r="K31" i="14" s="1"/>
  <c r="L31" i="14" s="1"/>
  <c r="M31" i="14" s="1"/>
  <c r="N31" i="14" s="1"/>
  <c r="O31" i="14" s="1"/>
  <c r="P31" i="14" s="1"/>
  <c r="Q31" i="14" s="1"/>
  <c r="R31" i="14" s="1"/>
  <c r="S31" i="14" s="1"/>
  <c r="T31" i="14" s="1"/>
  <c r="U31" i="14" s="1"/>
  <c r="V31" i="14" s="1"/>
  <c r="W31" i="14" s="1"/>
  <c r="X31" i="14" s="1"/>
  <c r="Y31" i="14" s="1"/>
  <c r="Z31" i="14" s="1"/>
  <c r="AA31" i="14" s="1"/>
  <c r="AB31" i="14" s="1"/>
  <c r="AC31" i="14" s="1"/>
  <c r="AD31" i="14" s="1"/>
  <c r="AE31" i="14" s="1"/>
  <c r="D18" i="14"/>
  <c r="F30" i="14"/>
  <c r="G30" i="14" s="1"/>
  <c r="H30" i="14" s="1"/>
  <c r="I30" i="14" s="1"/>
  <c r="J30" i="14" s="1"/>
  <c r="K30" i="14" s="1"/>
  <c r="L30" i="14" s="1"/>
  <c r="M30" i="14" s="1"/>
  <c r="N30" i="14" s="1"/>
  <c r="O30" i="14" s="1"/>
  <c r="P30" i="14" s="1"/>
  <c r="Q30" i="14" s="1"/>
  <c r="R30" i="14" s="1"/>
  <c r="S30" i="14" s="1"/>
  <c r="T30" i="14" s="1"/>
  <c r="U30" i="14" s="1"/>
  <c r="V30" i="14" s="1"/>
  <c r="W30" i="14" s="1"/>
  <c r="X30" i="14" s="1"/>
  <c r="Y30" i="14" s="1"/>
  <c r="Z30" i="14" s="1"/>
  <c r="AA30" i="14" s="1"/>
  <c r="AB30" i="14" s="1"/>
  <c r="AC30" i="14" s="1"/>
  <c r="AD30" i="14" s="1"/>
  <c r="AE30" i="14" s="1"/>
  <c r="C24" i="14"/>
  <c r="B24" i="14"/>
  <c r="B23" i="14"/>
  <c r="E31" i="14"/>
  <c r="E7" i="14" s="1"/>
  <c r="F23" i="14"/>
  <c r="G23" i="14" s="1"/>
  <c r="H23" i="14" s="1"/>
  <c r="I23" i="14" s="1"/>
  <c r="J23" i="14" s="1"/>
  <c r="K23" i="14" s="1"/>
  <c r="L23" i="14" s="1"/>
  <c r="M23" i="14" s="1"/>
  <c r="N23" i="14" s="1"/>
  <c r="O23" i="14" s="1"/>
  <c r="P23" i="14" s="1"/>
  <c r="Q23" i="14" s="1"/>
  <c r="R23" i="14" s="1"/>
  <c r="S23" i="14" s="1"/>
  <c r="T23" i="14" s="1"/>
  <c r="U23" i="14" s="1"/>
  <c r="V23" i="14" s="1"/>
  <c r="W23" i="14" s="1"/>
  <c r="X23" i="14" s="1"/>
  <c r="Y23" i="14" s="1"/>
  <c r="Z23" i="14" s="1"/>
  <c r="AA23" i="14" s="1"/>
  <c r="AB23" i="14" s="1"/>
  <c r="AC23" i="14" s="1"/>
  <c r="AD23" i="14" s="1"/>
  <c r="AE23" i="14" s="1"/>
  <c r="C26" i="14"/>
  <c r="E19" i="14"/>
  <c r="D26" i="14"/>
  <c r="B20" i="14"/>
  <c r="D30" i="14"/>
  <c r="F25" i="14"/>
  <c r="G25" i="14" s="1"/>
  <c r="H25" i="14" s="1"/>
  <c r="I25" i="14" s="1"/>
  <c r="J25" i="14" s="1"/>
  <c r="K25" i="14" s="1"/>
  <c r="L25" i="14" s="1"/>
  <c r="M25" i="14" s="1"/>
  <c r="N25" i="14" s="1"/>
  <c r="O25" i="14" s="1"/>
  <c r="P25" i="14" s="1"/>
  <c r="Q25" i="14" s="1"/>
  <c r="R25" i="14" s="1"/>
  <c r="S25" i="14" s="1"/>
  <c r="T25" i="14" s="1"/>
  <c r="U25" i="14" s="1"/>
  <c r="V25" i="14" s="1"/>
  <c r="W25" i="14" s="1"/>
  <c r="X25" i="14" s="1"/>
  <c r="Y25" i="14" s="1"/>
  <c r="Z25" i="14" s="1"/>
  <c r="AA25" i="14" s="1"/>
  <c r="AB25" i="14" s="1"/>
  <c r="AC25" i="14" s="1"/>
  <c r="AD25" i="14" s="1"/>
  <c r="AE25" i="14" s="1"/>
  <c r="D23" i="14"/>
  <c r="D20" i="14"/>
  <c r="F18" i="14"/>
  <c r="G18" i="14" s="1"/>
  <c r="H18" i="14" s="1"/>
  <c r="I18" i="14" s="1"/>
  <c r="J18" i="14" s="1"/>
  <c r="K18" i="14" s="1"/>
  <c r="L18" i="14" s="1"/>
  <c r="M18" i="14" s="1"/>
  <c r="N18" i="14" s="1"/>
  <c r="O18" i="14" s="1"/>
  <c r="P18" i="14" s="1"/>
  <c r="Q18" i="14" s="1"/>
  <c r="R18" i="14" s="1"/>
  <c r="S18" i="14" s="1"/>
  <c r="T18" i="14" s="1"/>
  <c r="U18" i="14" s="1"/>
  <c r="V18" i="14" s="1"/>
  <c r="W18" i="14" s="1"/>
  <c r="X18" i="14" s="1"/>
  <c r="Y18" i="14" s="1"/>
  <c r="Z18" i="14" s="1"/>
  <c r="AA18" i="14" s="1"/>
  <c r="AB18" i="14" s="1"/>
  <c r="AC18" i="14" s="1"/>
  <c r="AD18" i="14" s="1"/>
  <c r="AE18" i="14" s="1"/>
  <c r="AG18" i="14" s="1"/>
  <c r="F66" i="5"/>
  <c r="D7" i="34"/>
  <c r="D6" i="34"/>
  <c r="H65" i="5"/>
  <c r="C6" i="34"/>
  <c r="F7" i="22"/>
  <c r="F9" i="22" s="1"/>
  <c r="Q9" i="22"/>
  <c r="I9" i="22"/>
  <c r="Y9" i="22"/>
  <c r="AA9" i="22"/>
  <c r="K9" i="22"/>
  <c r="L9" i="22"/>
  <c r="U9" i="22"/>
  <c r="R9" i="22"/>
  <c r="H9" i="22"/>
  <c r="T9" i="22"/>
  <c r="O9" i="22"/>
  <c r="M9" i="22"/>
  <c r="Z9" i="22"/>
  <c r="J9" i="22"/>
  <c r="B8" i="22"/>
  <c r="P9" i="22"/>
  <c r="X9" i="22"/>
  <c r="C9" i="1"/>
  <c r="D7" i="3"/>
  <c r="D8" i="3"/>
  <c r="E8" i="3"/>
  <c r="F6" i="3"/>
  <c r="E7" i="3"/>
  <c r="E25" i="14"/>
  <c r="C40" i="6"/>
  <c r="N41" i="5"/>
  <c r="E36" i="36" l="1"/>
  <c r="E25" i="36"/>
  <c r="E42" i="36" s="1"/>
  <c r="F27" i="36"/>
  <c r="S25" i="36"/>
  <c r="I14" i="33"/>
  <c r="N24" i="36"/>
  <c r="T24" i="36"/>
  <c r="D37" i="36"/>
  <c r="D26" i="36"/>
  <c r="B36" i="36"/>
  <c r="B25" i="36"/>
  <c r="Q27" i="36"/>
  <c r="R24" i="36"/>
  <c r="H27" i="36"/>
  <c r="C35" i="36"/>
  <c r="C24" i="36"/>
  <c r="P27" i="36"/>
  <c r="S26" i="36"/>
  <c r="L26" i="36"/>
  <c r="M24" i="36"/>
  <c r="S24" i="36"/>
  <c r="E38" i="36"/>
  <c r="E27" i="36"/>
  <c r="E44" i="36" s="1"/>
  <c r="L25" i="36"/>
  <c r="E35" i="36"/>
  <c r="E24" i="36"/>
  <c r="F24" i="36"/>
  <c r="K25" i="36"/>
  <c r="H26" i="33"/>
  <c r="G25" i="36"/>
  <c r="T26" i="36"/>
  <c r="D38" i="36"/>
  <c r="D27" i="36"/>
  <c r="D44" i="36" s="1"/>
  <c r="B26" i="36"/>
  <c r="B37" i="36"/>
  <c r="Q24" i="36"/>
  <c r="R25" i="36"/>
  <c r="H24" i="36"/>
  <c r="C26" i="36"/>
  <c r="C37" i="36"/>
  <c r="P24" i="36"/>
  <c r="I30" i="36"/>
  <c r="N26" i="36"/>
  <c r="O25" i="36"/>
  <c r="F26" i="36"/>
  <c r="K26" i="36"/>
  <c r="O27" i="36"/>
  <c r="U26" i="36"/>
  <c r="M25" i="36"/>
  <c r="K27" i="36"/>
  <c r="N27" i="36"/>
  <c r="O24" i="36"/>
  <c r="M27" i="36"/>
  <c r="G27" i="36"/>
  <c r="T25" i="36"/>
  <c r="D35" i="36"/>
  <c r="D24" i="36"/>
  <c r="D41" i="36" s="1"/>
  <c r="B38" i="36"/>
  <c r="B27" i="36"/>
  <c r="Q25" i="36"/>
  <c r="R26" i="36"/>
  <c r="H25" i="36"/>
  <c r="C38" i="36"/>
  <c r="C27" i="36"/>
  <c r="C44" i="36" s="1"/>
  <c r="P25" i="36"/>
  <c r="J27" i="36"/>
  <c r="N25" i="36"/>
  <c r="J26" i="36"/>
  <c r="U27" i="36"/>
  <c r="J25" i="36"/>
  <c r="G26" i="36"/>
  <c r="T27" i="36"/>
  <c r="D36" i="36"/>
  <c r="D25" i="36"/>
  <c r="B35" i="36"/>
  <c r="B3" i="38" s="1"/>
  <c r="B24" i="36"/>
  <c r="Q26" i="36"/>
  <c r="R27" i="36"/>
  <c r="H26" i="36"/>
  <c r="C36" i="36"/>
  <c r="C25" i="36"/>
  <c r="C42" i="36" s="1"/>
  <c r="P26" i="36"/>
  <c r="G3" i="36"/>
  <c r="F32" i="36"/>
  <c r="U25" i="36"/>
  <c r="L24" i="36"/>
  <c r="H23" i="33"/>
  <c r="S27" i="36"/>
  <c r="L27" i="36"/>
  <c r="O26" i="36"/>
  <c r="U24" i="36"/>
  <c r="E37" i="36"/>
  <c r="E26" i="36"/>
  <c r="M26" i="36"/>
  <c r="F25" i="36"/>
  <c r="J24" i="36"/>
  <c r="K24" i="36"/>
  <c r="I29" i="36"/>
  <c r="L22" i="31"/>
  <c r="L25" i="31" s="1"/>
  <c r="N7" i="31"/>
  <c r="M18" i="31"/>
  <c r="M19" i="31"/>
  <c r="F6" i="35"/>
  <c r="H25" i="33"/>
  <c r="I12" i="33"/>
  <c r="I15" i="33"/>
  <c r="E5" i="14"/>
  <c r="F5" i="14" s="1"/>
  <c r="G5" i="14" s="1"/>
  <c r="R8" i="37"/>
  <c r="J8" i="37"/>
  <c r="I8" i="37"/>
  <c r="H8" i="37"/>
  <c r="O8" i="37"/>
  <c r="G8" i="37"/>
  <c r="V8" i="37"/>
  <c r="N8" i="37"/>
  <c r="F8" i="37"/>
  <c r="U8" i="37"/>
  <c r="M8" i="37"/>
  <c r="E8" i="37"/>
  <c r="T8" i="37"/>
  <c r="L8" i="37"/>
  <c r="D8" i="37"/>
  <c r="S8" i="37"/>
  <c r="C8" i="37"/>
  <c r="Q8" i="37"/>
  <c r="P8" i="37"/>
  <c r="K8" i="37"/>
  <c r="J13" i="33"/>
  <c r="I24" i="33"/>
  <c r="I25" i="33"/>
  <c r="J14" i="33"/>
  <c r="K21" i="31"/>
  <c r="K24" i="31" s="1"/>
  <c r="E6" i="34" s="1"/>
  <c r="J10" i="33"/>
  <c r="I21" i="33"/>
  <c r="J9" i="33"/>
  <c r="I20" i="33"/>
  <c r="J8" i="33"/>
  <c r="I19" i="33"/>
  <c r="J7" i="33"/>
  <c r="I18" i="33"/>
  <c r="E6" i="14"/>
  <c r="F6" i="14" s="1"/>
  <c r="E9" i="14"/>
  <c r="I65" i="5"/>
  <c r="G4" i="14"/>
  <c r="G66" i="5"/>
  <c r="E7" i="34"/>
  <c r="B7" i="22"/>
  <c r="B9" i="22" s="1"/>
  <c r="B18" i="22" s="1"/>
  <c r="G6" i="3"/>
  <c r="F7" i="3"/>
  <c r="F11" i="3" s="1"/>
  <c r="F8" i="3"/>
  <c r="E12" i="14"/>
  <c r="F7" i="14"/>
  <c r="D40" i="6"/>
  <c r="P29" i="36" l="1"/>
  <c r="O30" i="36"/>
  <c r="F37" i="36"/>
  <c r="Q30" i="36"/>
  <c r="F41" i="36"/>
  <c r="D43" i="36"/>
  <c r="D29" i="36"/>
  <c r="Q29" i="36"/>
  <c r="U29" i="36"/>
  <c r="P30" i="36"/>
  <c r="G42" i="36"/>
  <c r="S29" i="36"/>
  <c r="U30" i="36"/>
  <c r="H3" i="36"/>
  <c r="G32" i="36"/>
  <c r="G44" i="36" s="1"/>
  <c r="G30" i="36"/>
  <c r="F35" i="36"/>
  <c r="G29" i="36"/>
  <c r="E30" i="36"/>
  <c r="E41" i="36"/>
  <c r="S30" i="36"/>
  <c r="F42" i="36"/>
  <c r="O29" i="36"/>
  <c r="J29" i="36"/>
  <c r="C43" i="36"/>
  <c r="C29" i="36"/>
  <c r="B29" i="36"/>
  <c r="J15" i="33"/>
  <c r="J26" i="33" s="1"/>
  <c r="F36" i="36"/>
  <c r="L30" i="36"/>
  <c r="B30" i="36"/>
  <c r="B41" i="36"/>
  <c r="B47" i="36" s="1"/>
  <c r="N29" i="36"/>
  <c r="H30" i="36"/>
  <c r="N30" i="36"/>
  <c r="F38" i="36"/>
  <c r="F30" i="36"/>
  <c r="F44" i="36"/>
  <c r="J12" i="33"/>
  <c r="K12" i="33" s="1"/>
  <c r="K29" i="36"/>
  <c r="J30" i="36"/>
  <c r="M29" i="36"/>
  <c r="D30" i="36"/>
  <c r="D42" i="36"/>
  <c r="R29" i="36"/>
  <c r="T30" i="36"/>
  <c r="R30" i="36"/>
  <c r="T29" i="36"/>
  <c r="C30" i="36"/>
  <c r="C41" i="36"/>
  <c r="K30" i="36"/>
  <c r="E43" i="36"/>
  <c r="E29" i="36"/>
  <c r="H29" i="36"/>
  <c r="M30" i="36"/>
  <c r="F43" i="36"/>
  <c r="F29" i="36"/>
  <c r="L29" i="36"/>
  <c r="G7" i="35"/>
  <c r="M22" i="31"/>
  <c r="M25" i="31" s="1"/>
  <c r="M21" i="31"/>
  <c r="M24" i="31" s="1"/>
  <c r="G6" i="34" s="1"/>
  <c r="G6" i="35"/>
  <c r="O7" i="31"/>
  <c r="N18" i="31"/>
  <c r="N19" i="31"/>
  <c r="I26" i="33"/>
  <c r="I23" i="33"/>
  <c r="E10" i="14"/>
  <c r="E13" i="14" s="1"/>
  <c r="F10" i="14"/>
  <c r="E11" i="14"/>
  <c r="K14" i="33"/>
  <c r="J25" i="33"/>
  <c r="K13" i="33"/>
  <c r="J24" i="33"/>
  <c r="K15" i="33"/>
  <c r="K7" i="33"/>
  <c r="J18" i="33"/>
  <c r="K8" i="33"/>
  <c r="J19" i="33"/>
  <c r="K9" i="33"/>
  <c r="J20" i="33"/>
  <c r="K10" i="33"/>
  <c r="J21" i="33"/>
  <c r="H66" i="5"/>
  <c r="F7" i="34"/>
  <c r="G9" i="14"/>
  <c r="H4" i="14"/>
  <c r="J65" i="5"/>
  <c r="G8" i="3"/>
  <c r="H6" i="3"/>
  <c r="G7" i="3"/>
  <c r="G6" i="14"/>
  <c r="F11" i="14"/>
  <c r="E40" i="6"/>
  <c r="G7" i="14"/>
  <c r="F12" i="14"/>
  <c r="F13" i="14" s="1"/>
  <c r="G10" i="14"/>
  <c r="H5" i="14"/>
  <c r="J23" i="33" l="1"/>
  <c r="C46" i="36"/>
  <c r="G35" i="36"/>
  <c r="G41" i="36"/>
  <c r="G37" i="36"/>
  <c r="G36" i="36"/>
  <c r="G38" i="36"/>
  <c r="D46" i="36"/>
  <c r="G43" i="36"/>
  <c r="I3" i="36"/>
  <c r="H32" i="36"/>
  <c r="E46" i="36"/>
  <c r="F46" i="36"/>
  <c r="P7" i="31"/>
  <c r="O18" i="31"/>
  <c r="O19" i="31"/>
  <c r="N21" i="31"/>
  <c r="N24" i="31" s="1"/>
  <c r="H6" i="34" s="1"/>
  <c r="H6" i="35"/>
  <c r="N22" i="31"/>
  <c r="N25" i="31" s="1"/>
  <c r="H7" i="35"/>
  <c r="G41" i="3"/>
  <c r="L12" i="33"/>
  <c r="K23" i="33"/>
  <c r="L13" i="33"/>
  <c r="K24" i="33"/>
  <c r="L15" i="33"/>
  <c r="K26" i="33"/>
  <c r="L14" i="33"/>
  <c r="K25" i="33"/>
  <c r="L9" i="33"/>
  <c r="K20" i="33"/>
  <c r="L8" i="33"/>
  <c r="K19" i="33"/>
  <c r="L7" i="33"/>
  <c r="K18" i="33"/>
  <c r="L10" i="33"/>
  <c r="K21" i="33"/>
  <c r="K65" i="5"/>
  <c r="H9" i="14"/>
  <c r="I4" i="14"/>
  <c r="I66" i="5"/>
  <c r="G7" i="34"/>
  <c r="G44" i="3"/>
  <c r="G43" i="3"/>
  <c r="I6" i="3"/>
  <c r="H8" i="3"/>
  <c r="H41" i="3" s="1"/>
  <c r="H7" i="3"/>
  <c r="H11" i="3" s="1"/>
  <c r="G42" i="3"/>
  <c r="H6" i="14"/>
  <c r="G11" i="14"/>
  <c r="H7" i="14"/>
  <c r="G12" i="14"/>
  <c r="G13" i="14" s="1"/>
  <c r="I5" i="14"/>
  <c r="H10" i="14"/>
  <c r="F40" i="6"/>
  <c r="H37" i="36" l="1"/>
  <c r="H35" i="36"/>
  <c r="H36" i="36"/>
  <c r="H38" i="36"/>
  <c r="H43" i="36"/>
  <c r="H44" i="36"/>
  <c r="H42" i="36"/>
  <c r="H41" i="36"/>
  <c r="J3" i="36"/>
  <c r="I32" i="36"/>
  <c r="G46" i="36"/>
  <c r="I7" i="35"/>
  <c r="O22" i="31"/>
  <c r="O25" i="31" s="1"/>
  <c r="O21" i="31"/>
  <c r="O24" i="31" s="1"/>
  <c r="I6" i="34" s="1"/>
  <c r="I6" i="35"/>
  <c r="Q7" i="31"/>
  <c r="P18" i="31"/>
  <c r="P19" i="31"/>
  <c r="M14" i="33"/>
  <c r="L25" i="33"/>
  <c r="M12" i="33"/>
  <c r="L23" i="33"/>
  <c r="M15" i="33"/>
  <c r="L26" i="33"/>
  <c r="M13" i="33"/>
  <c r="L24" i="33"/>
  <c r="M10" i="33"/>
  <c r="L21" i="33"/>
  <c r="M8" i="33"/>
  <c r="L19" i="33"/>
  <c r="M9" i="33"/>
  <c r="L20" i="33"/>
  <c r="M7" i="33"/>
  <c r="L18" i="33"/>
  <c r="J66" i="5"/>
  <c r="B14" i="36" s="1"/>
  <c r="I34" i="3" s="1"/>
  <c r="H7" i="34"/>
  <c r="I9" i="14"/>
  <c r="J4" i="14"/>
  <c r="L65" i="5"/>
  <c r="H44" i="3"/>
  <c r="H43" i="3"/>
  <c r="I7" i="3"/>
  <c r="I8" i="3"/>
  <c r="J6" i="3"/>
  <c r="H42" i="3"/>
  <c r="I6" i="14"/>
  <c r="H11" i="14"/>
  <c r="H12" i="14"/>
  <c r="H13" i="14" s="1"/>
  <c r="I7" i="14"/>
  <c r="G40" i="6"/>
  <c r="J5" i="14"/>
  <c r="I10" i="14"/>
  <c r="I28" i="3" l="1"/>
  <c r="I36" i="3"/>
  <c r="I35" i="3"/>
  <c r="I37" i="3"/>
  <c r="H46" i="36"/>
  <c r="K3" i="36"/>
  <c r="J32" i="36"/>
  <c r="I36" i="36"/>
  <c r="I38" i="36"/>
  <c r="I37" i="36"/>
  <c r="I35" i="36"/>
  <c r="I41" i="36"/>
  <c r="I43" i="36"/>
  <c r="I44" i="36"/>
  <c r="I42" i="36"/>
  <c r="J7" i="35"/>
  <c r="P22" i="31"/>
  <c r="P25" i="31" s="1"/>
  <c r="R7" i="31"/>
  <c r="Q18" i="31"/>
  <c r="Q19" i="31"/>
  <c r="P21" i="31"/>
  <c r="P24" i="31" s="1"/>
  <c r="J6" i="34" s="1"/>
  <c r="J6" i="35"/>
  <c r="N14" i="33"/>
  <c r="M25" i="33"/>
  <c r="N13" i="33"/>
  <c r="M24" i="33"/>
  <c r="N12" i="33"/>
  <c r="M23" i="33"/>
  <c r="N15" i="33"/>
  <c r="M26" i="33"/>
  <c r="I20" i="3"/>
  <c r="I29" i="3"/>
  <c r="I41" i="3"/>
  <c r="N9" i="33"/>
  <c r="M20" i="33"/>
  <c r="N7" i="33"/>
  <c r="M18" i="33"/>
  <c r="N8" i="33"/>
  <c r="M19" i="33"/>
  <c r="N10" i="33"/>
  <c r="M21" i="33"/>
  <c r="I26" i="3"/>
  <c r="I25" i="3"/>
  <c r="K4" i="14"/>
  <c r="J9" i="14"/>
  <c r="M65" i="5"/>
  <c r="I23" i="3"/>
  <c r="I22" i="3"/>
  <c r="K66" i="5"/>
  <c r="C14" i="36" s="1"/>
  <c r="I7" i="34"/>
  <c r="I42" i="3"/>
  <c r="I17" i="3"/>
  <c r="J7" i="3"/>
  <c r="J8" i="3"/>
  <c r="K6" i="3"/>
  <c r="I44" i="3"/>
  <c r="I43" i="3"/>
  <c r="I11" i="14"/>
  <c r="J6" i="14"/>
  <c r="J10" i="14"/>
  <c r="K5" i="14"/>
  <c r="H40" i="6"/>
  <c r="J7" i="14"/>
  <c r="I12" i="14"/>
  <c r="I13" i="14" s="1"/>
  <c r="J28" i="3" l="1"/>
  <c r="J36" i="3"/>
  <c r="J35" i="3"/>
  <c r="J37" i="3"/>
  <c r="J34" i="3"/>
  <c r="J38" i="36"/>
  <c r="J36" i="36"/>
  <c r="J37" i="36"/>
  <c r="J35" i="36"/>
  <c r="J42" i="36"/>
  <c r="J41" i="36"/>
  <c r="J44" i="36"/>
  <c r="J43" i="36"/>
  <c r="I46" i="36"/>
  <c r="L3" i="36"/>
  <c r="K32" i="36"/>
  <c r="K7" i="35"/>
  <c r="Q22" i="31"/>
  <c r="Q25" i="31" s="1"/>
  <c r="Q21" i="31"/>
  <c r="Q24" i="31" s="1"/>
  <c r="K6" i="34" s="1"/>
  <c r="K6" i="35"/>
  <c r="S7" i="31"/>
  <c r="R18" i="31"/>
  <c r="R19" i="31"/>
  <c r="O15" i="33"/>
  <c r="N26" i="33"/>
  <c r="O12" i="33"/>
  <c r="N23" i="33"/>
  <c r="O13" i="33"/>
  <c r="N24" i="33"/>
  <c r="O14" i="33"/>
  <c r="N25" i="33"/>
  <c r="J20" i="3"/>
  <c r="J29" i="3"/>
  <c r="J41" i="3"/>
  <c r="O10" i="33"/>
  <c r="N21" i="33"/>
  <c r="O9" i="33"/>
  <c r="N20" i="33"/>
  <c r="O8" i="33"/>
  <c r="N19" i="33"/>
  <c r="O7" i="33"/>
  <c r="N18" i="33"/>
  <c r="J26" i="3"/>
  <c r="J25" i="3"/>
  <c r="J22" i="3"/>
  <c r="J23" i="3"/>
  <c r="N65" i="5"/>
  <c r="L4" i="14"/>
  <c r="K9" i="14"/>
  <c r="L66" i="5"/>
  <c r="D14" i="36" s="1"/>
  <c r="J7" i="34"/>
  <c r="J42" i="3"/>
  <c r="J17" i="3"/>
  <c r="K8" i="3"/>
  <c r="L6" i="3"/>
  <c r="K7" i="3"/>
  <c r="J44" i="3"/>
  <c r="B11" i="3"/>
  <c r="J43" i="3"/>
  <c r="J11" i="14"/>
  <c r="K6" i="14"/>
  <c r="I40" i="6"/>
  <c r="K10" i="14"/>
  <c r="L5" i="14"/>
  <c r="K7" i="14"/>
  <c r="J12" i="14"/>
  <c r="J13" i="14" s="1"/>
  <c r="K35" i="3" l="1"/>
  <c r="K37" i="3"/>
  <c r="K28" i="3"/>
  <c r="K36" i="3"/>
  <c r="K34" i="3"/>
  <c r="K36" i="36"/>
  <c r="K37" i="36"/>
  <c r="K38" i="36"/>
  <c r="K35" i="36"/>
  <c r="K41" i="36"/>
  <c r="K44" i="36"/>
  <c r="K43" i="36"/>
  <c r="K42" i="36"/>
  <c r="M3" i="36"/>
  <c r="L32" i="36"/>
  <c r="J46" i="36"/>
  <c r="L7" i="35"/>
  <c r="R22" i="31"/>
  <c r="R25" i="31" s="1"/>
  <c r="T7" i="31"/>
  <c r="S19" i="31"/>
  <c r="S18" i="31"/>
  <c r="L6" i="35"/>
  <c r="R21" i="31"/>
  <c r="R24" i="31" s="1"/>
  <c r="L6" i="34" s="1"/>
  <c r="P15" i="33"/>
  <c r="O26" i="33"/>
  <c r="P14" i="33"/>
  <c r="O25" i="33"/>
  <c r="P13" i="33"/>
  <c r="O24" i="33"/>
  <c r="P12" i="33"/>
  <c r="O23" i="33"/>
  <c r="K20" i="3"/>
  <c r="K29" i="3"/>
  <c r="K41" i="3"/>
  <c r="P7" i="33"/>
  <c r="O18" i="33"/>
  <c r="P8" i="33"/>
  <c r="O19" i="33"/>
  <c r="P9" i="33"/>
  <c r="O20" i="33"/>
  <c r="P10" i="33"/>
  <c r="O21" i="33"/>
  <c r="K25" i="3"/>
  <c r="K26" i="3"/>
  <c r="O65" i="5"/>
  <c r="M66" i="5"/>
  <c r="E14" i="36" s="1"/>
  <c r="K7" i="34"/>
  <c r="K17" i="3"/>
  <c r="K22" i="3"/>
  <c r="K23" i="3"/>
  <c r="M4" i="14"/>
  <c r="L9" i="14"/>
  <c r="K44" i="3"/>
  <c r="K43" i="3"/>
  <c r="L7" i="3"/>
  <c r="M6" i="3"/>
  <c r="L8" i="3"/>
  <c r="K42" i="3"/>
  <c r="K11" i="14"/>
  <c r="L6" i="14"/>
  <c r="M5" i="14"/>
  <c r="L10" i="14"/>
  <c r="L7" i="14"/>
  <c r="K12" i="14"/>
  <c r="K13" i="14" s="1"/>
  <c r="J40" i="6"/>
  <c r="L35" i="3" l="1"/>
  <c r="L37" i="3"/>
  <c r="L34" i="3"/>
  <c r="L28" i="3"/>
  <c r="L36" i="3"/>
  <c r="K46" i="36"/>
  <c r="N3" i="36"/>
  <c r="M32" i="36"/>
  <c r="L37" i="36"/>
  <c r="L38" i="36"/>
  <c r="L36" i="36"/>
  <c r="L35" i="36"/>
  <c r="L41" i="36"/>
  <c r="L42" i="36"/>
  <c r="L44" i="36"/>
  <c r="L43" i="36"/>
  <c r="M6" i="35"/>
  <c r="S21" i="31"/>
  <c r="S24" i="31" s="1"/>
  <c r="M6" i="34" s="1"/>
  <c r="M7" i="35"/>
  <c r="S22" i="31"/>
  <c r="S25" i="31" s="1"/>
  <c r="U7" i="31"/>
  <c r="T18" i="31"/>
  <c r="T19" i="31"/>
  <c r="Q15" i="33"/>
  <c r="P26" i="33"/>
  <c r="Q12" i="33"/>
  <c r="P23" i="33"/>
  <c r="Q14" i="33"/>
  <c r="P25" i="33"/>
  <c r="Q13" i="33"/>
  <c r="P24" i="33"/>
  <c r="L20" i="3"/>
  <c r="L29" i="3"/>
  <c r="L41" i="3"/>
  <c r="Q10" i="33"/>
  <c r="P21" i="33"/>
  <c r="Q8" i="33"/>
  <c r="P19" i="33"/>
  <c r="Q9" i="33"/>
  <c r="P20" i="33"/>
  <c r="Q7" i="33"/>
  <c r="P18" i="33"/>
  <c r="L25" i="3"/>
  <c r="L26" i="3"/>
  <c r="L17" i="3"/>
  <c r="L22" i="3"/>
  <c r="L23" i="3"/>
  <c r="P65" i="5"/>
  <c r="N4" i="14"/>
  <c r="M9" i="14"/>
  <c r="N66" i="5"/>
  <c r="F14" i="36" s="1"/>
  <c r="M34" i="3" s="1"/>
  <c r="L7" i="34"/>
  <c r="L44" i="3"/>
  <c r="L43" i="3"/>
  <c r="N6" i="3"/>
  <c r="M8" i="3"/>
  <c r="M7" i="3"/>
  <c r="L42" i="3"/>
  <c r="L11" i="14"/>
  <c r="M6" i="14"/>
  <c r="K40" i="6"/>
  <c r="L12" i="14"/>
  <c r="L13" i="14" s="1"/>
  <c r="M7" i="14"/>
  <c r="M10" i="14"/>
  <c r="N5" i="14"/>
  <c r="M28" i="3" l="1"/>
  <c r="M36" i="3"/>
  <c r="M35" i="3"/>
  <c r="M37" i="3"/>
  <c r="M38" i="36"/>
  <c r="M36" i="36"/>
  <c r="M35" i="36"/>
  <c r="M37" i="36"/>
  <c r="M41" i="36"/>
  <c r="M43" i="36"/>
  <c r="M42" i="36"/>
  <c r="M44" i="36"/>
  <c r="L46" i="36"/>
  <c r="O3" i="36"/>
  <c r="N32" i="36"/>
  <c r="N7" i="35"/>
  <c r="T22" i="31"/>
  <c r="T25" i="31" s="1"/>
  <c r="T21" i="31"/>
  <c r="T24" i="31" s="1"/>
  <c r="N6" i="34" s="1"/>
  <c r="N6" i="35"/>
  <c r="V7" i="31"/>
  <c r="U18" i="31"/>
  <c r="U19" i="31"/>
  <c r="R13" i="33"/>
  <c r="Q24" i="33"/>
  <c r="R12" i="33"/>
  <c r="Q23" i="33"/>
  <c r="R15" i="33"/>
  <c r="Q26" i="33"/>
  <c r="R14" i="33"/>
  <c r="Q25" i="33"/>
  <c r="M20" i="3"/>
  <c r="M29" i="3"/>
  <c r="M41" i="3"/>
  <c r="R7" i="33"/>
  <c r="Q18" i="33"/>
  <c r="R9" i="33"/>
  <c r="Q20" i="33"/>
  <c r="R8" i="33"/>
  <c r="Q19" i="33"/>
  <c r="R10" i="33"/>
  <c r="Q21" i="33"/>
  <c r="M25" i="3"/>
  <c r="M26" i="3"/>
  <c r="O66" i="5"/>
  <c r="G14" i="36" s="1"/>
  <c r="M7" i="34"/>
  <c r="Q65" i="5"/>
  <c r="M17" i="3"/>
  <c r="M22" i="3"/>
  <c r="M23" i="3"/>
  <c r="N9" i="14"/>
  <c r="O4" i="14"/>
  <c r="M44" i="3"/>
  <c r="M43" i="3"/>
  <c r="M42" i="3"/>
  <c r="N7" i="3"/>
  <c r="O6" i="3"/>
  <c r="N8" i="3"/>
  <c r="N6" i="14"/>
  <c r="M11" i="14"/>
  <c r="M12" i="14"/>
  <c r="M13" i="14" s="1"/>
  <c r="N7" i="14"/>
  <c r="O5" i="14"/>
  <c r="N10" i="14"/>
  <c r="L40" i="6"/>
  <c r="N34" i="3" l="1"/>
  <c r="N28" i="3"/>
  <c r="N36" i="3"/>
  <c r="N35" i="3"/>
  <c r="N37" i="3"/>
  <c r="N35" i="36"/>
  <c r="N36" i="36"/>
  <c r="N37" i="36"/>
  <c r="N38" i="36"/>
  <c r="N42" i="36"/>
  <c r="N43" i="36"/>
  <c r="N41" i="36"/>
  <c r="N44" i="36"/>
  <c r="M46" i="36"/>
  <c r="P3" i="36"/>
  <c r="O32" i="36"/>
  <c r="O6" i="35"/>
  <c r="U21" i="31"/>
  <c r="U24" i="31" s="1"/>
  <c r="O6" i="34" s="1"/>
  <c r="O7" i="35"/>
  <c r="U22" i="31"/>
  <c r="U25" i="31" s="1"/>
  <c r="W7" i="31"/>
  <c r="V18" i="31"/>
  <c r="V19" i="31"/>
  <c r="S13" i="33"/>
  <c r="R24" i="33"/>
  <c r="S14" i="33"/>
  <c r="R25" i="33"/>
  <c r="S15" i="33"/>
  <c r="R26" i="33"/>
  <c r="S12" i="33"/>
  <c r="R23" i="33"/>
  <c r="N20" i="3"/>
  <c r="N29" i="3"/>
  <c r="N41" i="3"/>
  <c r="S10" i="33"/>
  <c r="R21" i="33"/>
  <c r="S8" i="33"/>
  <c r="R19" i="33"/>
  <c r="S9" i="33"/>
  <c r="R20" i="33"/>
  <c r="S7" i="33"/>
  <c r="R18" i="33"/>
  <c r="N25" i="3"/>
  <c r="N26" i="3"/>
  <c r="N17" i="3"/>
  <c r="N22" i="3"/>
  <c r="N23" i="3"/>
  <c r="R65" i="5"/>
  <c r="P4" i="14"/>
  <c r="O9" i="14"/>
  <c r="P66" i="5"/>
  <c r="H14" i="36" s="1"/>
  <c r="N7" i="34"/>
  <c r="N44" i="3"/>
  <c r="N43" i="3"/>
  <c r="N42" i="3"/>
  <c r="P6" i="3"/>
  <c r="O7" i="3"/>
  <c r="O8" i="3"/>
  <c r="O6" i="14"/>
  <c r="N11" i="14"/>
  <c r="P5" i="14"/>
  <c r="O10" i="14"/>
  <c r="O7" i="14"/>
  <c r="N12" i="14"/>
  <c r="N13" i="14" s="1"/>
  <c r="M40" i="6"/>
  <c r="O34" i="3" l="1"/>
  <c r="O28" i="3"/>
  <c r="O36" i="3"/>
  <c r="O37" i="3"/>
  <c r="O35" i="3"/>
  <c r="O37" i="36"/>
  <c r="O38" i="36"/>
  <c r="O35" i="36"/>
  <c r="O36" i="36"/>
  <c r="O43" i="36"/>
  <c r="O41" i="36"/>
  <c r="O44" i="36"/>
  <c r="O42" i="36"/>
  <c r="N46" i="36"/>
  <c r="Q3" i="36"/>
  <c r="P32" i="36"/>
  <c r="P7" i="35"/>
  <c r="V22" i="31"/>
  <c r="V25" i="31" s="1"/>
  <c r="X7" i="31"/>
  <c r="W18" i="31"/>
  <c r="W19" i="31"/>
  <c r="V21" i="31"/>
  <c r="V24" i="31" s="1"/>
  <c r="P6" i="34" s="1"/>
  <c r="P6" i="35"/>
  <c r="T12" i="33"/>
  <c r="S23" i="33"/>
  <c r="T13" i="33"/>
  <c r="S24" i="33"/>
  <c r="T14" i="33"/>
  <c r="S25" i="33"/>
  <c r="T15" i="33"/>
  <c r="S26" i="33"/>
  <c r="O20" i="3"/>
  <c r="O29" i="3"/>
  <c r="O41" i="3"/>
  <c r="T9" i="33"/>
  <c r="S20" i="33"/>
  <c r="T8" i="33"/>
  <c r="S19" i="33"/>
  <c r="T7" i="33"/>
  <c r="S18" i="33"/>
  <c r="T10" i="33"/>
  <c r="S21" i="33"/>
  <c r="O26" i="3"/>
  <c r="O25" i="3"/>
  <c r="O22" i="3"/>
  <c r="O23" i="3"/>
  <c r="P9" i="14"/>
  <c r="Q4" i="14"/>
  <c r="S65" i="5"/>
  <c r="Q66" i="5"/>
  <c r="I14" i="36" s="1"/>
  <c r="P34" i="3" s="1"/>
  <c r="O7" i="34"/>
  <c r="O42" i="3"/>
  <c r="O17" i="3"/>
  <c r="O44" i="3"/>
  <c r="O43" i="3"/>
  <c r="P8" i="3"/>
  <c r="P7" i="3"/>
  <c r="Q6" i="3"/>
  <c r="O11" i="14"/>
  <c r="P6" i="14"/>
  <c r="N40" i="6"/>
  <c r="P7" i="14"/>
  <c r="O12" i="14"/>
  <c r="O13" i="14" s="1"/>
  <c r="Q5" i="14"/>
  <c r="P10" i="14"/>
  <c r="P28" i="3" l="1"/>
  <c r="P36" i="3"/>
  <c r="P35" i="3"/>
  <c r="P37" i="3"/>
  <c r="P38" i="36"/>
  <c r="P37" i="36"/>
  <c r="P35" i="36"/>
  <c r="P36" i="36"/>
  <c r="P43" i="36"/>
  <c r="P42" i="36"/>
  <c r="P41" i="36"/>
  <c r="P44" i="36"/>
  <c r="R3" i="36"/>
  <c r="Q32" i="36"/>
  <c r="O46" i="36"/>
  <c r="Q7" i="35"/>
  <c r="W22" i="31"/>
  <c r="W25" i="31" s="1"/>
  <c r="W21" i="31"/>
  <c r="W24" i="31" s="1"/>
  <c r="Q6" i="34" s="1"/>
  <c r="Q6" i="35"/>
  <c r="Y7" i="31"/>
  <c r="X19" i="31"/>
  <c r="X18" i="31"/>
  <c r="U12" i="33"/>
  <c r="T23" i="33"/>
  <c r="U15" i="33"/>
  <c r="T26" i="33"/>
  <c r="U14" i="33"/>
  <c r="T25" i="33"/>
  <c r="U13" i="33"/>
  <c r="T24" i="33"/>
  <c r="P20" i="3"/>
  <c r="P29" i="3"/>
  <c r="P41" i="3"/>
  <c r="U7" i="33"/>
  <c r="T18" i="33"/>
  <c r="U8" i="33"/>
  <c r="T19" i="33"/>
  <c r="U10" i="33"/>
  <c r="T21" i="33"/>
  <c r="U9" i="33"/>
  <c r="T20" i="33"/>
  <c r="P26" i="3"/>
  <c r="P25" i="3"/>
  <c r="T65" i="5"/>
  <c r="R66" i="5"/>
  <c r="J14" i="36" s="1"/>
  <c r="P7" i="34"/>
  <c r="P17" i="3"/>
  <c r="P22" i="3"/>
  <c r="P23" i="3"/>
  <c r="R4" i="14"/>
  <c r="Q9" i="14"/>
  <c r="P44" i="3"/>
  <c r="P43" i="3"/>
  <c r="Q7" i="3"/>
  <c r="Q8" i="3"/>
  <c r="R6" i="3"/>
  <c r="P42" i="3"/>
  <c r="P11" i="14"/>
  <c r="Q6" i="14"/>
  <c r="Q10" i="14"/>
  <c r="R5" i="14"/>
  <c r="P12" i="14"/>
  <c r="P13" i="14" s="1"/>
  <c r="Q7" i="14"/>
  <c r="O40" i="6"/>
  <c r="Q37" i="3" l="1"/>
  <c r="Q35" i="3"/>
  <c r="Q34" i="3"/>
  <c r="Q28" i="3"/>
  <c r="Q36" i="3"/>
  <c r="P46" i="36"/>
  <c r="S3" i="36"/>
  <c r="R32" i="36"/>
  <c r="Q38" i="36"/>
  <c r="Q37" i="36"/>
  <c r="Q35" i="36"/>
  <c r="Q36" i="36"/>
  <c r="Q44" i="36"/>
  <c r="Q42" i="36"/>
  <c r="Q43" i="36"/>
  <c r="Q41" i="36"/>
  <c r="R6" i="35"/>
  <c r="X21" i="31"/>
  <c r="X24" i="31" s="1"/>
  <c r="R6" i="34" s="1"/>
  <c r="R7" i="35"/>
  <c r="X22" i="31"/>
  <c r="X25" i="31" s="1"/>
  <c r="Z7" i="31"/>
  <c r="Y18" i="31"/>
  <c r="Y19" i="31"/>
  <c r="V13" i="33"/>
  <c r="U24" i="33"/>
  <c r="V12" i="33"/>
  <c r="U23" i="33"/>
  <c r="V14" i="33"/>
  <c r="U25" i="33"/>
  <c r="V15" i="33"/>
  <c r="U26" i="33"/>
  <c r="Q20" i="3"/>
  <c r="Q29" i="3"/>
  <c r="Q41" i="3"/>
  <c r="V9" i="33"/>
  <c r="U20" i="33"/>
  <c r="V10" i="33"/>
  <c r="U21" i="33"/>
  <c r="V8" i="33"/>
  <c r="U19" i="33"/>
  <c r="V7" i="33"/>
  <c r="U18" i="33"/>
  <c r="Q26" i="3"/>
  <c r="Q25" i="3"/>
  <c r="Q22" i="3"/>
  <c r="Q23" i="3"/>
  <c r="S66" i="5"/>
  <c r="K14" i="36" s="1"/>
  <c r="Q7" i="34"/>
  <c r="S4" i="14"/>
  <c r="R9" i="14"/>
  <c r="U65" i="5"/>
  <c r="Q42" i="3"/>
  <c r="Q17" i="3"/>
  <c r="S6" i="3"/>
  <c r="R7" i="3"/>
  <c r="R8" i="3"/>
  <c r="Q44" i="3"/>
  <c r="Q43" i="3"/>
  <c r="R6" i="14"/>
  <c r="Q11" i="14"/>
  <c r="Q12" i="14"/>
  <c r="Q13" i="14" s="1"/>
  <c r="R7" i="14"/>
  <c r="R10" i="14"/>
  <c r="S5" i="14"/>
  <c r="P40" i="6"/>
  <c r="R28" i="3" l="1"/>
  <c r="R36" i="3"/>
  <c r="R35" i="3"/>
  <c r="R37" i="3"/>
  <c r="R34" i="3"/>
  <c r="Q46" i="36"/>
  <c r="R36" i="36"/>
  <c r="R37" i="36"/>
  <c r="R35" i="36"/>
  <c r="R38" i="36"/>
  <c r="R42" i="36"/>
  <c r="R44" i="36"/>
  <c r="R41" i="36"/>
  <c r="R43" i="36"/>
  <c r="T3" i="36"/>
  <c r="S32" i="36"/>
  <c r="S7" i="35"/>
  <c r="Y22" i="31"/>
  <c r="Y25" i="31" s="1"/>
  <c r="Y21" i="31"/>
  <c r="Y24" i="31" s="1"/>
  <c r="S6" i="34" s="1"/>
  <c r="S6" i="35"/>
  <c r="AA7" i="31"/>
  <c r="Z19" i="31"/>
  <c r="Z18" i="31"/>
  <c r="W15" i="33"/>
  <c r="V26" i="33"/>
  <c r="W13" i="33"/>
  <c r="V24" i="33"/>
  <c r="W14" i="33"/>
  <c r="V25" i="33"/>
  <c r="W12" i="33"/>
  <c r="V23" i="33"/>
  <c r="R20" i="3"/>
  <c r="R29" i="3"/>
  <c r="R41" i="3"/>
  <c r="W7" i="33"/>
  <c r="V18" i="33"/>
  <c r="W8" i="33"/>
  <c r="V19" i="33"/>
  <c r="W10" i="33"/>
  <c r="V21" i="33"/>
  <c r="W9" i="33"/>
  <c r="V20" i="33"/>
  <c r="R25" i="3"/>
  <c r="R26" i="3"/>
  <c r="R22" i="3"/>
  <c r="R23" i="3"/>
  <c r="T66" i="5"/>
  <c r="L14" i="36" s="1"/>
  <c r="R7" i="34"/>
  <c r="T4" i="14"/>
  <c r="S9" i="14"/>
  <c r="V65" i="5"/>
  <c r="R42" i="3"/>
  <c r="R17" i="3"/>
  <c r="R44" i="3"/>
  <c r="R43" i="3"/>
  <c r="S7" i="3"/>
  <c r="T6" i="3"/>
  <c r="S8" i="3"/>
  <c r="R11" i="14"/>
  <c r="S6" i="14"/>
  <c r="S10" i="14"/>
  <c r="T5" i="14"/>
  <c r="Q40" i="6"/>
  <c r="S7" i="14"/>
  <c r="R12" i="14"/>
  <c r="R13" i="14" s="1"/>
  <c r="S34" i="3" l="1"/>
  <c r="S28" i="3"/>
  <c r="S36" i="3"/>
  <c r="S35" i="3"/>
  <c r="S37" i="3"/>
  <c r="U3" i="36"/>
  <c r="U32" i="36" s="1"/>
  <c r="T32" i="36"/>
  <c r="R46" i="36"/>
  <c r="S36" i="36"/>
  <c r="S37" i="36"/>
  <c r="S35" i="36"/>
  <c r="S38" i="36"/>
  <c r="S41" i="36"/>
  <c r="S42" i="36"/>
  <c r="S44" i="36"/>
  <c r="S43" i="36"/>
  <c r="T6" i="35"/>
  <c r="Z21" i="31"/>
  <c r="Z24" i="31" s="1"/>
  <c r="T6" i="34" s="1"/>
  <c r="Z22" i="31"/>
  <c r="Z25" i="31" s="1"/>
  <c r="T7" i="35"/>
  <c r="AB7" i="31"/>
  <c r="AA18" i="31"/>
  <c r="AA19" i="31"/>
  <c r="X12" i="33"/>
  <c r="W23" i="33"/>
  <c r="X15" i="33"/>
  <c r="W26" i="33"/>
  <c r="X14" i="33"/>
  <c r="W25" i="33"/>
  <c r="X13" i="33"/>
  <c r="W24" i="33"/>
  <c r="S20" i="3"/>
  <c r="S29" i="3"/>
  <c r="S41" i="3"/>
  <c r="X9" i="33"/>
  <c r="W20" i="33"/>
  <c r="X10" i="33"/>
  <c r="W21" i="33"/>
  <c r="X8" i="33"/>
  <c r="W19" i="33"/>
  <c r="X7" i="33"/>
  <c r="W18" i="33"/>
  <c r="S25" i="3"/>
  <c r="S26" i="3"/>
  <c r="U4" i="14"/>
  <c r="T9" i="14"/>
  <c r="S17" i="3"/>
  <c r="S22" i="3"/>
  <c r="S23" i="3"/>
  <c r="U66" i="5"/>
  <c r="M14" i="36" s="1"/>
  <c r="S7" i="34"/>
  <c r="W65" i="5"/>
  <c r="U6" i="3"/>
  <c r="T8" i="3"/>
  <c r="T7" i="3"/>
  <c r="S44" i="3"/>
  <c r="S43" i="3"/>
  <c r="S42" i="3"/>
  <c r="T6" i="14"/>
  <c r="S11" i="14"/>
  <c r="T7" i="14"/>
  <c r="S12" i="14"/>
  <c r="S13" i="14" s="1"/>
  <c r="R40" i="6"/>
  <c r="U5" i="14"/>
  <c r="T10" i="14"/>
  <c r="T28" i="3" l="1"/>
  <c r="T36" i="3"/>
  <c r="T34" i="3"/>
  <c r="T37" i="3"/>
  <c r="T35" i="3"/>
  <c r="S46" i="36"/>
  <c r="T37" i="36"/>
  <c r="T36" i="36"/>
  <c r="T35" i="36"/>
  <c r="T38" i="36"/>
  <c r="T42" i="36"/>
  <c r="T43" i="36"/>
  <c r="T41" i="36"/>
  <c r="T44" i="36"/>
  <c r="U36" i="36"/>
  <c r="U37" i="36"/>
  <c r="U38" i="36"/>
  <c r="U35" i="36"/>
  <c r="U43" i="36"/>
  <c r="U41" i="36"/>
  <c r="U44" i="36"/>
  <c r="U42" i="36"/>
  <c r="U7" i="35"/>
  <c r="AA22" i="31"/>
  <c r="AA25" i="31" s="1"/>
  <c r="AA21" i="31"/>
  <c r="AA24" i="31" s="1"/>
  <c r="U6" i="34" s="1"/>
  <c r="U6" i="35"/>
  <c r="AB18" i="31"/>
  <c r="AB19" i="31"/>
  <c r="Y13" i="33"/>
  <c r="X24" i="33"/>
  <c r="Y12" i="33"/>
  <c r="X23" i="33"/>
  <c r="Y14" i="33"/>
  <c r="X25" i="33"/>
  <c r="Y15" i="33"/>
  <c r="X26" i="33"/>
  <c r="T20" i="3"/>
  <c r="T29" i="3"/>
  <c r="T41" i="3"/>
  <c r="Y9" i="33"/>
  <c r="X20" i="33"/>
  <c r="Y7" i="33"/>
  <c r="X18" i="33"/>
  <c r="Y8" i="33"/>
  <c r="X19" i="33"/>
  <c r="Y10" i="33"/>
  <c r="X21" i="33"/>
  <c r="T25" i="3"/>
  <c r="T26" i="3"/>
  <c r="V66" i="5"/>
  <c r="N14" i="36" s="1"/>
  <c r="T7" i="34"/>
  <c r="X65" i="5"/>
  <c r="Y65" i="5" s="1"/>
  <c r="Z65" i="5" s="1"/>
  <c r="AA65" i="5" s="1"/>
  <c r="AB65" i="5" s="1"/>
  <c r="AC65" i="5" s="1"/>
  <c r="AD65" i="5" s="1"/>
  <c r="AE65" i="5" s="1"/>
  <c r="AF65" i="5" s="1"/>
  <c r="AG65" i="5" s="1"/>
  <c r="AH65" i="5" s="1"/>
  <c r="AI65" i="5" s="1"/>
  <c r="AJ65" i="5" s="1"/>
  <c r="T17" i="3"/>
  <c r="T22" i="3"/>
  <c r="T23" i="3"/>
  <c r="V4" i="14"/>
  <c r="U9" i="14"/>
  <c r="T44" i="3"/>
  <c r="T43" i="3"/>
  <c r="U7" i="3"/>
  <c r="V6" i="3"/>
  <c r="U8" i="3"/>
  <c r="T42" i="3"/>
  <c r="T11" i="14"/>
  <c r="U6" i="14"/>
  <c r="S40" i="6"/>
  <c r="V5" i="14"/>
  <c r="U10" i="14"/>
  <c r="T12" i="14"/>
  <c r="T13" i="14" s="1"/>
  <c r="U7" i="14"/>
  <c r="U37" i="3" l="1"/>
  <c r="U35" i="3"/>
  <c r="U34" i="3"/>
  <c r="U28" i="3"/>
  <c r="U36" i="3"/>
  <c r="U46" i="36"/>
  <c r="T46" i="36"/>
  <c r="V7" i="35"/>
  <c r="AB22" i="31"/>
  <c r="AB25" i="31" s="1"/>
  <c r="V6" i="35"/>
  <c r="AB21" i="31"/>
  <c r="AB24" i="31" s="1"/>
  <c r="V6" i="34" s="1"/>
  <c r="Z15" i="33"/>
  <c r="Y26" i="33"/>
  <c r="Z13" i="33"/>
  <c r="Y24" i="33"/>
  <c r="Z14" i="33"/>
  <c r="Y25" i="33"/>
  <c r="Z12" i="33"/>
  <c r="Y23" i="33"/>
  <c r="U20" i="3"/>
  <c r="U29" i="3"/>
  <c r="U41" i="3"/>
  <c r="Z10" i="33"/>
  <c r="Y21" i="33"/>
  <c r="Z9" i="33"/>
  <c r="Y20" i="33"/>
  <c r="Z8" i="33"/>
  <c r="Y19" i="33"/>
  <c r="Z7" i="33"/>
  <c r="Y18" i="33"/>
  <c r="U26" i="3"/>
  <c r="U25" i="3"/>
  <c r="U17" i="3"/>
  <c r="U22" i="3"/>
  <c r="U23" i="3"/>
  <c r="W4" i="14"/>
  <c r="V9" i="14"/>
  <c r="W66" i="5"/>
  <c r="O14" i="36" s="1"/>
  <c r="V34" i="3" s="1"/>
  <c r="U7" i="34"/>
  <c r="V8" i="3"/>
  <c r="V7" i="3"/>
  <c r="W6" i="3"/>
  <c r="U44" i="3"/>
  <c r="U43" i="3"/>
  <c r="U42" i="3"/>
  <c r="U11" i="14"/>
  <c r="V6" i="14"/>
  <c r="V10" i="14"/>
  <c r="W5" i="14"/>
  <c r="T40" i="6"/>
  <c r="U12" i="14"/>
  <c r="U13" i="14" s="1"/>
  <c r="V7" i="14"/>
  <c r="V35" i="3" l="1"/>
  <c r="V37" i="3"/>
  <c r="V28" i="3"/>
  <c r="V36" i="3"/>
  <c r="AA15" i="33"/>
  <c r="Z26" i="33"/>
  <c r="AA12" i="33"/>
  <c r="Z23" i="33"/>
  <c r="AA14" i="33"/>
  <c r="Z25" i="33"/>
  <c r="AA13" i="33"/>
  <c r="Z24" i="33"/>
  <c r="V20" i="3"/>
  <c r="V29" i="3"/>
  <c r="V41" i="3"/>
  <c r="AA7" i="33"/>
  <c r="C3" i="38" s="1"/>
  <c r="Z18" i="33"/>
  <c r="AA9" i="33"/>
  <c r="Z20" i="33"/>
  <c r="AA8" i="33"/>
  <c r="Z19" i="33"/>
  <c r="AA10" i="33"/>
  <c r="Z21" i="33"/>
  <c r="V26" i="3"/>
  <c r="V25" i="3"/>
  <c r="X4" i="14"/>
  <c r="X9" i="14" s="1"/>
  <c r="W9" i="14"/>
  <c r="X66" i="5"/>
  <c r="V7" i="34"/>
  <c r="V17" i="3"/>
  <c r="V22" i="3"/>
  <c r="V23" i="3"/>
  <c r="V44" i="3"/>
  <c r="V43" i="3"/>
  <c r="V42" i="3"/>
  <c r="W8" i="3"/>
  <c r="W7" i="3"/>
  <c r="X6" i="3"/>
  <c r="V11" i="14"/>
  <c r="W6" i="14"/>
  <c r="V12" i="14"/>
  <c r="V13" i="14" s="1"/>
  <c r="W7" i="14"/>
  <c r="U40" i="6"/>
  <c r="X5" i="14"/>
  <c r="X10" i="14" s="1"/>
  <c r="W10" i="14"/>
  <c r="W35" i="3" l="1"/>
  <c r="W37" i="3"/>
  <c r="W28" i="3"/>
  <c r="W36" i="3"/>
  <c r="AA19" i="33"/>
  <c r="AA24" i="33"/>
  <c r="AA20" i="33"/>
  <c r="AA25" i="33"/>
  <c r="AA18" i="33"/>
  <c r="AA23" i="33"/>
  <c r="AA21" i="33"/>
  <c r="AA26" i="33"/>
  <c r="Y66" i="5"/>
  <c r="P14" i="36"/>
  <c r="W34" i="3" s="1"/>
  <c r="W20" i="3"/>
  <c r="W29" i="3"/>
  <c r="W41" i="3"/>
  <c r="W26" i="3"/>
  <c r="W25" i="3"/>
  <c r="W17" i="3"/>
  <c r="W22" i="3"/>
  <c r="W23" i="3"/>
  <c r="W44" i="3"/>
  <c r="W43" i="3"/>
  <c r="Y6" i="3"/>
  <c r="X8" i="3"/>
  <c r="X7" i="3"/>
  <c r="W42" i="3"/>
  <c r="W11" i="14"/>
  <c r="X6" i="14"/>
  <c r="X11" i="14" s="1"/>
  <c r="W12" i="14"/>
  <c r="W13" i="14" s="1"/>
  <c r="X7" i="14"/>
  <c r="X12" i="14" s="1"/>
  <c r="X13" i="14" s="1"/>
  <c r="X35" i="3" l="1"/>
  <c r="X37" i="3"/>
  <c r="X28" i="3"/>
  <c r="X36" i="3"/>
  <c r="Z66" i="5"/>
  <c r="Q14" i="36"/>
  <c r="X34" i="3" s="1"/>
  <c r="X20" i="3"/>
  <c r="X29" i="3"/>
  <c r="X41" i="3"/>
  <c r="X26" i="3"/>
  <c r="X25" i="3"/>
  <c r="X22" i="3"/>
  <c r="X23" i="3"/>
  <c r="X42" i="3"/>
  <c r="X17" i="3"/>
  <c r="X44" i="3"/>
  <c r="X43" i="3"/>
  <c r="Y7" i="3"/>
  <c r="Y8" i="3"/>
  <c r="Z6" i="3"/>
  <c r="Y28" i="3" l="1"/>
  <c r="Y36" i="3"/>
  <c r="Y37" i="3"/>
  <c r="Y35" i="3"/>
  <c r="AA66" i="5"/>
  <c r="R14" i="36"/>
  <c r="Y34" i="3" s="1"/>
  <c r="Y20" i="3"/>
  <c r="Y29" i="3"/>
  <c r="Y41" i="3"/>
  <c r="Y26" i="3"/>
  <c r="Y25" i="3"/>
  <c r="Y22" i="3"/>
  <c r="Y23" i="3"/>
  <c r="Y42" i="3"/>
  <c r="Y17" i="3"/>
  <c r="Z8" i="3"/>
  <c r="AA6" i="3"/>
  <c r="Z7" i="3"/>
  <c r="Y44" i="3"/>
  <c r="Y43" i="3"/>
  <c r="Z35" i="3" l="1"/>
  <c r="Z37" i="3"/>
  <c r="Z28" i="3"/>
  <c r="Z36" i="3"/>
  <c r="AB66" i="5"/>
  <c r="S14" i="36"/>
  <c r="Z34" i="3" s="1"/>
  <c r="Z20" i="3"/>
  <c r="Z29" i="3"/>
  <c r="Z41" i="3"/>
  <c r="B41" i="3" s="1"/>
  <c r="Z26" i="3"/>
  <c r="Z25" i="3"/>
  <c r="Z17" i="3"/>
  <c r="Z22" i="3"/>
  <c r="Z23" i="3"/>
  <c r="Z44" i="3"/>
  <c r="B44" i="3" s="1"/>
  <c r="Z43" i="3"/>
  <c r="B43" i="3" s="1"/>
  <c r="Z42" i="3"/>
  <c r="B42" i="3" s="1"/>
  <c r="AA7" i="3"/>
  <c r="AA8" i="3"/>
  <c r="AB6" i="3"/>
  <c r="AA28" i="3" l="1"/>
  <c r="AA36" i="3"/>
  <c r="AA37" i="3"/>
  <c r="AA35" i="3"/>
  <c r="AC66" i="5"/>
  <c r="T14" i="36"/>
  <c r="AA34" i="3" s="1"/>
  <c r="AA20" i="3"/>
  <c r="AA29" i="3"/>
  <c r="AA25" i="3"/>
  <c r="AA26" i="3"/>
  <c r="AA17" i="3"/>
  <c r="AA22" i="3"/>
  <c r="AA23" i="3"/>
  <c r="AB8" i="3"/>
  <c r="AB36" i="3" s="1"/>
  <c r="AB7" i="3"/>
  <c r="B45" i="3"/>
  <c r="AB37" i="3" l="1"/>
  <c r="B37" i="3" s="1"/>
  <c r="AB35" i="3"/>
  <c r="AD66" i="5"/>
  <c r="AE66" i="5" s="1"/>
  <c r="AF66" i="5" s="1"/>
  <c r="AG66" i="5" s="1"/>
  <c r="AH66" i="5" s="1"/>
  <c r="AI66" i="5" s="1"/>
  <c r="AJ66" i="5" s="1"/>
  <c r="U14" i="36"/>
  <c r="B35" i="3"/>
  <c r="AB28" i="3"/>
  <c r="B28" i="3" s="1"/>
  <c r="AB20" i="3"/>
  <c r="B20" i="3" s="1"/>
  <c r="AB29" i="3"/>
  <c r="B29" i="3" s="1"/>
  <c r="AB25" i="3"/>
  <c r="B25" i="3" s="1"/>
  <c r="AB26" i="3"/>
  <c r="B26" i="3" s="1"/>
  <c r="AB22" i="3"/>
  <c r="B22" i="3" s="1"/>
  <c r="AB23" i="3"/>
  <c r="B23" i="3" s="1"/>
  <c r="AB12" i="3"/>
  <c r="B12" i="3" s="1"/>
  <c r="B14" i="3" s="1"/>
  <c r="AB17" i="3"/>
  <c r="B17" i="3" s="1"/>
  <c r="AB34" i="3" l="1"/>
  <c r="B34" i="3" s="1"/>
  <c r="B36" i="3"/>
  <c r="B70" i="3" s="1"/>
  <c r="B47" i="3" l="1"/>
  <c r="B59" i="3" l="1"/>
  <c r="B55" i="3"/>
  <c r="B60" i="3"/>
  <c r="B56" i="3"/>
  <c r="B61" i="3"/>
  <c r="B50" i="3"/>
  <c r="B51" i="3"/>
  <c r="B6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tc={A6BD0F67-7671-40E5-A35A-4A39F80ACAFC}</author>
    <author>tc={5080EA70-A083-1549-9D89-5C2A9D64DBC5}</author>
    <author>tc={64EE20D0-1213-D042-8BF3-FA4893D43D8D}</author>
  </authors>
  <commentList>
    <comment ref="A3" authorId="0" shapeId="0" xr:uid="{A6BD0F67-7671-40E5-A35A-4A39F80ACAFC}">
      <text>
        <t>[Threaded comment]
Your version of Excel allows you to read this threaded comment; however, any edits to it will get removed if the file is opened in a newer version of Excel. Learn more: https://go.microsoft.com/fwlink/?linkid=870924
Comment:
    adjust back to vehicle hours, not passenger hours</t>
      </text>
    </comment>
    <comment ref="A16" authorId="1" shapeId="0" xr:uid="{5080EA70-A083-1549-9D89-5C2A9D64DBC5}">
      <text>
        <t>[Threaded comment]
Your version of Excel allows you to read this threaded comment; however, any edits to it will get removed if the file is opened in a newer version of Excel. Learn more: https://go.microsoft.com/fwlink/?linkid=870924
Comment:
    This table pulls from the Look Up tab and employs a linear decrease for emissions post 2025. Several of the pollutants hit 0 using this formula in the 2030s or 2040s</t>
      </text>
    </comment>
    <comment ref="G16" authorId="2" shapeId="0" xr:uid="{64EE20D0-1213-D042-8BF3-FA4893D43D8D}">
      <text>
        <t>[Threaded comment]
Your version of Excel allows you to read this threaded comment; however, any edits to it will get removed if the file is opened in a newer version of Excel. Learn more: https://go.microsoft.com/fwlink/?linkid=870924
Comment:
    Starts emissions decrease formula
Reply:
    Updated to % decrease</t>
      </text>
    </comment>
  </commentList>
</comments>
</file>

<file path=xl/sharedStrings.xml><?xml version="1.0" encoding="utf-8"?>
<sst xmlns="http://schemas.openxmlformats.org/spreadsheetml/2006/main" count="538" uniqueCount="270">
  <si>
    <t>Discounted Summary Results (2020 $s)</t>
  </si>
  <si>
    <t>Year</t>
  </si>
  <si>
    <t>Years of Construction</t>
  </si>
  <si>
    <t>Years of Operation</t>
  </si>
  <si>
    <t>-</t>
  </si>
  <si>
    <t>Base Year Y for Discounting</t>
  </si>
  <si>
    <t>Discount Factor (7%)</t>
  </si>
  <si>
    <t>Discount Factor(3%)</t>
  </si>
  <si>
    <t>`</t>
  </si>
  <si>
    <t>Discounted Costs</t>
  </si>
  <si>
    <t>Present Value</t>
  </si>
  <si>
    <t xml:space="preserve">Build Capital Costs </t>
  </si>
  <si>
    <t xml:space="preserve">Residual Value after 20 years </t>
  </si>
  <si>
    <t>Net Capital Cost</t>
  </si>
  <si>
    <t>Discounted Benefits</t>
  </si>
  <si>
    <t>1. Annual Maintenance Cost Savings</t>
  </si>
  <si>
    <t>2. Benefits from Avoided Storm Related Emergency Closure (probability weighted values)</t>
  </si>
  <si>
    <t xml:space="preserve">     Avoided Repair Cost</t>
  </si>
  <si>
    <t xml:space="preserve">     Value Travel Time Saving</t>
  </si>
  <si>
    <t>auto</t>
  </si>
  <si>
    <t>truck</t>
  </si>
  <si>
    <t xml:space="preserve">     VOC Saving</t>
  </si>
  <si>
    <t xml:space="preserve">     Emissions Reduction</t>
  </si>
  <si>
    <t>CO2</t>
  </si>
  <si>
    <t>Other Emissions</t>
  </si>
  <si>
    <t>3, Value of Avoided Loss of Recreational Access</t>
  </si>
  <si>
    <t>4. Avoided Truck Restriction and Detour from Reclassification</t>
  </si>
  <si>
    <t xml:space="preserve">     Travel Time Saving</t>
  </si>
  <si>
    <t xml:space="preserve">     CO2</t>
  </si>
  <si>
    <t xml:space="preserve">     Other Emissions</t>
  </si>
  <si>
    <t>Truck VMT Reductions (related external benefits)</t>
  </si>
  <si>
    <t>annual reduction in truck VMT</t>
  </si>
  <si>
    <t>Emissions Benefits (CO2)</t>
  </si>
  <si>
    <t>Emissions Benefits (All Other)</t>
  </si>
  <si>
    <t>Crash Reductions Benefits</t>
  </si>
  <si>
    <t>Reduced Pavement Damage</t>
  </si>
  <si>
    <t>Total from reduced truck VMT</t>
  </si>
  <si>
    <t xml:space="preserve">                                                                                                                                                                                                                                                                                                                                                                                                                                                                                                                                                                                                                                                                                                                                                                                                                                                                                                                                                                                                                                                                                                                                                                                                                                                                                                                                                                                                                                                                                                                                                                                                                                                                                                                                                                                                                                                                                                                                                                                                                                                                                                                                                                                                                                                                                                                                                                                                                                                                                                                                                                                                                                                                           </t>
  </si>
  <si>
    <t>Total Discounted Benefits</t>
  </si>
  <si>
    <t>Summary</t>
  </si>
  <si>
    <t>Benefit Cost Ratio</t>
  </si>
  <si>
    <t xml:space="preserve">Net Present Value </t>
  </si>
  <si>
    <t>Share of Benefits by Source</t>
  </si>
  <si>
    <t>Avoided Storm Closure</t>
  </si>
  <si>
    <t>Avoided Truck Restriction from Reclassification</t>
  </si>
  <si>
    <t>Share of Benefits by Type</t>
  </si>
  <si>
    <t>Avoided Repairs</t>
  </si>
  <si>
    <t>Travel Time</t>
  </si>
  <si>
    <t>Vehicle Operating Costs</t>
  </si>
  <si>
    <t>Emissions</t>
  </si>
  <si>
    <t>Key Parameters</t>
  </si>
  <si>
    <t>20 years of operation</t>
  </si>
  <si>
    <t>Discount all benefits and costs at 7% real discount rate except carbon</t>
  </si>
  <si>
    <t>Carbon emissions savings discounted at 3%</t>
  </si>
  <si>
    <t>Year of Operation</t>
  </si>
  <si>
    <t>Financial Discount Fator- PBVR Cost of Capital (2%)</t>
  </si>
  <si>
    <t>Build Capital Costs (including previously expended costs)</t>
  </si>
  <si>
    <t>Annual O&amp;M and Periodic Rehab Cost (Build - No Build)</t>
  </si>
  <si>
    <t>Total Discounted Cost</t>
  </si>
  <si>
    <t xml:space="preserve">Improved RR yard efficiencies </t>
  </si>
  <si>
    <t>reduced overtime</t>
  </si>
  <si>
    <t>Additional Port Net Revenues</t>
  </si>
  <si>
    <t>Payback Period</t>
  </si>
  <si>
    <t>8 years</t>
  </si>
  <si>
    <t>Financial Internal Rate of Return</t>
  </si>
  <si>
    <t>Costs (Undiscounted, $2020M)</t>
  </si>
  <si>
    <t>pre consructon</t>
  </si>
  <si>
    <t>construction</t>
  </si>
  <si>
    <t>Total</t>
  </si>
  <si>
    <t xml:space="preserve">2020 $s </t>
  </si>
  <si>
    <t>Build</t>
  </si>
  <si>
    <t xml:space="preserve">Construction </t>
  </si>
  <si>
    <t>Pre-Construction</t>
  </si>
  <si>
    <t>Maintenance and Rehab</t>
  </si>
  <si>
    <t>Residual Value (50-year useful life for bridge)</t>
  </si>
  <si>
    <t xml:space="preserve">No Build </t>
  </si>
  <si>
    <t>Source:  FDOT District II</t>
  </si>
  <si>
    <t>Key Parameters &amp; Assumptions</t>
  </si>
  <si>
    <t>Pre construction costs incurred in 2023</t>
  </si>
  <si>
    <t>Operations commence in 2026</t>
  </si>
  <si>
    <t>20-year period of operation analysis (carries through to all subsequent sheets)</t>
  </si>
  <si>
    <t>Salvage value assumes new substructure will have a 50 year useful life</t>
  </si>
  <si>
    <t>US BEA GDP price deflator index, % change Q12020-Q12022</t>
  </si>
  <si>
    <t>https://fred.stlouisfed.org/series/GDPDEF/</t>
  </si>
  <si>
    <t>Note:  FDOT estimtaed costs in current (mid year 2022) prices initially.  These were deflated to 2020 dollars using the GDP price deflator</t>
  </si>
  <si>
    <t>Freight and Passenger Delay Savings via Bridge Segment (due to single tracking)</t>
  </si>
  <si>
    <t>Delay - Freight</t>
  </si>
  <si>
    <t>Life Cycle Cost Savings (Maintenance and Rehab Cost Savings, 2020 $s)</t>
  </si>
  <si>
    <t>No Build</t>
  </si>
  <si>
    <t xml:space="preserve">No Build - Build </t>
  </si>
  <si>
    <t xml:space="preserve">Source: FDOT District II </t>
  </si>
  <si>
    <t>The proposed project is the required maintenance to keep the structure in service</t>
  </si>
  <si>
    <t xml:space="preserve">The scour and embedment concerns would not cause additional maintenance on the substructure, superstructure, or deck. </t>
  </si>
  <si>
    <t>Therefore, the differential in maintenance and rehab costs between no build and build is zero but we separately model the probability of emergency repair costs</t>
  </si>
  <si>
    <t>Avoided Cost of Truck Detouring when Bridge is Structurally Deficient</t>
  </si>
  <si>
    <t>Truck AADT</t>
  </si>
  <si>
    <t>Truck Detour Percentage</t>
  </si>
  <si>
    <t>Truck Trips Detoured</t>
  </si>
  <si>
    <t>Detour Miles Per Trip</t>
  </si>
  <si>
    <t>Annual Heavy Truck Detour VMT</t>
  </si>
  <si>
    <t>Annual Heavy Truck Detour VHT</t>
  </si>
  <si>
    <t>Average Detour Route Speed</t>
  </si>
  <si>
    <t>Travel Time Savings</t>
  </si>
  <si>
    <t>Operating Cost Savings</t>
  </si>
  <si>
    <t>Heavy Truck Emissions (Based on VMT)</t>
  </si>
  <si>
    <t>NOx</t>
  </si>
  <si>
    <t>SO2</t>
  </si>
  <si>
    <t>PM 2.5</t>
  </si>
  <si>
    <t>Heavy Truck Emissions Savings</t>
  </si>
  <si>
    <t>Carbon Emissions Benefits</t>
  </si>
  <si>
    <t>Non-Carbon Emissions Benefits</t>
  </si>
  <si>
    <t>Adjustment Factor for Storm Replacement</t>
  </si>
  <si>
    <t>Probability-Adjusted Heavy Truck Emissions (Based on VMT)</t>
  </si>
  <si>
    <t>Probability-Adjusted Heavy Truck Emissions Savings</t>
  </si>
  <si>
    <t>Probability-Adjusted Carbon Emissions Benefits</t>
  </si>
  <si>
    <t>Probability-Adjusted Non-Carbon Emissions Benefits</t>
  </si>
  <si>
    <t xml:space="preserve">weekly truck VMT reduction </t>
  </si>
  <si>
    <t>annual truck VMT reduction</t>
  </si>
  <si>
    <t>annual truck VHT reduction</t>
  </si>
  <si>
    <t>Emissions Benefits</t>
  </si>
  <si>
    <t>Emissions Reduction (annual metric tons saved)</t>
  </si>
  <si>
    <t xml:space="preserve">NOx </t>
  </si>
  <si>
    <t xml:space="preserve">SOx </t>
  </si>
  <si>
    <r>
      <t>CO</t>
    </r>
    <r>
      <rPr>
        <b/>
        <vertAlign val="subscript"/>
        <sz val="11"/>
        <color theme="1"/>
        <rFont val="Calibri"/>
        <family val="2"/>
        <scheme val="minor"/>
      </rPr>
      <t xml:space="preserve">2 </t>
    </r>
  </si>
  <si>
    <t xml:space="preserve">PM2.5 </t>
  </si>
  <si>
    <t>Emissions Benefit (annual $ savings, undiscounted)</t>
  </si>
  <si>
    <t>NOx Benefit</t>
  </si>
  <si>
    <t>SOx Benefit</t>
  </si>
  <si>
    <r>
      <t>CO</t>
    </r>
    <r>
      <rPr>
        <b/>
        <vertAlign val="subscript"/>
        <sz val="11"/>
        <color theme="1"/>
        <rFont val="Calibri"/>
        <family val="2"/>
        <scheme val="minor"/>
      </rPr>
      <t>2</t>
    </r>
    <r>
      <rPr>
        <b/>
        <sz val="11"/>
        <color theme="1"/>
        <rFont val="Calibri"/>
        <family val="2"/>
        <scheme val="minor"/>
      </rPr>
      <t xml:space="preserve"> Benefit</t>
    </r>
  </si>
  <si>
    <t>PM2.5 Benefit</t>
  </si>
  <si>
    <t>Total (Non-CO2) Benefit</t>
  </si>
  <si>
    <t xml:space="preserve">Emissions Per Vehicle Hour  (metric tons/VHT) </t>
  </si>
  <si>
    <t>Passenger Car</t>
  </si>
  <si>
    <t xml:space="preserve">NOx Savings </t>
  </si>
  <si>
    <t>SOx Savings</t>
  </si>
  <si>
    <r>
      <t>CO</t>
    </r>
    <r>
      <rPr>
        <vertAlign val="subscript"/>
        <sz val="11"/>
        <color theme="1"/>
        <rFont val="Calibri"/>
        <family val="2"/>
        <scheme val="minor"/>
      </rPr>
      <t>2</t>
    </r>
    <r>
      <rPr>
        <sz val="11"/>
        <color theme="1"/>
        <rFont val="Calibri"/>
        <family val="2"/>
        <scheme val="minor"/>
      </rPr>
      <t xml:space="preserve"> Savings</t>
    </r>
  </si>
  <si>
    <t>PM2.5 Savings</t>
  </si>
  <si>
    <t>Light/Medium Truck</t>
  </si>
  <si>
    <t>Heavy Truck</t>
  </si>
  <si>
    <t>*Source: MOVES3</t>
  </si>
  <si>
    <t>https://www.epa.gov/energy/greenhouse-gases-equivalencies-calculator-calculations-and-references</t>
  </si>
  <si>
    <t>https://www.epa.gov/moves/latest-version-motor-vehicle-emission-simulator-moves</t>
  </si>
  <si>
    <t xml:space="preserve">Crash Reductions </t>
  </si>
  <si>
    <t>Table 46</t>
  </si>
  <si>
    <t>distribution of truck crashes by type</t>
  </si>
  <si>
    <t>value of crashes by type</t>
  </si>
  <si>
    <t>Large Trucks Involved in Crashes, by Most Harmful Event and Crash Severity, 2019</t>
  </si>
  <si>
    <t>fatal</t>
  </si>
  <si>
    <t>Most Harmful Event</t>
  </si>
  <si>
    <t>Crash Severity</t>
  </si>
  <si>
    <t>injury</t>
  </si>
  <si>
    <t>Fatal</t>
  </si>
  <si>
    <t>Injury</t>
  </si>
  <si>
    <t>Property Damage
Only</t>
  </si>
  <si>
    <t>PDO</t>
  </si>
  <si>
    <t>Number</t>
  </si>
  <si>
    <t>Percent</t>
  </si>
  <si>
    <t>Collision with Motor Vehicle in
Transport by Initial Point of Impact</t>
  </si>
  <si>
    <t>Front</t>
  </si>
  <si>
    <t>total</t>
  </si>
  <si>
    <t>Left Side</t>
  </si>
  <si>
    <t>Right Side</t>
  </si>
  <si>
    <t>Rear</t>
  </si>
  <si>
    <t>Weighted average crash cost for all three crash types, where weights are frequency of each crash type.</t>
  </si>
  <si>
    <t>Other/Unknown</t>
  </si>
  <si>
    <t xml:space="preserve"> </t>
  </si>
  <si>
    <t>Collision with Fixed Object</t>
  </si>
  <si>
    <t>Collision with Fixed
Object</t>
  </si>
  <si>
    <t>Collision with Object Not Fixed</t>
  </si>
  <si>
    <t>Nonoccupant</t>
  </si>
  <si>
    <t>truck crash rate per million VMT</t>
  </si>
  <si>
    <t>Other</t>
  </si>
  <si>
    <t>crashes</t>
  </si>
  <si>
    <t>Noncollision</t>
  </si>
  <si>
    <t>total truck VMT (millions) (2019)</t>
  </si>
  <si>
    <t>Unknown</t>
  </si>
  <si>
    <t>Sources: FARS 2019 ARF, CRSS 2019</t>
  </si>
  <si>
    <t>Estimates less than 500 have been rounded to 0.</t>
  </si>
  <si>
    <t>National Highway Traffic Safety Administration's Traffic Safety Facts Annual Report, generated 06/16/2021 at 7:40 PM</t>
  </si>
  <si>
    <t xml:space="preserve">Notes: A large truck is defined as a truck with a gross vehicle weight rating (GVWR) greater than 10,000 pounds. Individual numbers may not add up to the totals due to independent rounding. Percentages are based on unrounded numbers.
</t>
  </si>
  <si>
    <t>Sources: FARS 2019 ARF; CRSS 2019; NHTSA Traffic Safety Facts Annual Report Tables. (2019). https://cdan.nhtsa.gov/tsftables/tsfar.htm#</t>
  </si>
  <si>
    <t>This tab would capture any incremental increases in the value of land (site rents) due to more productive uses on the site.  It should be over and above any capitalization of base travel time savings.</t>
  </si>
  <si>
    <t>VMT and VHT Savings from Avoided Bridge Closure - 50 Year Storm Event</t>
  </si>
  <si>
    <t>Probability of Storm Event Closure</t>
  </si>
  <si>
    <t>AADT</t>
  </si>
  <si>
    <t>truck share</t>
  </si>
  <si>
    <t>truck adjustment to net out already diverted truck traffic</t>
  </si>
  <si>
    <t>Detour Length (miles)</t>
  </si>
  <si>
    <t>Average detour route speed</t>
  </si>
  <si>
    <t>Duration of detour (days)</t>
  </si>
  <si>
    <t>Expected annual detour VMT</t>
  </si>
  <si>
    <t>Expected annual detour VHT</t>
  </si>
  <si>
    <t>Expected annual detour PHT</t>
  </si>
  <si>
    <t>Assumptions</t>
  </si>
  <si>
    <t>bridge would be closed for 110 days</t>
  </si>
  <si>
    <t>detour is 8 miles</t>
  </si>
  <si>
    <t>50 year storm has occurrence probability of 2 percent each year, independent of other years.</t>
  </si>
  <si>
    <t>Value of Travel Time Saving from Avoided Bridge Closure - 50 Year Storm Event</t>
  </si>
  <si>
    <t>Value of auto passenger time savings</t>
  </si>
  <si>
    <t>Value of truck time savings</t>
  </si>
  <si>
    <t>Expected Emergency Repair Cost from Storm Event Closure</t>
  </si>
  <si>
    <t>probability of closure</t>
  </si>
  <si>
    <t>expected value of repair cost from storm event</t>
  </si>
  <si>
    <t>assumption</t>
  </si>
  <si>
    <t>Emergency repair = three times the build project cost</t>
  </si>
  <si>
    <t>Value of VOC Savings from Avoided Bridge Closure - 50 Year Storm Event</t>
  </si>
  <si>
    <t>Reduced Tons</t>
  </si>
  <si>
    <t>Auto</t>
  </si>
  <si>
    <t>Oxides of Nitrogen (NOx)</t>
  </si>
  <si>
    <t>Sulfur Dioxide (SO2)</t>
  </si>
  <si>
    <t>CO2 Equivalent</t>
  </si>
  <si>
    <t>PM2.5</t>
  </si>
  <si>
    <t>Truck (Blended Light and Heavy Truck)</t>
  </si>
  <si>
    <t>Reduced $ Per Ton</t>
  </si>
  <si>
    <t>Metric tons of avoided pollutants - cumulative (2026-2045)</t>
  </si>
  <si>
    <t>Pollutant</t>
  </si>
  <si>
    <t>Structurally Deficient Impact</t>
  </si>
  <si>
    <t>Storm Closure</t>
  </si>
  <si>
    <t>Value of VOC Saving from Avoided Bridge Closure - 50 Year Storm Event</t>
  </si>
  <si>
    <t>Value of auto VOC savings</t>
  </si>
  <si>
    <t>Value of truck VOC savings</t>
  </si>
  <si>
    <t>Comprehensive BCA Look Up Table</t>
  </si>
  <si>
    <t>Source</t>
  </si>
  <si>
    <t>Discount Rate</t>
  </si>
  <si>
    <t>USDOT 2022 BCA Guidance (revised)</t>
  </si>
  <si>
    <t>Discount Rate (Carbon Emissions)</t>
  </si>
  <si>
    <t>Annualization factor</t>
  </si>
  <si>
    <t>Occupancy - Passenger vehicles all travel</t>
  </si>
  <si>
    <t>Annual probability of 50 year storm event</t>
  </si>
  <si>
    <t>Vehicle operating cost per mile - light duty vehicles</t>
  </si>
  <si>
    <t>Vehicle operating cost per mile - trucks</t>
  </si>
  <si>
    <t>average cost of gasoline (2019$s, net of fuel taxes)</t>
  </si>
  <si>
    <t>https://www.eia.gov/todayinenergy/detail.php?id=42435</t>
  </si>
  <si>
    <t>average cost of diesel fuel (2019$s, net of fuel taxes)</t>
  </si>
  <si>
    <t>Reduced Pavement Damage Cost</t>
  </si>
  <si>
    <t>Roadway  maintenance cost/truck VMT</t>
  </si>
  <si>
    <t>FHWA Comprehensive Truck Size and Weight Study, updated; Bai, et al, Estimating Highway Pavement Costs Attributed to Truck Traffic, 2009.</t>
  </si>
  <si>
    <t>Emissions Tons per VMT</t>
  </si>
  <si>
    <t>MOVES3</t>
  </si>
  <si>
    <t>tons/VMT</t>
  </si>
  <si>
    <t>Car (Gasoline)</t>
  </si>
  <si>
    <t>Medium Duty Truck</t>
  </si>
  <si>
    <t>Tractor Trailers</t>
  </si>
  <si>
    <t>Emissions Kilograms Per VHT</t>
  </si>
  <si>
    <t>Unit</t>
  </si>
  <si>
    <t>Vehicle Class</t>
  </si>
  <si>
    <t>AVG pollutant decrease, 2021-2025</t>
  </si>
  <si>
    <t>AVG annual % pollutant decrease, 2021-2025</t>
  </si>
  <si>
    <t>kg/VHT</t>
  </si>
  <si>
    <t xml:space="preserve">Emissions Costs Per Ton </t>
  </si>
  <si>
    <t>Nox</t>
  </si>
  <si>
    <t>USDOT 2022 BCA Guidance</t>
  </si>
  <si>
    <t>$/Metric Ton</t>
  </si>
  <si>
    <t>Sox</t>
  </si>
  <si>
    <r>
      <t>CO</t>
    </r>
    <r>
      <rPr>
        <vertAlign val="subscript"/>
        <sz val="11"/>
        <color theme="1"/>
        <rFont val="Calibri"/>
        <family val="2"/>
        <scheme val="minor"/>
      </rPr>
      <t>2</t>
    </r>
  </si>
  <si>
    <t>Value of Accidents KABCO Values ($2019)</t>
  </si>
  <si>
    <t>No injury (PDO equivalent)</t>
  </si>
  <si>
    <t>$/Crash</t>
  </si>
  <si>
    <t>Possible Injury (=OK Severity 2)</t>
  </si>
  <si>
    <t>Non-incapacitating Injury (=OK Severity 3)</t>
  </si>
  <si>
    <t>Incapacitating Injury (=OK Severity 4)</t>
  </si>
  <si>
    <t xml:space="preserve">Fatal </t>
  </si>
  <si>
    <t>Hourly Value of Time ($2019)</t>
  </si>
  <si>
    <t>Passengers (All Purposes)</t>
  </si>
  <si>
    <t>Truck Drivers</t>
  </si>
  <si>
    <t>Truck VOC per truck mile</t>
  </si>
  <si>
    <t>GDP Price Deflators</t>
  </si>
  <si>
    <t>Emissions (Metric Tons) per VMT:</t>
  </si>
  <si>
    <t>Mode</t>
  </si>
  <si>
    <t>VOCs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</si>
</sst>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2">
    <numFmt numFmtId="5" formatCode="&quot;$&quot;#,##0_);\(&quot;$&quot;#,##0\)"/>
    <numFmt numFmtId="6" formatCode="&quot;$&quot;#,##0_);[Red]\(&quot;$&quot;#,##0\)"/>
    <numFmt numFmtId="44" formatCode="_(&quot;$&quot;* #,##0.00_);_(&quot;$&quot;* \(#,##0.00\);_(&quot;$&quot;* &quot;-&quot;??_);_(@_)"/>
    <numFmt numFmtId="43" formatCode="_(* #,##0.00_);_(* \(#,##0.00\);_(* &quot;-&quot;??_);_(@_)"/>
    <numFmt numFmtId="164" formatCode="#,##0.0000_);\(#,##0.0000\);&quot;-  &quot;;&quot; &quot;@"/>
    <numFmt numFmtId="165" formatCode="#,##0.00_);\(#,##0.00\);&quot;-  &quot;;&quot; &quot;@"/>
    <numFmt numFmtId="166" formatCode="0.000"/>
    <numFmt numFmtId="167" formatCode="0.0"/>
    <numFmt numFmtId="168" formatCode="_(* #,##0_);_(* \(#,##0\);_(* &quot;-&quot;??_);_(@_)"/>
    <numFmt numFmtId="169" formatCode="0.0%"/>
    <numFmt numFmtId="170" formatCode="&quot;$&quot;#,##0.0"/>
    <numFmt numFmtId="171" formatCode="&quot;$&quot;#,##0"/>
    <numFmt numFmtId="172" formatCode="#,##0.0000_);\(#,##0.0000\)"/>
    <numFmt numFmtId="173" formatCode="0.0000"/>
    <numFmt numFmtId="174" formatCode="0.000000"/>
    <numFmt numFmtId="175" formatCode="0.00000000000"/>
    <numFmt numFmtId="176" formatCode="0.000%"/>
    <numFmt numFmtId="177" formatCode="_(&quot;$&quot;* #,##0_);_(&quot;$&quot;* \(#,##0\);_(&quot;$&quot;* &quot;-&quot;??_);_(@_)"/>
    <numFmt numFmtId="178" formatCode="_(&quot;$&quot;* #,##0_);_(&quot;$&quot;* \(#,##0\);_(&quot;$&quot;* &quot;-&quot;???_);_(@_)"/>
    <numFmt numFmtId="179" formatCode="_(* #,##0.000_);_(* \(#,##0.000\);_(* &quot;-&quot;??_);_(@_)"/>
    <numFmt numFmtId="180" formatCode="0.00000"/>
    <numFmt numFmtId="181" formatCode="0.0000000000000"/>
    <numFmt numFmtId="182" formatCode="###,###,###,##0"/>
    <numFmt numFmtId="183" formatCode="###################0"/>
    <numFmt numFmtId="184" formatCode="##########################0"/>
    <numFmt numFmtId="185" formatCode="##0.0"/>
    <numFmt numFmtId="186" formatCode="###################################################################0"/>
    <numFmt numFmtId="187" formatCode="####0"/>
    <numFmt numFmtId="188" formatCode="########################################0"/>
    <numFmt numFmtId="189" formatCode="_(&quot;$&quot;* #,##0.000_);_(&quot;$&quot;* \(#,##0.000\);_(&quot;$&quot;* &quot;-&quot;???_);_(@_)"/>
    <numFmt numFmtId="190" formatCode="_(&quot;$&quot;* #,##0.000_);_(&quot;$&quot;* \(#,##0.000\);_(&quot;$&quot;* &quot;-&quot;??_);_(@_)"/>
    <numFmt numFmtId="191" formatCode="&quot;$&quot;#,##0.00"/>
  </numFmts>
  <fonts count="26">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sz val="10"/>
      <name val="Arial"/>
      <family val="2"/>
    </font>
    <font>
      <vertAlign val="subscript"/>
      <sz val="11"/>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i/>
      <sz val="11"/>
      <color rgb="FF212121"/>
      <name val="Calibri"/>
      <family val="2"/>
      <scheme val="minor"/>
    </font>
    <font>
      <sz val="8"/>
      <name val="Calibri"/>
      <family val="2"/>
      <scheme val="minor"/>
    </font>
    <font>
      <sz val="11"/>
      <color indexed="8"/>
      <name val="Calibri"/>
      <family val="2"/>
      <scheme val="minor"/>
    </font>
    <font>
      <b/>
      <vertAlign val="subscript"/>
      <sz val="11"/>
      <color theme="1"/>
      <name val="Calibri"/>
      <family val="2"/>
      <scheme val="minor"/>
    </font>
    <font>
      <sz val="11"/>
      <name val="Calibri"/>
      <family val="2"/>
      <scheme val="minor"/>
    </font>
    <font>
      <b/>
      <sz val="11"/>
      <color rgb="FFFF0000"/>
      <name val="Calibri"/>
      <family val="2"/>
      <scheme val="minor"/>
    </font>
    <font>
      <b/>
      <sz val="11"/>
      <color rgb="FF112277"/>
      <name val="Albany AMT"/>
    </font>
    <font>
      <b/>
      <sz val="9.5"/>
      <color rgb="FF112277"/>
      <name val="Albany AMT"/>
    </font>
    <font>
      <sz val="9.5"/>
      <color rgb="FF112277"/>
      <name val="Albany AMT"/>
    </font>
    <font>
      <b/>
      <sz val="10"/>
      <name val="Arial"/>
      <family val="2"/>
    </font>
    <font>
      <u/>
      <sz val="11"/>
      <color theme="1"/>
      <name val="Calibri"/>
      <family val="2"/>
      <scheme val="minor"/>
    </font>
    <font>
      <sz val="12"/>
      <color theme="1"/>
      <name val="Calibri"/>
      <family val="2"/>
      <scheme val="minor"/>
    </font>
    <font>
      <b/>
      <sz val="11"/>
      <name val="Calibri"/>
      <family val="2"/>
      <scheme val="minor"/>
    </font>
    <font>
      <sz val="11"/>
      <color rgb="FFFF0000"/>
      <name val="Calibri"/>
      <family val="2"/>
      <scheme val="minor"/>
    </font>
    <font>
      <sz val="11"/>
      <color theme="1"/>
      <name val="Roboto Light"/>
    </font>
  </fonts>
  <fills count="1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AFBFE"/>
        <bgColor indexed="64"/>
      </patternFill>
    </fill>
    <fill>
      <patternFill patternType="solid">
        <fgColor rgb="FFEDF2F9"/>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79998168889431442"/>
        <bgColor indexed="64"/>
      </patternFill>
    </fill>
  </fills>
  <borders count="38">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B0B7BB"/>
      </right>
      <top style="thin">
        <color rgb="FFB0B7BB"/>
      </top>
      <bottom style="thin">
        <color rgb="FFB0B7BB"/>
      </bottom>
      <diagonal/>
    </border>
    <border>
      <left style="thin">
        <color rgb="FFB0B7BB"/>
      </left>
      <right style="thin">
        <color rgb="FFB0B7BB"/>
      </right>
      <top style="thin">
        <color rgb="FFB0B7BB"/>
      </top>
      <bottom style="thin">
        <color rgb="FFB0B7BB"/>
      </bottom>
      <diagonal/>
    </border>
    <border>
      <left style="thin">
        <color rgb="FFB0B7BB"/>
      </left>
      <right style="medium">
        <color indexed="64"/>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C1C1C1"/>
      </left>
      <right style="medium">
        <color indexed="64"/>
      </right>
      <top style="thin">
        <color rgb="FFC1C1C1"/>
      </top>
      <bottom style="thin">
        <color rgb="FFC1C1C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rgb="FFB0B7BB"/>
      </right>
      <top/>
      <bottom/>
      <diagonal/>
    </border>
    <border>
      <left style="thin">
        <color rgb="FFC1C1C1"/>
      </left>
      <right style="thin">
        <color rgb="FFC1C1C1"/>
      </right>
      <top/>
      <bottom/>
      <diagonal/>
    </border>
    <border>
      <left style="thin">
        <color rgb="FFC1C1C1"/>
      </left>
      <right/>
      <top/>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style="medium">
        <color indexed="64"/>
      </right>
      <top/>
      <bottom style="thin">
        <color theme="0" tint="-0.249977111117893"/>
      </bottom>
      <diagonal/>
    </border>
    <border>
      <left style="medium">
        <color indexed="64"/>
      </left>
      <right/>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7">
    <xf numFmtId="0" fontId="0" fillId="0" borderId="0"/>
    <xf numFmtId="43" fontId="1" fillId="0" borderId="0" applyFont="0" applyFill="0" applyBorder="0" applyAlignment="0" applyProtection="0"/>
    <xf numFmtId="0" fontId="4" fillId="0" borderId="0" applyNumberFormat="0" applyFill="0" applyBorder="0" applyAlignment="0" applyProtection="0"/>
    <xf numFmtId="164"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cellStyleXfs>
  <cellXfs count="287">
    <xf numFmtId="0" fontId="0" fillId="0" borderId="0" xfId="0"/>
    <xf numFmtId="0" fontId="0" fillId="0" borderId="0" xfId="0" applyAlignment="1">
      <alignment horizontal="right"/>
    </xf>
    <xf numFmtId="2" fontId="0" fillId="0" borderId="0" xfId="0" applyNumberFormat="1"/>
    <xf numFmtId="166" fontId="0" fillId="0" borderId="0" xfId="0" applyNumberFormat="1"/>
    <xf numFmtId="0" fontId="7" fillId="0" borderId="0" xfId="0" applyFont="1"/>
    <xf numFmtId="44" fontId="0" fillId="0" borderId="0" xfId="4" applyFont="1"/>
    <xf numFmtId="44" fontId="0" fillId="0" borderId="0" xfId="0" applyNumberFormat="1"/>
    <xf numFmtId="168" fontId="0" fillId="0" borderId="0" xfId="1" applyNumberFormat="1" applyFont="1"/>
    <xf numFmtId="168" fontId="0" fillId="0" borderId="0" xfId="0" applyNumberFormat="1"/>
    <xf numFmtId="44" fontId="0" fillId="0" borderId="0" xfId="4" applyFont="1" applyFill="1"/>
    <xf numFmtId="0" fontId="3" fillId="0" borderId="0" xfId="0" applyFont="1" applyAlignment="1">
      <alignment horizontal="right"/>
    </xf>
    <xf numFmtId="44" fontId="0" fillId="0" borderId="0" xfId="4" applyFont="1" applyFill="1" applyBorder="1"/>
    <xf numFmtId="168" fontId="0" fillId="0" borderId="0" xfId="1" applyNumberFormat="1" applyFont="1" applyBorder="1"/>
    <xf numFmtId="0" fontId="3" fillId="0" borderId="0" xfId="0" applyFont="1" applyAlignment="1">
      <alignment horizontal="left" vertical="top"/>
    </xf>
    <xf numFmtId="167" fontId="0" fillId="0" borderId="0" xfId="0" applyNumberFormat="1"/>
    <xf numFmtId="165" fontId="0" fillId="0" borderId="0" xfId="3" applyNumberFormat="1" applyFont="1" applyBorder="1"/>
    <xf numFmtId="0" fontId="2" fillId="0" borderId="0" xfId="0" applyFont="1"/>
    <xf numFmtId="0" fontId="3" fillId="0" borderId="0" xfId="0" applyFont="1"/>
    <xf numFmtId="0" fontId="0" fillId="0" borderId="0" xfId="0" applyAlignment="1">
      <alignment horizontal="left" vertical="top"/>
    </xf>
    <xf numFmtId="1" fontId="0" fillId="0" borderId="0" xfId="0" applyNumberFormat="1"/>
    <xf numFmtId="0" fontId="4" fillId="0" borderId="0" xfId="2" applyFill="1" applyBorder="1" applyAlignment="1">
      <alignment horizontal="left" vertical="top"/>
    </xf>
    <xf numFmtId="44" fontId="1" fillId="0" borderId="0" xfId="4" applyFont="1" applyFill="1" applyBorder="1" applyAlignment="1">
      <alignment horizontal="right"/>
    </xf>
    <xf numFmtId="170" fontId="0" fillId="0" borderId="0" xfId="0" applyNumberFormat="1" applyAlignment="1">
      <alignment horizontal="right"/>
    </xf>
    <xf numFmtId="170" fontId="0" fillId="0" borderId="0" xfId="4" applyNumberFormat="1" applyFont="1" applyFill="1" applyBorder="1"/>
    <xf numFmtId="0" fontId="8" fillId="0" borderId="0" xfId="0" applyFont="1" applyAlignment="1">
      <alignment horizontal="left" vertical="top"/>
    </xf>
    <xf numFmtId="5" fontId="0" fillId="0" borderId="0" xfId="0" applyNumberFormat="1"/>
    <xf numFmtId="0" fontId="4" fillId="0" borderId="0" xfId="2" applyAlignment="1">
      <alignment vertical="center"/>
    </xf>
    <xf numFmtId="0" fontId="4" fillId="0" borderId="0" xfId="2"/>
    <xf numFmtId="0" fontId="11" fillId="0" borderId="0" xfId="0" applyFont="1" applyAlignment="1">
      <alignment vertical="center"/>
    </xf>
    <xf numFmtId="173" fontId="2" fillId="0" borderId="0" xfId="1" applyNumberFormat="1" applyFont="1" applyFill="1"/>
    <xf numFmtId="173" fontId="0" fillId="0" borderId="0" xfId="1" applyNumberFormat="1" applyFont="1" applyFill="1"/>
    <xf numFmtId="172" fontId="1" fillId="0" borderId="0" xfId="1" applyNumberFormat="1" applyFont="1" applyFill="1"/>
    <xf numFmtId="5" fontId="1" fillId="0" borderId="0" xfId="1" applyNumberFormat="1" applyFont="1" applyFill="1"/>
    <xf numFmtId="5" fontId="2" fillId="0" borderId="0" xfId="1" applyNumberFormat="1" applyFont="1" applyFill="1"/>
    <xf numFmtId="0" fontId="0" fillId="0" borderId="0" xfId="0" applyAlignment="1">
      <alignment vertical="top"/>
    </xf>
    <xf numFmtId="0" fontId="0" fillId="0" borderId="0" xfId="0" applyAlignment="1">
      <alignment wrapText="1"/>
    </xf>
    <xf numFmtId="174" fontId="0" fillId="0" borderId="0" xfId="0" applyNumberFormat="1"/>
    <xf numFmtId="0" fontId="2" fillId="3" borderId="0" xfId="0" applyFont="1" applyFill="1" applyAlignment="1">
      <alignment horizontal="left"/>
    </xf>
    <xf numFmtId="0" fontId="0" fillId="3" borderId="0" xfId="0" applyFill="1"/>
    <xf numFmtId="0" fontId="0" fillId="3" borderId="0" xfId="0" applyFill="1" applyAlignment="1">
      <alignment horizontal="right"/>
    </xf>
    <xf numFmtId="0" fontId="0" fillId="0" borderId="0" xfId="0" applyAlignment="1">
      <alignment horizontal="right" vertical="top"/>
    </xf>
    <xf numFmtId="0" fontId="3" fillId="4" borderId="0" xfId="0" applyFont="1" applyFill="1" applyAlignment="1">
      <alignment horizontal="left" vertical="top"/>
    </xf>
    <xf numFmtId="0" fontId="0" fillId="4" borderId="0" xfId="0" applyFill="1" applyAlignment="1">
      <alignment horizontal="right" vertical="top"/>
    </xf>
    <xf numFmtId="0" fontId="0" fillId="4" borderId="0" xfId="0" applyFill="1"/>
    <xf numFmtId="0" fontId="3" fillId="4" borderId="0" xfId="0" applyFont="1" applyFill="1" applyAlignment="1">
      <alignment horizontal="left" wrapText="1"/>
    </xf>
    <xf numFmtId="0" fontId="0" fillId="4" borderId="0" xfId="0" applyFill="1" applyAlignment="1">
      <alignment horizontal="right"/>
    </xf>
    <xf numFmtId="0" fontId="2" fillId="4" borderId="0" xfId="0" applyFont="1" applyFill="1"/>
    <xf numFmtId="174" fontId="0" fillId="3" borderId="0" xfId="0" applyNumberFormat="1" applyFill="1"/>
    <xf numFmtId="0" fontId="0" fillId="3" borderId="0" xfId="0" applyFill="1" applyAlignment="1">
      <alignment wrapText="1"/>
    </xf>
    <xf numFmtId="173" fontId="1" fillId="0" borderId="0" xfId="1" applyNumberFormat="1" applyFont="1" applyFill="1"/>
    <xf numFmtId="175" fontId="0" fillId="0" borderId="0" xfId="1" applyNumberFormat="1" applyFont="1" applyFill="1"/>
    <xf numFmtId="175" fontId="2" fillId="0" borderId="0" xfId="1" applyNumberFormat="1" applyFont="1" applyFill="1"/>
    <xf numFmtId="175" fontId="1" fillId="0" borderId="0" xfId="1" applyNumberFormat="1" applyFont="1" applyFill="1"/>
    <xf numFmtId="176" fontId="0" fillId="0" borderId="0" xfId="5" applyNumberFormat="1" applyFont="1" applyFill="1" applyBorder="1"/>
    <xf numFmtId="0" fontId="0" fillId="3" borderId="2" xfId="0" applyFill="1" applyBorder="1" applyAlignment="1">
      <alignment wrapText="1"/>
    </xf>
    <xf numFmtId="0" fontId="0" fillId="0" borderId="3" xfId="0" applyBorder="1"/>
    <xf numFmtId="0" fontId="0" fillId="0" borderId="4" xfId="0" applyBorder="1"/>
    <xf numFmtId="176" fontId="0" fillId="5" borderId="1" xfId="5" applyNumberFormat="1" applyFont="1" applyFill="1" applyBorder="1"/>
    <xf numFmtId="167" fontId="0" fillId="5" borderId="0" xfId="0" applyNumberFormat="1" applyFill="1"/>
    <xf numFmtId="167" fontId="0" fillId="5" borderId="5" xfId="0" applyNumberFormat="1" applyFill="1" applyBorder="1"/>
    <xf numFmtId="167" fontId="0" fillId="5" borderId="1" xfId="0" applyNumberFormat="1" applyFill="1" applyBorder="1"/>
    <xf numFmtId="176" fontId="0" fillId="5" borderId="6" xfId="5" applyNumberFormat="1" applyFont="1" applyFill="1" applyBorder="1"/>
    <xf numFmtId="167" fontId="0" fillId="5" borderId="7" xfId="0" applyNumberFormat="1" applyFill="1" applyBorder="1"/>
    <xf numFmtId="167" fontId="0" fillId="5" borderId="8" xfId="0" applyNumberFormat="1" applyFill="1" applyBorder="1"/>
    <xf numFmtId="0" fontId="0" fillId="2" borderId="0" xfId="0" applyFill="1"/>
    <xf numFmtId="177" fontId="0" fillId="0" borderId="0" xfId="4" applyNumberFormat="1" applyFont="1"/>
    <xf numFmtId="171" fontId="0" fillId="0" borderId="0" xfId="4" applyNumberFormat="1" applyFont="1" applyFill="1" applyBorder="1"/>
    <xf numFmtId="179" fontId="0" fillId="0" borderId="0" xfId="1" applyNumberFormat="1" applyFont="1"/>
    <xf numFmtId="179" fontId="0" fillId="2" borderId="0" xfId="1" applyNumberFormat="1" applyFont="1" applyFill="1"/>
    <xf numFmtId="179" fontId="1" fillId="0" borderId="0" xfId="1" applyNumberFormat="1" applyFont="1"/>
    <xf numFmtId="171" fontId="0" fillId="0" borderId="0" xfId="4" applyNumberFormat="1" applyFont="1" applyFill="1" applyBorder="1" applyAlignment="1">
      <alignment horizontal="right"/>
    </xf>
    <xf numFmtId="171" fontId="2" fillId="0" borderId="0" xfId="4" applyNumberFormat="1" applyFont="1" applyFill="1" applyBorder="1" applyAlignment="1">
      <alignment horizontal="right"/>
    </xf>
    <xf numFmtId="171" fontId="0" fillId="0" borderId="0" xfId="0" applyNumberFormat="1" applyAlignment="1">
      <alignment horizontal="right"/>
    </xf>
    <xf numFmtId="0" fontId="2" fillId="0" borderId="0" xfId="0" applyFont="1" applyAlignment="1">
      <alignment horizontal="left" vertical="top"/>
    </xf>
    <xf numFmtId="180" fontId="0" fillId="0" borderId="0" xfId="0" applyNumberFormat="1"/>
    <xf numFmtId="0" fontId="9" fillId="0" borderId="0" xfId="0" applyFont="1" applyAlignment="1">
      <alignment horizontal="right" vertical="center"/>
    </xf>
    <xf numFmtId="166" fontId="9" fillId="0" borderId="0" xfId="0" applyNumberFormat="1" applyFont="1" applyAlignment="1">
      <alignment horizontal="right" vertical="center"/>
    </xf>
    <xf numFmtId="0" fontId="3" fillId="0" borderId="0" xfId="0" applyFont="1" applyAlignment="1">
      <alignment horizontal="center"/>
    </xf>
    <xf numFmtId="181" fontId="0" fillId="0" borderId="0" xfId="0" applyNumberFormat="1"/>
    <xf numFmtId="0" fontId="0" fillId="0" borderId="1" xfId="0" applyBorder="1"/>
    <xf numFmtId="0" fontId="0" fillId="0" borderId="0" xfId="0" applyAlignment="1">
      <alignment horizontal="left" wrapText="1"/>
    </xf>
    <xf numFmtId="0" fontId="10" fillId="0" borderId="0" xfId="0" applyFont="1"/>
    <xf numFmtId="0" fontId="15" fillId="0" borderId="0" xfId="0" applyFont="1"/>
    <xf numFmtId="0" fontId="0" fillId="0" borderId="0" xfId="0" applyAlignment="1">
      <alignment horizontal="left"/>
    </xf>
    <xf numFmtId="0" fontId="0" fillId="0" borderId="6" xfId="0" applyBorder="1"/>
    <xf numFmtId="172" fontId="2" fillId="0" borderId="0" xfId="1" applyNumberFormat="1" applyFont="1" applyFill="1"/>
    <xf numFmtId="0" fontId="0" fillId="6" borderId="1" xfId="0" applyFill="1" applyBorder="1" applyAlignment="1">
      <alignment horizontal="left"/>
    </xf>
    <xf numFmtId="0" fontId="0" fillId="6" borderId="0" xfId="0" applyFill="1" applyAlignment="1">
      <alignment horizontal="left"/>
    </xf>
    <xf numFmtId="0" fontId="0" fillId="6" borderId="5" xfId="0" applyFill="1" applyBorder="1" applyAlignment="1">
      <alignment horizontal="left"/>
    </xf>
    <xf numFmtId="169" fontId="0" fillId="0" borderId="0" xfId="5" applyNumberFormat="1" applyFont="1" applyBorder="1"/>
    <xf numFmtId="0" fontId="18" fillId="7" borderId="11" xfId="0" applyFont="1" applyFill="1" applyBorder="1" applyAlignment="1">
      <alignment horizontal="center"/>
    </xf>
    <xf numFmtId="0" fontId="18" fillId="7" borderId="12" xfId="0" applyFont="1" applyFill="1" applyBorder="1" applyAlignment="1">
      <alignment horizontal="center"/>
    </xf>
    <xf numFmtId="184" fontId="18" fillId="7" borderId="11" xfId="0" applyNumberFormat="1" applyFont="1" applyFill="1" applyBorder="1" applyAlignment="1">
      <alignment horizontal="left" vertical="top"/>
    </xf>
    <xf numFmtId="182" fontId="0" fillId="8" borderId="13" xfId="0" applyNumberFormat="1" applyFill="1" applyBorder="1" applyAlignment="1">
      <alignment horizontal="right"/>
    </xf>
    <xf numFmtId="185" fontId="0" fillId="8" borderId="13" xfId="0" applyNumberFormat="1" applyFill="1" applyBorder="1" applyAlignment="1">
      <alignment horizontal="right"/>
    </xf>
    <xf numFmtId="185" fontId="0" fillId="8" borderId="14" xfId="0" applyNumberFormat="1" applyFill="1" applyBorder="1" applyAlignment="1">
      <alignment horizontal="right"/>
    </xf>
    <xf numFmtId="0" fontId="0" fillId="0" borderId="2" xfId="0" applyBorder="1"/>
    <xf numFmtId="0" fontId="5" fillId="0" borderId="0" xfId="0" applyFont="1"/>
    <xf numFmtId="0" fontId="0" fillId="0" borderId="5" xfId="0" applyBorder="1"/>
    <xf numFmtId="177" fontId="0" fillId="9" borderId="9" xfId="0" applyNumberFormat="1" applyFill="1" applyBorder="1"/>
    <xf numFmtId="0" fontId="0" fillId="0" borderId="7" xfId="0" applyBorder="1"/>
    <xf numFmtId="0" fontId="0" fillId="0" borderId="8" xfId="0" applyBorder="1"/>
    <xf numFmtId="0" fontId="18" fillId="7" borderId="11" xfId="0" applyFont="1" applyFill="1" applyBorder="1" applyAlignment="1">
      <alignment horizontal="left" vertical="top" wrapText="1"/>
    </xf>
    <xf numFmtId="187" fontId="0" fillId="8" borderId="13" xfId="0" applyNumberFormat="1" applyFill="1" applyBorder="1" applyAlignment="1">
      <alignment horizontal="right"/>
    </xf>
    <xf numFmtId="173" fontId="0" fillId="9" borderId="9" xfId="0" applyNumberFormat="1" applyFill="1" applyBorder="1"/>
    <xf numFmtId="0" fontId="0" fillId="0" borderId="15" xfId="0" applyBorder="1"/>
    <xf numFmtId="0" fontId="0" fillId="0" borderId="16" xfId="0" applyBorder="1"/>
    <xf numFmtId="182" fontId="0" fillId="10" borderId="15" xfId="0" applyNumberFormat="1" applyFill="1" applyBorder="1"/>
    <xf numFmtId="0" fontId="0" fillId="0" borderId="17" xfId="0" applyBorder="1"/>
    <xf numFmtId="186" fontId="18" fillId="7" borderId="10" xfId="0" applyNumberFormat="1" applyFont="1" applyFill="1" applyBorder="1" applyAlignment="1">
      <alignment horizontal="left" vertical="top"/>
    </xf>
    <xf numFmtId="182" fontId="2" fillId="8" borderId="13" xfId="0" applyNumberFormat="1" applyFont="1" applyFill="1" applyBorder="1" applyAlignment="1">
      <alignment horizontal="right"/>
    </xf>
    <xf numFmtId="185" fontId="2" fillId="8" borderId="13" xfId="0" applyNumberFormat="1" applyFont="1" applyFill="1" applyBorder="1" applyAlignment="1">
      <alignment horizontal="right"/>
    </xf>
    <xf numFmtId="185" fontId="2" fillId="8" borderId="14" xfId="0" applyNumberFormat="1" applyFont="1" applyFill="1" applyBorder="1" applyAlignment="1">
      <alignment horizontal="right"/>
    </xf>
    <xf numFmtId="0" fontId="0" fillId="0" borderId="18" xfId="0" applyBorder="1"/>
    <xf numFmtId="0" fontId="18" fillId="10" borderId="19" xfId="0" applyFont="1" applyFill="1" applyBorder="1" applyAlignment="1">
      <alignment horizontal="left" vertical="top"/>
    </xf>
    <xf numFmtId="183" fontId="18" fillId="10" borderId="20" xfId="0" applyNumberFormat="1" applyFont="1" applyFill="1" applyBorder="1" applyAlignment="1">
      <alignment horizontal="left" vertical="top"/>
    </xf>
    <xf numFmtId="182" fontId="0" fillId="10" borderId="21" xfId="0" applyNumberFormat="1" applyFill="1" applyBorder="1" applyAlignment="1">
      <alignment horizontal="right"/>
    </xf>
    <xf numFmtId="185" fontId="0" fillId="10" borderId="21" xfId="0" applyNumberFormat="1" applyFill="1" applyBorder="1" applyAlignment="1">
      <alignment horizontal="right"/>
    </xf>
    <xf numFmtId="182" fontId="0" fillId="10" borderId="22" xfId="0" applyNumberFormat="1" applyFill="1" applyBorder="1" applyAlignment="1">
      <alignment horizontal="right"/>
    </xf>
    <xf numFmtId="185" fontId="0" fillId="10" borderId="19" xfId="0" applyNumberFormat="1" applyFill="1" applyBorder="1" applyAlignment="1">
      <alignment horizontal="right"/>
    </xf>
    <xf numFmtId="185" fontId="0" fillId="10" borderId="18" xfId="0" applyNumberFormat="1" applyFill="1" applyBorder="1" applyAlignment="1">
      <alignment horizontal="right"/>
    </xf>
    <xf numFmtId="182" fontId="0" fillId="10" borderId="18" xfId="0" applyNumberFormat="1" applyFill="1" applyBorder="1" applyAlignment="1">
      <alignment horizontal="right"/>
    </xf>
    <xf numFmtId="0" fontId="18" fillId="10" borderId="18" xfId="0" applyFont="1" applyFill="1" applyBorder="1" applyAlignment="1">
      <alignment horizontal="left" vertical="top"/>
    </xf>
    <xf numFmtId="183" fontId="18" fillId="10" borderId="18" xfId="0" applyNumberFormat="1" applyFont="1" applyFill="1" applyBorder="1" applyAlignment="1">
      <alignment horizontal="left" vertical="top"/>
    </xf>
    <xf numFmtId="3" fontId="20" fillId="0" borderId="0" xfId="0" applyNumberFormat="1" applyFont="1" applyAlignment="1">
      <alignment horizontal="right" indent="1"/>
    </xf>
    <xf numFmtId="188" fontId="18" fillId="10" borderId="18" xfId="0" applyNumberFormat="1" applyFont="1" applyFill="1" applyBorder="1" applyAlignment="1">
      <alignment horizontal="left" vertical="top"/>
    </xf>
    <xf numFmtId="187" fontId="0" fillId="10" borderId="18" xfId="0" applyNumberFormat="1" applyFill="1" applyBorder="1" applyAlignment="1">
      <alignment horizontal="right"/>
    </xf>
    <xf numFmtId="169" fontId="0" fillId="0" borderId="0" xfId="5" applyNumberFormat="1" applyFont="1"/>
    <xf numFmtId="3" fontId="0" fillId="0" borderId="7" xfId="0" applyNumberFormat="1" applyBorder="1"/>
    <xf numFmtId="182" fontId="0" fillId="0" borderId="0" xfId="0" applyNumberFormat="1"/>
    <xf numFmtId="182" fontId="0" fillId="0" borderId="7" xfId="0" applyNumberFormat="1" applyBorder="1"/>
    <xf numFmtId="9" fontId="0" fillId="0" borderId="7" xfId="0" applyNumberFormat="1" applyBorder="1"/>
    <xf numFmtId="177" fontId="0" fillId="0" borderId="1" xfId="4" applyNumberFormat="1" applyFont="1" applyBorder="1"/>
    <xf numFmtId="6" fontId="0" fillId="0" borderId="1" xfId="0" applyNumberFormat="1" applyBorder="1"/>
    <xf numFmtId="177" fontId="0" fillId="0" borderId="6" xfId="4" applyNumberFormat="1" applyFont="1" applyBorder="1"/>
    <xf numFmtId="169" fontId="0" fillId="0" borderId="0" xfId="5" applyNumberFormat="1" applyFont="1" applyFill="1"/>
    <xf numFmtId="0" fontId="21" fillId="10" borderId="18" xfId="0" applyFont="1" applyFill="1" applyBorder="1" applyAlignment="1">
      <alignment horizontal="left"/>
    </xf>
    <xf numFmtId="0" fontId="0" fillId="10" borderId="23" xfId="0" applyFill="1" applyBorder="1" applyAlignment="1">
      <alignment horizontal="right"/>
    </xf>
    <xf numFmtId="44" fontId="0" fillId="0" borderId="0" xfId="4" applyFont="1" applyBorder="1"/>
    <xf numFmtId="177" fontId="0" fillId="0" borderId="0" xfId="4" applyNumberFormat="1" applyFont="1" applyFill="1"/>
    <xf numFmtId="177" fontId="2" fillId="0" borderId="0" xfId="0" applyNumberFormat="1" applyFont="1"/>
    <xf numFmtId="177" fontId="13" fillId="0" borderId="0" xfId="4" applyNumberFormat="1" applyFont="1" applyFill="1" applyBorder="1" applyAlignment="1">
      <alignment horizontal="center" vertical="center"/>
    </xf>
    <xf numFmtId="190" fontId="13" fillId="0" borderId="0" xfId="4" applyNumberFormat="1" applyFont="1" applyFill="1" applyBorder="1" applyAlignment="1">
      <alignment horizontal="center" vertical="center"/>
    </xf>
    <xf numFmtId="190" fontId="0" fillId="0" borderId="0" xfId="4" applyNumberFormat="1" applyFont="1" applyFill="1"/>
    <xf numFmtId="2" fontId="0" fillId="0" borderId="0" xfId="1" applyNumberFormat="1" applyFont="1" applyFill="1"/>
    <xf numFmtId="44" fontId="0" fillId="0" borderId="0" xfId="4" applyFont="1" applyFill="1" applyBorder="1" applyAlignment="1">
      <alignment horizontal="right"/>
    </xf>
    <xf numFmtId="169" fontId="0" fillId="0" borderId="0" xfId="5" applyNumberFormat="1" applyFont="1" applyFill="1" applyBorder="1"/>
    <xf numFmtId="0" fontId="0" fillId="0" borderId="0" xfId="0" applyAlignment="1">
      <alignment horizontal="center"/>
    </xf>
    <xf numFmtId="171" fontId="13" fillId="0" borderId="0" xfId="6" applyNumberFormat="1" applyAlignment="1">
      <alignment horizontal="center" vertical="center"/>
    </xf>
    <xf numFmtId="0" fontId="3" fillId="0" borderId="0" xfId="0" applyFont="1" applyAlignment="1">
      <alignment horizontal="left"/>
    </xf>
    <xf numFmtId="191" fontId="3" fillId="0" borderId="0" xfId="0" applyNumberFormat="1" applyFont="1"/>
    <xf numFmtId="171" fontId="0" fillId="0" borderId="0" xfId="4" applyNumberFormat="1" applyFont="1" applyFill="1"/>
    <xf numFmtId="0" fontId="2" fillId="0" borderId="0" xfId="0" applyFont="1" applyAlignment="1">
      <alignment wrapText="1"/>
    </xf>
    <xf numFmtId="191" fontId="1" fillId="0" borderId="0" xfId="4" applyNumberFormat="1" applyFont="1" applyFill="1" applyBorder="1"/>
    <xf numFmtId="170" fontId="2" fillId="0" borderId="0" xfId="4" applyNumberFormat="1" applyFont="1" applyFill="1" applyBorder="1"/>
    <xf numFmtId="0" fontId="0" fillId="0" borderId="0" xfId="0" applyAlignment="1">
      <alignment horizontal="center" wrapText="1"/>
    </xf>
    <xf numFmtId="177" fontId="0" fillId="0" borderId="0" xfId="0" applyNumberFormat="1"/>
    <xf numFmtId="176" fontId="0" fillId="5" borderId="0" xfId="5" applyNumberFormat="1" applyFont="1" applyFill="1" applyBorder="1"/>
    <xf numFmtId="1" fontId="0" fillId="0" borderId="3" xfId="0" applyNumberFormat="1" applyBorder="1"/>
    <xf numFmtId="165" fontId="0" fillId="0" borderId="3" xfId="3" applyNumberFormat="1" applyFont="1" applyBorder="1"/>
    <xf numFmtId="0" fontId="0" fillId="0" borderId="4" xfId="3" applyNumberFormat="1" applyFont="1" applyBorder="1"/>
    <xf numFmtId="0" fontId="2" fillId="3" borderId="1" xfId="0" applyFont="1" applyFill="1" applyBorder="1" applyAlignment="1">
      <alignment horizontal="left"/>
    </xf>
    <xf numFmtId="165" fontId="0" fillId="0" borderId="5" xfId="3" applyNumberFormat="1" applyFont="1" applyBorder="1"/>
    <xf numFmtId="0" fontId="0" fillId="0" borderId="1" xfId="0" applyBorder="1" applyAlignment="1">
      <alignment horizontal="right"/>
    </xf>
    <xf numFmtId="11" fontId="0" fillId="0" borderId="5" xfId="0" applyNumberFormat="1" applyBorder="1"/>
    <xf numFmtId="174" fontId="0" fillId="3" borderId="5" xfId="0" applyNumberFormat="1" applyFill="1" applyBorder="1"/>
    <xf numFmtId="0" fontId="0" fillId="0" borderId="6" xfId="0" applyBorder="1" applyAlignment="1">
      <alignment horizontal="right"/>
    </xf>
    <xf numFmtId="0" fontId="0" fillId="0" borderId="7" xfId="0" applyBorder="1" applyAlignment="1">
      <alignment horizontal="right"/>
    </xf>
    <xf numFmtId="174" fontId="0" fillId="0" borderId="7" xfId="0" applyNumberFormat="1" applyBorder="1"/>
    <xf numFmtId="11" fontId="0" fillId="0" borderId="8" xfId="0" applyNumberFormat="1" applyBorder="1"/>
    <xf numFmtId="0" fontId="2" fillId="0" borderId="2" xfId="0" applyFont="1" applyBorder="1"/>
    <xf numFmtId="1" fontId="0" fillId="0" borderId="0" xfId="1" applyNumberFormat="1" applyFont="1" applyBorder="1"/>
    <xf numFmtId="43" fontId="0" fillId="0" borderId="0" xfId="1" applyFont="1" applyBorder="1"/>
    <xf numFmtId="6" fontId="0" fillId="0" borderId="0" xfId="0" applyNumberFormat="1"/>
    <xf numFmtId="0" fontId="2" fillId="0" borderId="0" xfId="0" applyFont="1" applyAlignment="1">
      <alignment horizontal="center"/>
    </xf>
    <xf numFmtId="2" fontId="0" fillId="0" borderId="0" xfId="4" applyNumberFormat="1" applyFont="1"/>
    <xf numFmtId="0" fontId="0" fillId="0" borderId="31" xfId="0" applyBorder="1"/>
    <xf numFmtId="2" fontId="0" fillId="0" borderId="31" xfId="0" applyNumberFormat="1" applyBorder="1"/>
    <xf numFmtId="2" fontId="0" fillId="0" borderId="31" xfId="4" applyNumberFormat="1" applyFont="1" applyBorder="1"/>
    <xf numFmtId="0" fontId="2" fillId="0" borderId="31" xfId="0" applyFont="1" applyBorder="1"/>
    <xf numFmtId="171" fontId="0" fillId="0" borderId="31" xfId="0" applyNumberFormat="1" applyBorder="1"/>
    <xf numFmtId="0" fontId="0" fillId="0" borderId="32" xfId="0" applyBorder="1"/>
    <xf numFmtId="177" fontId="0" fillId="0" borderId="32" xfId="4" applyNumberFormat="1" applyFont="1" applyBorder="1"/>
    <xf numFmtId="0" fontId="7" fillId="0" borderId="34" xfId="0" applyFont="1" applyBorder="1"/>
    <xf numFmtId="0" fontId="0" fillId="0" borderId="33" xfId="0" applyBorder="1"/>
    <xf numFmtId="0" fontId="2" fillId="0" borderId="34" xfId="0" applyFont="1" applyBorder="1"/>
    <xf numFmtId="0" fontId="22" fillId="0" borderId="35" xfId="0" applyFont="1" applyBorder="1"/>
    <xf numFmtId="0" fontId="2" fillId="0" borderId="33" xfId="0" applyFont="1" applyBorder="1"/>
    <xf numFmtId="0" fontId="0" fillId="0" borderId="35" xfId="0" applyBorder="1"/>
    <xf numFmtId="0" fontId="2" fillId="0" borderId="34" xfId="0" applyFont="1" applyBorder="1" applyAlignment="1">
      <alignment horizontal="right"/>
    </xf>
    <xf numFmtId="0" fontId="2" fillId="0" borderId="35" xfId="0" applyFont="1" applyBorder="1" applyAlignment="1">
      <alignment horizontal="left"/>
    </xf>
    <xf numFmtId="0" fontId="2" fillId="0" borderId="33" xfId="0" applyFont="1" applyBorder="1" applyAlignment="1">
      <alignment horizontal="left" indent="1"/>
    </xf>
    <xf numFmtId="0" fontId="0" fillId="0" borderId="33" xfId="0" applyBorder="1" applyAlignment="1">
      <alignment horizontal="left" indent="2"/>
    </xf>
    <xf numFmtId="0" fontId="0" fillId="0" borderId="34" xfId="0" applyBorder="1" applyAlignment="1">
      <alignment horizontal="left" indent="2"/>
    </xf>
    <xf numFmtId="0" fontId="2" fillId="0" borderId="33" xfId="0" applyFont="1" applyBorder="1" applyAlignment="1">
      <alignment horizontal="right" indent="1"/>
    </xf>
    <xf numFmtId="0" fontId="23" fillId="0" borderId="24" xfId="0" applyFont="1" applyBorder="1"/>
    <xf numFmtId="0" fontId="23" fillId="0" borderId="25" xfId="0" applyFont="1" applyBorder="1"/>
    <xf numFmtId="0" fontId="23" fillId="0" borderId="26" xfId="0" applyFont="1" applyBorder="1"/>
    <xf numFmtId="11" fontId="0" fillId="0" borderId="16" xfId="0" applyNumberFormat="1" applyBorder="1"/>
    <xf numFmtId="11" fontId="0" fillId="0" borderId="27" xfId="0" applyNumberFormat="1" applyBorder="1"/>
    <xf numFmtId="0" fontId="0" fillId="0" borderId="28" xfId="0" applyBorder="1"/>
    <xf numFmtId="11" fontId="0" fillId="0" borderId="15" xfId="0" applyNumberFormat="1" applyBorder="1"/>
    <xf numFmtId="11" fontId="0" fillId="0" borderId="29" xfId="0" applyNumberFormat="1" applyBorder="1"/>
    <xf numFmtId="11" fontId="0" fillId="0" borderId="17" xfId="0" applyNumberFormat="1" applyBorder="1"/>
    <xf numFmtId="11" fontId="0" fillId="0" borderId="30" xfId="0" applyNumberFormat="1" applyBorder="1"/>
    <xf numFmtId="0" fontId="2" fillId="0" borderId="35" xfId="0" applyFont="1" applyBorder="1"/>
    <xf numFmtId="171" fontId="0" fillId="0" borderId="32" xfId="0" applyNumberFormat="1" applyBorder="1"/>
    <xf numFmtId="0" fontId="0" fillId="0" borderId="34" xfId="0" applyBorder="1"/>
    <xf numFmtId="169" fontId="0" fillId="0" borderId="0" xfId="5" applyNumberFormat="1" applyFont="1" applyFill="1" applyBorder="1" applyAlignment="1">
      <alignment horizontal="right"/>
    </xf>
    <xf numFmtId="0" fontId="0" fillId="0" borderId="33" xfId="0" applyBorder="1" applyAlignment="1">
      <alignment horizontal="left" indent="1"/>
    </xf>
    <xf numFmtId="0" fontId="0" fillId="0" borderId="34" xfId="0" applyBorder="1" applyAlignment="1">
      <alignment horizontal="left" indent="1"/>
    </xf>
    <xf numFmtId="177" fontId="0" fillId="0" borderId="31" xfId="4" applyNumberFormat="1" applyFont="1" applyFill="1" applyBorder="1"/>
    <xf numFmtId="177" fontId="0" fillId="0" borderId="31" xfId="0" applyNumberFormat="1" applyBorder="1"/>
    <xf numFmtId="0" fontId="2" fillId="11" borderId="33" xfId="0" applyFont="1" applyFill="1" applyBorder="1"/>
    <xf numFmtId="9" fontId="0" fillId="0" borderId="0" xfId="5" applyFont="1" applyFill="1"/>
    <xf numFmtId="0" fontId="2" fillId="11" borderId="34" xfId="0" applyFont="1" applyFill="1" applyBorder="1"/>
    <xf numFmtId="0" fontId="2" fillId="11" borderId="31" xfId="0" applyFont="1" applyFill="1" applyBorder="1"/>
    <xf numFmtId="0" fontId="2" fillId="0" borderId="36" xfId="0" applyFont="1" applyBorder="1"/>
    <xf numFmtId="177" fontId="0" fillId="0" borderId="37" xfId="0" applyNumberFormat="1" applyBorder="1"/>
    <xf numFmtId="0" fontId="0" fillId="0" borderId="37" xfId="0" applyBorder="1"/>
    <xf numFmtId="2" fontId="2" fillId="11" borderId="31" xfId="0" applyNumberFormat="1" applyFont="1" applyFill="1" applyBorder="1"/>
    <xf numFmtId="0" fontId="0" fillId="11" borderId="32" xfId="0" applyFill="1" applyBorder="1"/>
    <xf numFmtId="0" fontId="2" fillId="11" borderId="35" xfId="0" applyFont="1" applyFill="1" applyBorder="1"/>
    <xf numFmtId="177" fontId="0" fillId="11" borderId="0" xfId="0" applyNumberFormat="1" applyFill="1"/>
    <xf numFmtId="0" fontId="0" fillId="11" borderId="0" xfId="0" applyFill="1"/>
    <xf numFmtId="177" fontId="0" fillId="11" borderId="32" xfId="0" applyNumberFormat="1" applyFill="1" applyBorder="1"/>
    <xf numFmtId="0" fontId="7" fillId="0" borderId="0" xfId="0" applyFont="1" applyAlignment="1">
      <alignment vertical="top"/>
    </xf>
    <xf numFmtId="171" fontId="0" fillId="0" borderId="0" xfId="0" applyNumberFormat="1"/>
    <xf numFmtId="171" fontId="0" fillId="0" borderId="9" xfId="4" applyNumberFormat="1" applyFont="1" applyFill="1" applyBorder="1" applyAlignment="1">
      <alignment horizontal="right"/>
    </xf>
    <xf numFmtId="170" fontId="1" fillId="0" borderId="0" xfId="4" applyNumberFormat="1" applyFont="1" applyFill="1" applyBorder="1" applyAlignment="1">
      <alignment horizontal="right"/>
    </xf>
    <xf numFmtId="177" fontId="0" fillId="0" borderId="0" xfId="4" applyNumberFormat="1" applyFont="1" applyFill="1" applyBorder="1"/>
    <xf numFmtId="2" fontId="0" fillId="0" borderId="0" xfId="4" applyNumberFormat="1" applyFont="1" applyFill="1" applyBorder="1"/>
    <xf numFmtId="170" fontId="16" fillId="0" borderId="0" xfId="1" applyNumberFormat="1" applyFont="1" applyFill="1" applyBorder="1" applyAlignment="1">
      <alignment horizontal="right"/>
    </xf>
    <xf numFmtId="170" fontId="16" fillId="0" borderId="0" xfId="4" applyNumberFormat="1" applyFont="1" applyFill="1" applyBorder="1"/>
    <xf numFmtId="168" fontId="0" fillId="0" borderId="0" xfId="1" applyNumberFormat="1" applyFont="1" applyFill="1" applyBorder="1"/>
    <xf numFmtId="170" fontId="0" fillId="0" borderId="0" xfId="0" applyNumberFormat="1"/>
    <xf numFmtId="170" fontId="2" fillId="0" borderId="0" xfId="4" applyNumberFormat="1" applyFont="1" applyFill="1" applyBorder="1" applyAlignment="1">
      <alignment horizontal="right"/>
    </xf>
    <xf numFmtId="0" fontId="2" fillId="0" borderId="0" xfId="0" applyFont="1" applyAlignment="1">
      <alignment horizontal="left"/>
    </xf>
    <xf numFmtId="171" fontId="2" fillId="0" borderId="9" xfId="4" applyNumberFormat="1" applyFont="1" applyFill="1" applyBorder="1" applyAlignment="1">
      <alignment horizontal="right"/>
    </xf>
    <xf numFmtId="0" fontId="3" fillId="0" borderId="2" xfId="0" applyFont="1" applyBorder="1"/>
    <xf numFmtId="44" fontId="1" fillId="0" borderId="4" xfId="4" applyFont="1" applyFill="1" applyBorder="1" applyAlignment="1">
      <alignment horizontal="right"/>
    </xf>
    <xf numFmtId="2" fontId="0" fillId="0" borderId="5" xfId="0" applyNumberFormat="1" applyBorder="1" applyAlignment="1">
      <alignment horizontal="right"/>
    </xf>
    <xf numFmtId="177" fontId="0" fillId="0" borderId="8" xfId="4" applyNumberFormat="1" applyFont="1" applyFill="1" applyBorder="1" applyAlignment="1">
      <alignment horizontal="right"/>
    </xf>
    <xf numFmtId="169" fontId="0" fillId="0" borderId="0" xfId="0" applyNumberFormat="1"/>
    <xf numFmtId="191" fontId="2" fillId="0" borderId="0" xfId="0" applyNumberFormat="1" applyFont="1"/>
    <xf numFmtId="191" fontId="0" fillId="0" borderId="0" xfId="0" applyNumberFormat="1" applyAlignment="1">
      <alignment horizontal="right"/>
    </xf>
    <xf numFmtId="191" fontId="2" fillId="0" borderId="0" xfId="0" applyNumberFormat="1" applyFont="1" applyAlignment="1">
      <alignment horizontal="center" wrapText="1"/>
    </xf>
    <xf numFmtId="191" fontId="0" fillId="0" borderId="0" xfId="0" applyNumberFormat="1"/>
    <xf numFmtId="191" fontId="2" fillId="0" borderId="0" xfId="0" applyNumberFormat="1" applyFont="1" applyAlignment="1">
      <alignment horizontal="right"/>
    </xf>
    <xf numFmtId="191" fontId="2" fillId="0" borderId="0" xfId="0" applyNumberFormat="1" applyFont="1" applyAlignment="1">
      <alignment horizontal="left"/>
    </xf>
    <xf numFmtId="178" fontId="0" fillId="0" borderId="0" xfId="0" applyNumberFormat="1"/>
    <xf numFmtId="189" fontId="0" fillId="0" borderId="0" xfId="0" applyNumberFormat="1"/>
    <xf numFmtId="174" fontId="0" fillId="0" borderId="0" xfId="0" applyNumberFormat="1" applyAlignment="1">
      <alignment horizontal="left"/>
    </xf>
    <xf numFmtId="0" fontId="22" fillId="0" borderId="0" xfId="0" applyFont="1"/>
    <xf numFmtId="166" fontId="0" fillId="0" borderId="0" xfId="5" applyNumberFormat="1" applyFont="1" applyFill="1"/>
    <xf numFmtId="1" fontId="0" fillId="0" borderId="0" xfId="1" applyNumberFormat="1" applyFont="1" applyFill="1"/>
    <xf numFmtId="1" fontId="0" fillId="0" borderId="0" xfId="4" applyNumberFormat="1" applyFont="1" applyFill="1"/>
    <xf numFmtId="0" fontId="0" fillId="0" borderId="0" xfId="0" applyAlignment="1">
      <alignment horizontal="right" wrapText="1"/>
    </xf>
    <xf numFmtId="0" fontId="2" fillId="0" borderId="0" xfId="0" applyFont="1" applyAlignment="1">
      <alignment horizontal="right"/>
    </xf>
    <xf numFmtId="168" fontId="2" fillId="0" borderId="0" xfId="1" applyNumberFormat="1" applyFont="1" applyFill="1"/>
    <xf numFmtId="1" fontId="2" fillId="0" borderId="0" xfId="0" applyNumberFormat="1" applyFont="1"/>
    <xf numFmtId="0" fontId="0" fillId="0" borderId="0" xfId="0" applyAlignment="1">
      <alignment horizontal="left" indent="2"/>
    </xf>
    <xf numFmtId="0" fontId="24" fillId="0" borderId="0" xfId="0" applyFont="1"/>
    <xf numFmtId="2" fontId="2" fillId="0" borderId="0" xfId="0" applyNumberFormat="1" applyFont="1"/>
    <xf numFmtId="6" fontId="25" fillId="0" borderId="0" xfId="0" applyNumberFormat="1" applyFont="1"/>
    <xf numFmtId="0" fontId="19" fillId="6" borderId="1" xfId="0" applyFont="1" applyFill="1" applyBorder="1" applyAlignment="1">
      <alignment horizontal="left" wrapText="1"/>
    </xf>
    <xf numFmtId="0" fontId="0" fillId="6" borderId="0" xfId="0" applyFill="1" applyAlignment="1">
      <alignment horizontal="left"/>
    </xf>
    <xf numFmtId="0" fontId="0" fillId="6" borderId="5" xfId="0" applyFill="1" applyBorder="1" applyAlignment="1">
      <alignment horizontal="left"/>
    </xf>
    <xf numFmtId="0" fontId="19" fillId="6" borderId="6" xfId="0" applyFont="1" applyFill="1" applyBorder="1" applyAlignment="1">
      <alignment horizontal="right" wrapText="1"/>
    </xf>
    <xf numFmtId="0" fontId="0" fillId="6" borderId="7" xfId="0" applyFill="1" applyBorder="1" applyAlignment="1">
      <alignment horizontal="left"/>
    </xf>
    <xf numFmtId="0" fontId="0" fillId="6" borderId="8" xfId="0" applyFill="1" applyBorder="1" applyAlignment="1">
      <alignment horizontal="left"/>
    </xf>
    <xf numFmtId="0" fontId="5" fillId="0" borderId="0" xfId="0" applyFont="1" applyAlignment="1">
      <alignment vertical="top" wrapText="1"/>
    </xf>
    <xf numFmtId="0" fontId="0" fillId="0" borderId="0" xfId="0" applyAlignment="1">
      <alignment vertical="top" wrapText="1"/>
    </xf>
    <xf numFmtId="0" fontId="17" fillId="6" borderId="2" xfId="0" applyFont="1" applyFill="1" applyBorder="1" applyAlignment="1">
      <alignment horizontal="center" wrapText="1"/>
    </xf>
    <xf numFmtId="0" fontId="0" fillId="6" borderId="3" xfId="0" applyFill="1" applyBorder="1" applyAlignment="1">
      <alignment horizontal="left"/>
    </xf>
    <xf numFmtId="0" fontId="0" fillId="6" borderId="4" xfId="0" applyFill="1" applyBorder="1" applyAlignment="1">
      <alignment horizontal="left"/>
    </xf>
    <xf numFmtId="0" fontId="17" fillId="6" borderId="1" xfId="0" applyFont="1" applyFill="1" applyBorder="1" applyAlignment="1">
      <alignment horizontal="center" wrapText="1"/>
    </xf>
    <xf numFmtId="0" fontId="18"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1" xfId="0" applyFont="1" applyFill="1" applyBorder="1" applyAlignment="1">
      <alignment horizontal="center"/>
    </xf>
    <xf numFmtId="0" fontId="18" fillId="7" borderId="12" xfId="0" applyFont="1" applyFill="1" applyBorder="1" applyAlignment="1">
      <alignment horizontal="center"/>
    </xf>
    <xf numFmtId="183" fontId="18" fillId="7" borderId="11" xfId="0" applyNumberFormat="1" applyFont="1" applyFill="1" applyBorder="1" applyAlignment="1">
      <alignment horizontal="center"/>
    </xf>
    <xf numFmtId="0" fontId="18" fillId="7" borderId="11" xfId="0" applyFont="1" applyFill="1" applyBorder="1" applyAlignment="1">
      <alignment horizontal="center" wrapText="1"/>
    </xf>
    <xf numFmtId="0" fontId="18" fillId="7" borderId="10" xfId="0" applyFont="1" applyFill="1" applyBorder="1" applyAlignment="1">
      <alignment horizontal="left" vertical="top" wrapText="1"/>
    </xf>
    <xf numFmtId="0" fontId="18" fillId="7" borderId="10" xfId="0" applyFont="1" applyFill="1" applyBorder="1" applyAlignment="1">
      <alignment horizontal="left" vertical="top"/>
    </xf>
    <xf numFmtId="186" fontId="18" fillId="7" borderId="10" xfId="0" applyNumberFormat="1" applyFont="1" applyFill="1" applyBorder="1" applyAlignment="1">
      <alignment horizontal="left" vertical="top"/>
    </xf>
    <xf numFmtId="0" fontId="2" fillId="0" borderId="0" xfId="0" applyFont="1" applyAlignment="1">
      <alignment horizontal="left" vertical="center" wrapText="1"/>
    </xf>
  </cellXfs>
  <cellStyles count="7">
    <cellStyle name="Comma" xfId="1" builtinId="3"/>
    <cellStyle name="Currency" xfId="4" builtinId="4"/>
    <cellStyle name="Factor" xfId="3" xr:uid="{70969E6C-ACDC-4A9A-A5DD-C81E6403A5F5}"/>
    <cellStyle name="Hyperlink" xfId="2" builtinId="8"/>
    <cellStyle name="Normal" xfId="0" builtinId="0"/>
    <cellStyle name="Normal 2" xfId="6" xr:uid="{732C88EE-8C1E-47E3-A5E8-5145DDCB468E}"/>
    <cellStyle name="Percent" xfId="5" builtinId="5"/>
  </cellStyles>
  <dxfs count="18">
    <dxf>
      <font>
        <b/>
      </font>
      <numFmt numFmtId="2" formatCode="0.00"/>
    </dxf>
    <dxf>
      <numFmt numFmtId="2" formatCode="0.00"/>
    </dxf>
    <dxf>
      <numFmt numFmtId="2" formatCode="0.00"/>
    </dxf>
    <dxf>
      <fill>
        <patternFill patternType="none">
          <fgColor indexed="64"/>
          <bgColor indexed="65"/>
        </patternFill>
      </fill>
      <alignment horizontal="left" vertical="bottom" textRotation="0" wrapText="0" indent="2" justifyLastLine="0" shrinkToFit="0" readingOrder="0"/>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2" defaultTableStyle="TableStyleMedium2" defaultPivotStyle="PivotStyleLight16">
    <tableStyle name="TableStyleMedium2 2" pivot="0" count="7" xr9:uid="{AEBDF176-0957-B649-B4CF-40121F52F635}">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TableStyleMedium2 3" pivot="0" count="7" xr9:uid="{3D801C2B-21A4-B74E-9A6C-53B745233E26}">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Benefits by Source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511326005885715"/>
          <c:y val="0.15274689665137145"/>
          <c:w val="0.61388009272537791"/>
          <c:h val="0.76090743651369241"/>
        </c:manualLayout>
      </c:layout>
      <c:pieChart>
        <c:varyColors val="1"/>
        <c:ser>
          <c:idx val="0"/>
          <c:order val="0"/>
          <c:explosion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D2F-479A-9764-5533E05109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D2F-479A-9764-5533E051094D}"/>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Results!$A$55:$A$56</c:f>
              <c:strCache>
                <c:ptCount val="2"/>
                <c:pt idx="0">
                  <c:v>Avoided Storm Closure</c:v>
                </c:pt>
                <c:pt idx="1">
                  <c:v>Avoided Truck Restriction from Reclassification</c:v>
                </c:pt>
              </c:strCache>
            </c:strRef>
          </c:cat>
          <c:val>
            <c:numRef>
              <c:f>Results!$B$55:$B$56</c:f>
              <c:numCache>
                <c:formatCode>0.0%</c:formatCode>
                <c:ptCount val="2"/>
                <c:pt idx="0">
                  <c:v>0.63216603377689273</c:v>
                </c:pt>
                <c:pt idx="1">
                  <c:v>0.30953357379257679</c:v>
                </c:pt>
              </c:numCache>
            </c:numRef>
          </c:val>
          <c:extLst>
            <c:ext xmlns:c16="http://schemas.microsoft.com/office/drawing/2014/chart" uri="{C3380CC4-5D6E-409C-BE32-E72D297353CC}">
              <c16:uniqueId val="{00000000-9C19-4F1D-858F-845961B4433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Benefits by 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511326005885715"/>
          <c:y val="0.15274689665137145"/>
          <c:w val="0.61388009272537791"/>
          <c:h val="0.76090743651369241"/>
        </c:manualLayout>
      </c:layout>
      <c:pieChart>
        <c:varyColors val="1"/>
        <c:ser>
          <c:idx val="0"/>
          <c:order val="0"/>
          <c:explosion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DE7-4E41-842E-F63F0362D1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DE7-4E41-842E-F63F0362D1E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C32-45D2-8BC3-BD5F5DF4F68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C32-45D2-8BC3-BD5F5DF4F68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Results!$A$59:$A$62</c:f>
              <c:strCache>
                <c:ptCount val="4"/>
                <c:pt idx="0">
                  <c:v>Avoided Repairs</c:v>
                </c:pt>
                <c:pt idx="1">
                  <c:v>Travel Time</c:v>
                </c:pt>
                <c:pt idx="2">
                  <c:v>Vehicle Operating Costs</c:v>
                </c:pt>
                <c:pt idx="3">
                  <c:v>Emissions</c:v>
                </c:pt>
              </c:strCache>
            </c:strRef>
          </c:cat>
          <c:val>
            <c:numRef>
              <c:f>Results!$B$59:$B$62</c:f>
              <c:numCache>
                <c:formatCode>0.0%</c:formatCode>
                <c:ptCount val="4"/>
                <c:pt idx="0">
                  <c:v>0.36020824193602469</c:v>
                </c:pt>
                <c:pt idx="1">
                  <c:v>0.29629278667322684</c:v>
                </c:pt>
                <c:pt idx="2">
                  <c:v>0.27330908964428297</c:v>
                </c:pt>
                <c:pt idx="3">
                  <c:v>7.0189881746465538E-2</c:v>
                </c:pt>
              </c:numCache>
            </c:numRef>
          </c:val>
          <c:extLst>
            <c:ext xmlns:c16="http://schemas.microsoft.com/office/drawing/2014/chart" uri="{C3380CC4-5D6E-409C-BE32-E72D297353CC}">
              <c16:uniqueId val="{00000004-FDE7-4E41-842E-F63F0362D1E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651184</xdr:colOff>
      <xdr:row>53</xdr:row>
      <xdr:rowOff>185854</xdr:rowOff>
    </xdr:from>
    <xdr:to>
      <xdr:col>10</xdr:col>
      <xdr:colOff>580571</xdr:colOff>
      <xdr:row>73</xdr:row>
      <xdr:rowOff>13305</xdr:rowOff>
    </xdr:to>
    <xdr:graphicFrame macro="">
      <xdr:nvGraphicFramePr>
        <xdr:cNvPr id="6" name="Chart 1">
          <a:extLst>
            <a:ext uri="{FF2B5EF4-FFF2-40B4-BE49-F238E27FC236}">
              <a16:creationId xmlns:a16="http://schemas.microsoft.com/office/drawing/2014/main" id="{1C4D3F74-77EF-4F42-9263-E7117AABA4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4536</xdr:colOff>
      <xdr:row>54</xdr:row>
      <xdr:rowOff>303</xdr:rowOff>
    </xdr:from>
    <xdr:to>
      <xdr:col>17</xdr:col>
      <xdr:colOff>573156</xdr:colOff>
      <xdr:row>73</xdr:row>
      <xdr:rowOff>14020</xdr:rowOff>
    </xdr:to>
    <xdr:graphicFrame macro="">
      <xdr:nvGraphicFramePr>
        <xdr:cNvPr id="3" name="Chart 1">
          <a:extLst>
            <a:ext uri="{FF2B5EF4-FFF2-40B4-BE49-F238E27FC236}">
              <a16:creationId xmlns:a16="http://schemas.microsoft.com/office/drawing/2014/main" id="{559CE9FC-19F4-49A8-B66A-08DA2A4EC5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Ira Hirschman" id="{C9F99B30-30A1-4466-86EB-FCB247059943}" userId="adb1586570524b18" providerId="Windows Live"/>
  <person displayName="Ruderman, Tess" id="{21DE123E-B354-0D49-BF03-F01266103FA0}" userId="S::tess.ruderman@ebp-us.com::9dd7b339-95b9-4a01-b588-7275e580667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506B06-E74E-4861-AD55-C8CFFA1BF2AD}" name="Table1" displayName="Table1" ref="A2:D6" totalsRowShown="0">
  <tableColumns count="4">
    <tableColumn id="1" xr3:uid="{B7EEAA3C-FB2F-4A54-A9D3-BFD36CCEBA7D}" name="Pollutant" dataDxfId="3"/>
    <tableColumn id="2" xr3:uid="{3317764F-760C-45D7-B6C3-CC056A3248B2}" name="Structurally Deficient Impact" dataDxfId="2">
      <calculatedColumnFormula>SUM('Structurally Deficient Impact'!B35:U35)</calculatedColumnFormula>
    </tableColumn>
    <tableColumn id="3" xr3:uid="{35A0B44D-DB02-4D70-9791-CC7C695CB5E0}" name="Storm Closure" dataDxfId="1">
      <calculatedColumnFormula>SUM('Emission Benefits - Storm Close'!H7:AA7,'Emission Benefits - Storm Close'!H12:AA12)</calculatedColumnFormula>
    </tableColumn>
    <tableColumn id="4" xr3:uid="{304E6812-DAA1-48A6-889F-75C1F41E55BB}" name="Total" dataDxfId="0">
      <calculatedColumnFormula>SUM(B3:C3)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1-06-29T12:26:56.12" personId="{C9F99B30-30A1-4466-86EB-FCB247059943}" id="{A6BD0F67-7671-40E5-A35A-4A39F80ACAFC}">
    <text>adjust back to vehicle hours, not passenger hours</text>
  </threadedComment>
  <threadedComment ref="A16" dT="2021-05-23T23:12:07.67" personId="{21DE123E-B354-0D49-BF03-F01266103FA0}" id="{5080EA70-A083-1549-9D89-5C2A9D64DBC5}">
    <text>This table pulls from the Look Up tab and employs a linear decrease for emissions post 2025. Several of the pollutants hit 0 using this formula in the 2030s or 2040s</text>
  </threadedComment>
  <threadedComment ref="G16" dT="2021-05-23T23:35:53.86" personId="{21DE123E-B354-0D49-BF03-F01266103FA0}" id="{64EE20D0-1213-D042-8BF3-FA4893D43D8D}">
    <text>Starts emissions decrease formula</text>
  </threadedComment>
  <threadedComment ref="G16" dT="2021-05-26T17:15:04.27" personId="{21DE123E-B354-0D49-BF03-F01266103FA0}" id="{167FA52E-694D-674A-A88A-4D5BFFC4D24F}" parentId="{64EE20D0-1213-D042-8BF3-FA4893D43D8D}">
    <text>Updated to % decrease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epa.gov/moves/latest-version-motor-vehicle-emission-simulator-moves" TargetMode="External"/><Relationship Id="rId1" Type="http://schemas.openxmlformats.org/officeDocument/2006/relationships/hyperlink" Target="https://www.epa.gov/energy/greenhouse-gases-equivalencies-calculator-calculations-and-reference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E7A9-E505-4EE1-AADD-4B68BF081C89}">
  <sheetPr>
    <tabColor rgb="FF0070C0"/>
  </sheetPr>
  <dimension ref="A1:AC70"/>
  <sheetViews>
    <sheetView topLeftCell="A50" zoomScale="75" zoomScaleNormal="75" workbookViewId="0">
      <selection activeCell="M50" sqref="M50"/>
    </sheetView>
  </sheetViews>
  <sheetFormatPr defaultColWidth="8.81640625" defaultRowHeight="14.5"/>
  <cols>
    <col min="1" max="1" width="42.26953125" customWidth="1"/>
    <col min="2" max="2" width="15.81640625" customWidth="1"/>
    <col min="3" max="7" width="9.36328125" customWidth="1"/>
    <col min="8" max="8" width="10.7265625" bestFit="1" customWidth="1"/>
    <col min="9" max="28" width="9.36328125" customWidth="1"/>
  </cols>
  <sheetData>
    <row r="1" spans="1:28" ht="18.5">
      <c r="A1" s="226" t="s">
        <v>0</v>
      </c>
      <c r="B1" s="226"/>
    </row>
    <row r="2" spans="1:28" ht="18.5">
      <c r="A2" s="226"/>
      <c r="B2" s="226"/>
    </row>
    <row r="3" spans="1:28">
      <c r="A3" s="17" t="s">
        <v>1</v>
      </c>
      <c r="B3" s="17"/>
      <c r="C3">
        <v>2020</v>
      </c>
      <c r="D3">
        <f>C3+1</f>
        <v>2021</v>
      </c>
      <c r="E3">
        <f t="shared" ref="E3:Z5" si="0">D3+1</f>
        <v>2022</v>
      </c>
      <c r="F3">
        <f t="shared" si="0"/>
        <v>2023</v>
      </c>
      <c r="G3">
        <f t="shared" si="0"/>
        <v>2024</v>
      </c>
      <c r="H3">
        <f t="shared" si="0"/>
        <v>2025</v>
      </c>
      <c r="I3">
        <f t="shared" si="0"/>
        <v>2026</v>
      </c>
      <c r="J3">
        <f t="shared" si="0"/>
        <v>2027</v>
      </c>
      <c r="K3">
        <f t="shared" si="0"/>
        <v>2028</v>
      </c>
      <c r="L3">
        <f t="shared" si="0"/>
        <v>2029</v>
      </c>
      <c r="M3">
        <f t="shared" si="0"/>
        <v>2030</v>
      </c>
      <c r="N3">
        <f t="shared" si="0"/>
        <v>2031</v>
      </c>
      <c r="O3">
        <f t="shared" si="0"/>
        <v>2032</v>
      </c>
      <c r="P3">
        <f t="shared" si="0"/>
        <v>2033</v>
      </c>
      <c r="Q3">
        <f t="shared" si="0"/>
        <v>2034</v>
      </c>
      <c r="R3">
        <f t="shared" si="0"/>
        <v>2035</v>
      </c>
      <c r="S3">
        <f t="shared" si="0"/>
        <v>2036</v>
      </c>
      <c r="T3">
        <f t="shared" si="0"/>
        <v>2037</v>
      </c>
      <c r="U3">
        <f t="shared" si="0"/>
        <v>2038</v>
      </c>
      <c r="V3">
        <f t="shared" si="0"/>
        <v>2039</v>
      </c>
      <c r="W3">
        <f t="shared" si="0"/>
        <v>2040</v>
      </c>
      <c r="X3">
        <f t="shared" si="0"/>
        <v>2041</v>
      </c>
      <c r="Y3">
        <f t="shared" si="0"/>
        <v>2042</v>
      </c>
      <c r="Z3">
        <f t="shared" si="0"/>
        <v>2043</v>
      </c>
      <c r="AA3">
        <f t="shared" ref="AA3:AA6" si="1">Z3+1</f>
        <v>2044</v>
      </c>
      <c r="AB3">
        <f t="shared" ref="AB3:AB6" si="2">AA3+1</f>
        <v>2045</v>
      </c>
    </row>
    <row r="4" spans="1:28">
      <c r="A4" t="s">
        <v>2</v>
      </c>
      <c r="B4" s="17"/>
      <c r="H4">
        <v>1</v>
      </c>
    </row>
    <row r="5" spans="1:28">
      <c r="A5" s="34" t="s">
        <v>3</v>
      </c>
      <c r="B5" s="34"/>
      <c r="C5" t="s">
        <v>4</v>
      </c>
      <c r="D5" t="s">
        <v>4</v>
      </c>
      <c r="E5" t="s">
        <v>4</v>
      </c>
      <c r="F5" t="s">
        <v>4</v>
      </c>
      <c r="I5">
        <v>1</v>
      </c>
      <c r="J5">
        <f t="shared" si="0"/>
        <v>2</v>
      </c>
      <c r="K5">
        <f t="shared" ref="K5" si="3">J5+1</f>
        <v>3</v>
      </c>
      <c r="L5">
        <f t="shared" ref="L5" si="4">K5+1</f>
        <v>4</v>
      </c>
      <c r="M5">
        <f t="shared" ref="M5" si="5">L5+1</f>
        <v>5</v>
      </c>
      <c r="N5">
        <f t="shared" ref="N5" si="6">M5+1</f>
        <v>6</v>
      </c>
      <c r="O5">
        <f t="shared" ref="O5" si="7">N5+1</f>
        <v>7</v>
      </c>
      <c r="P5">
        <f t="shared" ref="P5" si="8">O5+1</f>
        <v>8</v>
      </c>
      <c r="Q5">
        <f t="shared" ref="Q5" si="9">P5+1</f>
        <v>9</v>
      </c>
      <c r="R5">
        <f t="shared" ref="R5" si="10">Q5+1</f>
        <v>10</v>
      </c>
      <c r="S5">
        <f t="shared" ref="S5" si="11">R5+1</f>
        <v>11</v>
      </c>
      <c r="T5">
        <f t="shared" ref="T5" si="12">S5+1</f>
        <v>12</v>
      </c>
      <c r="U5">
        <f t="shared" ref="U5" si="13">T5+1</f>
        <v>13</v>
      </c>
      <c r="V5">
        <f t="shared" ref="V5" si="14">U5+1</f>
        <v>14</v>
      </c>
      <c r="W5">
        <f t="shared" ref="W5" si="15">V5+1</f>
        <v>15</v>
      </c>
      <c r="X5">
        <f t="shared" ref="X5" si="16">W5+1</f>
        <v>16</v>
      </c>
      <c r="Y5">
        <f t="shared" ref="Y5" si="17">X5+1</f>
        <v>17</v>
      </c>
      <c r="Z5">
        <f t="shared" ref="Z5" si="18">Y5+1</f>
        <v>18</v>
      </c>
      <c r="AA5">
        <f t="shared" ref="AA5" si="19">Z5+1</f>
        <v>19</v>
      </c>
      <c r="AB5">
        <f t="shared" ref="AB5" si="20">AA5+1</f>
        <v>20</v>
      </c>
    </row>
    <row r="6" spans="1:28">
      <c r="A6" s="34" t="s">
        <v>5</v>
      </c>
      <c r="B6" s="34"/>
      <c r="C6">
        <v>0</v>
      </c>
      <c r="D6">
        <f>C6+1</f>
        <v>1</v>
      </c>
      <c r="E6">
        <f t="shared" ref="E6:Z6" si="21">D6+1</f>
        <v>2</v>
      </c>
      <c r="F6">
        <f t="shared" si="21"/>
        <v>3</v>
      </c>
      <c r="G6">
        <f t="shared" si="21"/>
        <v>4</v>
      </c>
      <c r="H6">
        <f t="shared" si="21"/>
        <v>5</v>
      </c>
      <c r="I6">
        <f t="shared" si="21"/>
        <v>6</v>
      </c>
      <c r="J6">
        <f t="shared" si="21"/>
        <v>7</v>
      </c>
      <c r="K6">
        <f t="shared" si="21"/>
        <v>8</v>
      </c>
      <c r="L6">
        <f t="shared" si="21"/>
        <v>9</v>
      </c>
      <c r="M6">
        <f t="shared" si="21"/>
        <v>10</v>
      </c>
      <c r="N6">
        <f t="shared" si="21"/>
        <v>11</v>
      </c>
      <c r="O6">
        <f t="shared" si="21"/>
        <v>12</v>
      </c>
      <c r="P6">
        <f t="shared" si="21"/>
        <v>13</v>
      </c>
      <c r="Q6">
        <f t="shared" si="21"/>
        <v>14</v>
      </c>
      <c r="R6">
        <f t="shared" si="21"/>
        <v>15</v>
      </c>
      <c r="S6">
        <f t="shared" si="21"/>
        <v>16</v>
      </c>
      <c r="T6">
        <f t="shared" si="21"/>
        <v>17</v>
      </c>
      <c r="U6">
        <f t="shared" si="21"/>
        <v>18</v>
      </c>
      <c r="V6">
        <f t="shared" si="21"/>
        <v>19</v>
      </c>
      <c r="W6">
        <f t="shared" si="21"/>
        <v>20</v>
      </c>
      <c r="X6">
        <f t="shared" si="21"/>
        <v>21</v>
      </c>
      <c r="Y6">
        <f t="shared" si="21"/>
        <v>22</v>
      </c>
      <c r="Z6">
        <f t="shared" si="21"/>
        <v>23</v>
      </c>
      <c r="AA6">
        <f t="shared" si="1"/>
        <v>24</v>
      </c>
      <c r="AB6">
        <f t="shared" si="2"/>
        <v>25</v>
      </c>
    </row>
    <row r="7" spans="1:28">
      <c r="A7" s="34" t="s">
        <v>6</v>
      </c>
      <c r="B7" s="34"/>
      <c r="C7" s="3">
        <f>(1+'Look Up Data'!$B$2)^C6</f>
        <v>1</v>
      </c>
      <c r="D7" s="3">
        <f>(1+'Look Up Data'!$B$2)^D6</f>
        <v>1.07</v>
      </c>
      <c r="E7" s="3">
        <f>(1+'Look Up Data'!$B$2)^E6</f>
        <v>1.1449</v>
      </c>
      <c r="F7" s="3">
        <f>(1+'Look Up Data'!$B$2)^F6</f>
        <v>1.2250430000000001</v>
      </c>
      <c r="G7" s="3">
        <f>(1+'Look Up Data'!$B$2)^G6</f>
        <v>1.31079601</v>
      </c>
      <c r="H7" s="3">
        <f>(1+'Look Up Data'!$B$2)^H6</f>
        <v>1.4025517307000002</v>
      </c>
      <c r="I7" s="3">
        <f>(1+'Look Up Data'!$B$2)^I6</f>
        <v>1.5007303518490001</v>
      </c>
      <c r="J7" s="3">
        <f>(1+'Look Up Data'!$B$2)^J6</f>
        <v>1.6057814764784302</v>
      </c>
      <c r="K7" s="3">
        <f>(1+'Look Up Data'!$B$2)^K6</f>
        <v>1.7181861798319202</v>
      </c>
      <c r="L7" s="3">
        <f>(1+'Look Up Data'!$B$2)^L6</f>
        <v>1.8384592124201549</v>
      </c>
      <c r="M7" s="3">
        <f>(1+'Look Up Data'!$B$2)^M6</f>
        <v>1.9671513572895656</v>
      </c>
      <c r="N7" s="3">
        <f>(1+'Look Up Data'!$B$2)^N6</f>
        <v>2.1048519522998355</v>
      </c>
      <c r="O7" s="3">
        <f>(1+'Look Up Data'!$B$2)^O6</f>
        <v>2.2521915889608235</v>
      </c>
      <c r="P7" s="3">
        <f>(1+'Look Up Data'!$B$2)^P6</f>
        <v>2.4098450001880813</v>
      </c>
      <c r="Q7" s="3">
        <f>(1+'Look Up Data'!$B$2)^Q6</f>
        <v>2.5785341502012469</v>
      </c>
      <c r="R7" s="3">
        <f>(1+'Look Up Data'!$B$2)^R6</f>
        <v>2.7590315407153345</v>
      </c>
      <c r="S7" s="3">
        <f>(1+'Look Up Data'!$B$2)^S6</f>
        <v>2.9521637485654075</v>
      </c>
      <c r="T7" s="3">
        <f>(1+'Look Up Data'!$B$2)^T6</f>
        <v>3.1588152109649861</v>
      </c>
      <c r="U7" s="3">
        <f>(1+'Look Up Data'!$B$2)^U6</f>
        <v>3.3799322757325352</v>
      </c>
      <c r="V7" s="3">
        <f>(1+'Look Up Data'!$B$2)^V6</f>
        <v>3.6165275350338129</v>
      </c>
      <c r="W7" s="3">
        <f>(1+'Look Up Data'!$B$2)^W6</f>
        <v>3.8696844624861795</v>
      </c>
      <c r="X7" s="3">
        <f>(1+'Look Up Data'!$B$2)^X6</f>
        <v>4.1405623748602123</v>
      </c>
      <c r="Y7" s="3">
        <f>(1+'Look Up Data'!$B$2)^Y6</f>
        <v>4.4304017411004271</v>
      </c>
      <c r="Z7" s="3">
        <f>(1+'Look Up Data'!$B$2)^Z6</f>
        <v>4.740529862977457</v>
      </c>
      <c r="AA7" s="3">
        <f>(1+'Look Up Data'!$B$2)^AA6</f>
        <v>5.0723669533858793</v>
      </c>
      <c r="AB7" s="3">
        <f>(1+'Look Up Data'!$B$2)^AB6</f>
        <v>5.4274326401228912</v>
      </c>
    </row>
    <row r="8" spans="1:28">
      <c r="A8" s="34" t="s">
        <v>7</v>
      </c>
      <c r="B8" s="34"/>
      <c r="C8" s="3">
        <f>(1+'Look Up Data'!$B$3)^C6</f>
        <v>1</v>
      </c>
      <c r="D8" s="3">
        <f>(1+'Look Up Data'!$B$3)^D6</f>
        <v>1.03</v>
      </c>
      <c r="E8" s="3">
        <f>(1+'Look Up Data'!$B$3)^E6</f>
        <v>1.0609</v>
      </c>
      <c r="F8" s="3">
        <f>(1+'Look Up Data'!$B$3)^F6</f>
        <v>1.092727</v>
      </c>
      <c r="G8" s="3">
        <f>(1+'Look Up Data'!$B$3)^G6</f>
        <v>1.1255088099999999</v>
      </c>
      <c r="H8" s="3">
        <f>(1+'Look Up Data'!$B$3)^H6</f>
        <v>1.1592740742999998</v>
      </c>
      <c r="I8" s="3">
        <f>(1+'Look Up Data'!$B$3)^I6</f>
        <v>1.1940522965289999</v>
      </c>
      <c r="J8" s="3">
        <f>(1+'Look Up Data'!$B$3)^J6</f>
        <v>1.22987386542487</v>
      </c>
      <c r="K8" s="3">
        <f>(1+'Look Up Data'!$B$3)^K6</f>
        <v>1.2667700813876159</v>
      </c>
      <c r="L8" s="3">
        <f>(1+'Look Up Data'!$B$3)^L6</f>
        <v>1.3047731838292445</v>
      </c>
      <c r="M8" s="3">
        <f>(1+'Look Up Data'!$B$3)^M6</f>
        <v>1.3439163793441218</v>
      </c>
      <c r="N8" s="3">
        <f>(1+'Look Up Data'!$B$3)^N6</f>
        <v>1.3842338707244455</v>
      </c>
      <c r="O8" s="3">
        <f>(1+'Look Up Data'!$B$3)^O6</f>
        <v>1.4257608868461786</v>
      </c>
      <c r="P8" s="3">
        <f>(1+'Look Up Data'!$B$3)^P6</f>
        <v>1.4685337134515639</v>
      </c>
      <c r="Q8" s="3">
        <f>(1+'Look Up Data'!$B$3)^Q6</f>
        <v>1.512589724855111</v>
      </c>
      <c r="R8" s="3">
        <f>(1+'Look Up Data'!$B$3)^R6</f>
        <v>1.5579674166007644</v>
      </c>
      <c r="S8" s="3">
        <f>(1+'Look Up Data'!$B$3)^S6</f>
        <v>1.6047064390987871</v>
      </c>
      <c r="T8" s="3">
        <f>(1+'Look Up Data'!$B$3)^T6</f>
        <v>1.6528476322717507</v>
      </c>
      <c r="U8" s="3">
        <f>(1+'Look Up Data'!$B$3)^U6</f>
        <v>1.7024330612399032</v>
      </c>
      <c r="V8" s="3">
        <f>(1+'Look Up Data'!$B$3)^V6</f>
        <v>1.7535060530771003</v>
      </c>
      <c r="W8" s="3">
        <f>(1+'Look Up Data'!$B$3)^W6</f>
        <v>1.8061112346694133</v>
      </c>
      <c r="X8" s="3">
        <f>(1+'Look Up Data'!$B$3)^X6</f>
        <v>1.8602945717094954</v>
      </c>
      <c r="Y8" s="3">
        <f>(1+'Look Up Data'!$B$3)^Y6</f>
        <v>1.9161034088607805</v>
      </c>
      <c r="Z8" s="3">
        <f>(1+'Look Up Data'!$B$3)^Z6</f>
        <v>1.973586511126604</v>
      </c>
      <c r="AA8" s="3">
        <f>(1+'Look Up Data'!$B$3)^AA6</f>
        <v>2.0327941064604018</v>
      </c>
      <c r="AB8" s="3">
        <f>(1+'Look Up Data'!$B$3)^AB6</f>
        <v>2.0937779296542138</v>
      </c>
    </row>
    <row r="9" spans="1:28">
      <c r="C9" s="3"/>
      <c r="D9" s="3"/>
      <c r="E9" s="3"/>
      <c r="F9" s="3"/>
      <c r="G9" s="3"/>
      <c r="H9" s="3"/>
      <c r="I9" s="3"/>
      <c r="J9" s="3"/>
      <c r="K9" s="3"/>
      <c r="L9" s="3" t="s">
        <v>8</v>
      </c>
      <c r="M9" s="3"/>
      <c r="N9" s="3"/>
      <c r="O9" s="3"/>
      <c r="P9" s="3"/>
      <c r="Q9" s="3"/>
      <c r="R9" s="3"/>
      <c r="S9" s="3"/>
      <c r="T9" s="3"/>
      <c r="U9" s="3"/>
      <c r="V9" s="3"/>
      <c r="W9" s="3"/>
      <c r="X9" s="3"/>
      <c r="Y9" s="3"/>
      <c r="Z9" s="3"/>
    </row>
    <row r="10" spans="1:28">
      <c r="A10" s="17" t="s">
        <v>9</v>
      </c>
      <c r="B10" s="77" t="s">
        <v>10</v>
      </c>
    </row>
    <row r="11" spans="1:28">
      <c r="A11" t="s">
        <v>11</v>
      </c>
      <c r="B11" s="70">
        <f>SUM(C11:AB11)</f>
        <v>3904707.1060918667</v>
      </c>
      <c r="C11" s="66"/>
      <c r="D11" s="66"/>
      <c r="E11" s="66"/>
      <c r="F11" s="66">
        <f>Costs!G9/F7</f>
        <v>620165.57533549052</v>
      </c>
      <c r="G11" s="66"/>
      <c r="H11" s="66">
        <f>Costs!I9/H7</f>
        <v>3284541.5307563762</v>
      </c>
      <c r="I11" s="66"/>
      <c r="J11" s="66"/>
      <c r="K11" s="66"/>
      <c r="L11" s="66"/>
      <c r="M11" s="66"/>
      <c r="N11" s="66"/>
      <c r="O11" s="66"/>
      <c r="P11" s="66"/>
      <c r="Q11" s="66"/>
      <c r="R11" s="66"/>
      <c r="S11" s="66"/>
      <c r="T11" s="66"/>
      <c r="U11" s="66"/>
      <c r="V11" s="66"/>
      <c r="W11" s="66"/>
      <c r="X11" s="66"/>
      <c r="Y11" s="66"/>
      <c r="Z11" s="66"/>
      <c r="AA11" s="66"/>
      <c r="AB11" s="66"/>
    </row>
    <row r="12" spans="1:28">
      <c r="A12" t="s">
        <v>12</v>
      </c>
      <c r="B12" s="70">
        <f>-SUM(C12:AB12)</f>
        <v>-593260.48921383801</v>
      </c>
      <c r="C12" s="66"/>
      <c r="D12" s="66"/>
      <c r="E12" s="66"/>
      <c r="F12" s="66"/>
      <c r="G12" s="66"/>
      <c r="H12" s="66"/>
      <c r="I12" s="66"/>
      <c r="J12" s="66"/>
      <c r="K12" s="66"/>
      <c r="L12" s="66"/>
      <c r="M12" s="66"/>
      <c r="N12" s="66"/>
      <c r="O12" s="66"/>
      <c r="P12" s="66"/>
      <c r="Q12" s="66"/>
      <c r="R12" s="66"/>
      <c r="S12" s="66"/>
      <c r="T12" s="66"/>
      <c r="U12" s="66"/>
      <c r="V12" s="66"/>
      <c r="W12" s="66"/>
      <c r="X12" s="66"/>
      <c r="Y12" s="66"/>
      <c r="Z12" s="66"/>
      <c r="AA12" s="23"/>
      <c r="AB12" s="227">
        <f>Costs!AC13/AB7</f>
        <v>593260.48921383801</v>
      </c>
    </row>
    <row r="13" spans="1:28" ht="15" thickBot="1">
      <c r="B13" s="70"/>
      <c r="C13" s="66"/>
      <c r="D13" s="66"/>
      <c r="E13" s="66"/>
      <c r="F13" s="66"/>
      <c r="G13" s="66"/>
      <c r="H13" s="66"/>
      <c r="I13" s="66"/>
      <c r="J13" s="66"/>
      <c r="K13" s="66"/>
      <c r="L13" s="66"/>
      <c r="M13" s="66"/>
      <c r="N13" s="66"/>
      <c r="O13" s="66"/>
      <c r="P13" s="66"/>
      <c r="Q13" s="66"/>
      <c r="R13" s="66"/>
      <c r="S13" s="66"/>
      <c r="T13" s="66"/>
      <c r="U13" s="66"/>
      <c r="V13" s="66"/>
      <c r="W13" s="66"/>
      <c r="X13" s="66"/>
      <c r="Y13" s="66"/>
      <c r="Z13" s="66"/>
      <c r="AA13" s="23"/>
    </row>
    <row r="14" spans="1:28" ht="15" thickBot="1">
      <c r="A14" s="16" t="s">
        <v>13</v>
      </c>
      <c r="B14" s="228">
        <f>B11+B12</f>
        <v>3311446.616878029</v>
      </c>
      <c r="C14" s="23"/>
      <c r="D14" s="23"/>
      <c r="E14" s="23"/>
      <c r="F14" s="23"/>
      <c r="G14" s="23"/>
      <c r="H14" s="23"/>
      <c r="I14" s="23"/>
      <c r="J14" s="23"/>
      <c r="K14" s="23"/>
      <c r="L14" s="23"/>
      <c r="M14" s="23"/>
      <c r="N14" s="23"/>
      <c r="O14" s="23"/>
      <c r="P14" s="23"/>
      <c r="Q14" s="23"/>
      <c r="R14" s="23"/>
      <c r="S14" s="23"/>
      <c r="T14" s="23"/>
      <c r="U14" s="23"/>
      <c r="V14" s="23"/>
      <c r="W14" s="23"/>
      <c r="X14" s="23"/>
      <c r="Y14" s="23"/>
      <c r="Z14" s="23"/>
      <c r="AA14" s="11"/>
    </row>
    <row r="15" spans="1:28">
      <c r="B15" s="71"/>
      <c r="C15" s="23"/>
      <c r="D15" s="23"/>
      <c r="E15" s="23"/>
      <c r="F15" s="23"/>
      <c r="G15" s="23"/>
      <c r="H15" s="23"/>
      <c r="I15" s="23"/>
      <c r="J15" s="23"/>
      <c r="K15" s="23"/>
      <c r="L15" s="23"/>
      <c r="M15" s="23"/>
      <c r="N15" s="23"/>
      <c r="O15" s="23"/>
      <c r="P15" s="23"/>
      <c r="Q15" s="23"/>
      <c r="R15" s="23"/>
      <c r="S15" s="23"/>
      <c r="T15" s="23"/>
      <c r="U15" s="23"/>
      <c r="V15" s="23"/>
      <c r="W15" s="23"/>
      <c r="X15" s="23"/>
      <c r="Y15" s="23"/>
      <c r="Z15" s="23"/>
      <c r="AA15" s="11"/>
    </row>
    <row r="16" spans="1:28">
      <c r="A16" s="17" t="s">
        <v>14</v>
      </c>
      <c r="B16" s="72"/>
    </row>
    <row r="17" spans="1:28">
      <c r="A17" t="s">
        <v>15</v>
      </c>
      <c r="B17" s="70">
        <f>SUM(C17:AB17)</f>
        <v>0</v>
      </c>
      <c r="H17" s="143"/>
      <c r="I17" s="151">
        <f>'Maintenance Cost Savings'!H12/I7</f>
        <v>0</v>
      </c>
      <c r="J17" s="151">
        <f>'Maintenance Cost Savings'!I12/J7</f>
        <v>0</v>
      </c>
      <c r="K17" s="151">
        <f>'Maintenance Cost Savings'!J12/K7</f>
        <v>0</v>
      </c>
      <c r="L17" s="151">
        <f>'Maintenance Cost Savings'!K12/L7</f>
        <v>0</v>
      </c>
      <c r="M17" s="151">
        <f>'Maintenance Cost Savings'!L12/M7</f>
        <v>0</v>
      </c>
      <c r="N17" s="151">
        <f>'Maintenance Cost Savings'!M12/N7</f>
        <v>0</v>
      </c>
      <c r="O17" s="151">
        <f>'Maintenance Cost Savings'!N12/O7</f>
        <v>0</v>
      </c>
      <c r="P17" s="151">
        <f>'Maintenance Cost Savings'!O12/P7</f>
        <v>0</v>
      </c>
      <c r="Q17" s="151">
        <f>'Maintenance Cost Savings'!P12/Q7</f>
        <v>0</v>
      </c>
      <c r="R17" s="151">
        <f>'Maintenance Cost Savings'!Q12/R7</f>
        <v>0</v>
      </c>
      <c r="S17" s="151">
        <f>'Maintenance Cost Savings'!R12/S7</f>
        <v>0</v>
      </c>
      <c r="T17" s="151">
        <f>'Maintenance Cost Savings'!S12/T7</f>
        <v>0</v>
      </c>
      <c r="U17" s="151">
        <f>'Maintenance Cost Savings'!T12/U7</f>
        <v>0</v>
      </c>
      <c r="V17" s="151">
        <f>'Maintenance Cost Savings'!U12/V7</f>
        <v>0</v>
      </c>
      <c r="W17" s="151">
        <f>'Maintenance Cost Savings'!V12/W7</f>
        <v>0</v>
      </c>
      <c r="X17" s="151">
        <f>'Maintenance Cost Savings'!W12/X7</f>
        <v>0</v>
      </c>
      <c r="Y17" s="151">
        <f>'Maintenance Cost Savings'!X12/Y7</f>
        <v>0</v>
      </c>
      <c r="Z17" s="151">
        <f>'Maintenance Cost Savings'!Y12/Z7</f>
        <v>0</v>
      </c>
      <c r="AA17" s="151">
        <f>'Maintenance Cost Savings'!Z12/AA7</f>
        <v>0</v>
      </c>
      <c r="AB17" s="151">
        <f>'Maintenance Cost Savings'!AA12/AB7</f>
        <v>0</v>
      </c>
    </row>
    <row r="18" spans="1:28">
      <c r="A18" s="16"/>
      <c r="B18" s="70"/>
      <c r="H18" s="143"/>
      <c r="I18" s="151"/>
      <c r="J18" s="151"/>
      <c r="K18" s="151"/>
      <c r="L18" s="151"/>
      <c r="M18" s="151"/>
      <c r="N18" s="151"/>
      <c r="O18" s="151"/>
      <c r="P18" s="151"/>
      <c r="Q18" s="151"/>
      <c r="R18" s="151"/>
      <c r="S18" s="151"/>
      <c r="T18" s="151"/>
      <c r="U18" s="151"/>
      <c r="V18" s="151"/>
      <c r="W18" s="151"/>
      <c r="X18" s="151"/>
      <c r="Y18" s="151"/>
      <c r="Z18" s="151"/>
      <c r="AA18" s="151"/>
      <c r="AB18" s="151"/>
    </row>
    <row r="19" spans="1:28" ht="29">
      <c r="A19" s="35" t="s">
        <v>16</v>
      </c>
      <c r="B19" s="70"/>
      <c r="H19" s="143"/>
      <c r="I19" s="143"/>
      <c r="J19" s="143"/>
      <c r="K19" s="143"/>
      <c r="L19" s="143"/>
      <c r="M19" s="143"/>
      <c r="N19" s="143"/>
      <c r="O19" s="143"/>
      <c r="P19" s="143"/>
      <c r="Q19" s="143"/>
      <c r="R19" s="143"/>
      <c r="S19" s="143"/>
      <c r="T19" s="143"/>
      <c r="U19" s="143"/>
      <c r="V19" s="143"/>
      <c r="W19" s="143"/>
      <c r="X19" s="143"/>
      <c r="Y19" s="143"/>
      <c r="Z19" s="143"/>
      <c r="AA19" s="143"/>
      <c r="AB19" s="143"/>
    </row>
    <row r="20" spans="1:28">
      <c r="A20" t="s">
        <v>17</v>
      </c>
      <c r="B20" s="70">
        <f>SUM(C20:AB20)</f>
        <v>2432100.5830055727</v>
      </c>
      <c r="H20" s="143"/>
      <c r="I20" s="151">
        <f>'Repair Cost - Storm Close'!C8/I7</f>
        <v>214554.28946894759</v>
      </c>
      <c r="J20" s="151">
        <f>'Repair Cost - Storm Close'!D8/J7</f>
        <v>200518.02754107249</v>
      </c>
      <c r="K20" s="151">
        <f>'Repair Cost - Storm Close'!E8/K7</f>
        <v>187400.02573932009</v>
      </c>
      <c r="L20" s="151">
        <f>'Repair Cost - Storm Close'!F8/L7</f>
        <v>175140.21097132718</v>
      </c>
      <c r="M20" s="151">
        <f>'Repair Cost - Storm Close'!G8/M7</f>
        <v>163682.44016011886</v>
      </c>
      <c r="N20" s="151">
        <f>'Repair Cost - Storm Close'!H8/N7</f>
        <v>152974.24314029797</v>
      </c>
      <c r="O20" s="151">
        <f>'Repair Cost - Storm Close'!I8/O7</f>
        <v>142966.58237411029</v>
      </c>
      <c r="P20" s="151">
        <f>'Repair Cost - Storm Close'!J8/P7</f>
        <v>133613.62838701895</v>
      </c>
      <c r="Q20" s="151">
        <f>'Repair Cost - Storm Close'!K8/Q7</f>
        <v>124872.54989441024</v>
      </c>
      <c r="R20" s="151">
        <f>'Repair Cost - Storm Close'!L8/R7</f>
        <v>116703.31765832732</v>
      </c>
      <c r="S20" s="151">
        <f>'Repair Cost - Storm Close'!M8/S7</f>
        <v>109068.52117600685</v>
      </c>
      <c r="T20" s="151">
        <f>'Repair Cost - Storm Close'!N8/T7</f>
        <v>101933.19736075407</v>
      </c>
      <c r="U20" s="151">
        <f>'Repair Cost - Storm Close'!O8/U7</f>
        <v>95264.670430611281</v>
      </c>
      <c r="V20" s="151">
        <f>'Repair Cost - Storm Close'!P8/V7</f>
        <v>89032.40227159932</v>
      </c>
      <c r="W20" s="151">
        <f>'Repair Cost - Storm Close'!Q8/W7</f>
        <v>83207.852590279741</v>
      </c>
      <c r="X20" s="151">
        <f>'Repair Cost - Storm Close'!R8/X7</f>
        <v>77764.348215214704</v>
      </c>
      <c r="Y20" s="151">
        <f>'Repair Cost - Storm Close'!S8/Y7</f>
        <v>72676.960948798791</v>
      </c>
      <c r="Z20" s="151">
        <f>'Repair Cost - Storm Close'!T8/Z7</f>
        <v>67922.393410092336</v>
      </c>
      <c r="AA20" s="151">
        <f>'Repair Cost - Storm Close'!U8/AA7</f>
        <v>63478.872345880678</v>
      </c>
      <c r="AB20" s="151">
        <f>'Repair Cost - Storm Close'!V8/AB7</f>
        <v>59326.048921383808</v>
      </c>
    </row>
    <row r="21" spans="1:28">
      <c r="A21" s="83" t="s">
        <v>18</v>
      </c>
      <c r="B21" s="70"/>
      <c r="H21" s="143"/>
      <c r="I21" s="143"/>
      <c r="J21" s="143"/>
      <c r="K21" s="143"/>
      <c r="L21" s="143"/>
      <c r="M21" s="143"/>
      <c r="N21" s="143"/>
      <c r="O21" s="143"/>
      <c r="P21" s="143"/>
      <c r="Q21" s="143"/>
      <c r="R21" s="143"/>
      <c r="S21" s="143"/>
      <c r="T21" s="143"/>
      <c r="U21" s="143"/>
      <c r="V21" s="143"/>
      <c r="W21" s="143"/>
      <c r="X21" s="143"/>
      <c r="Y21" s="143"/>
      <c r="Z21" s="143"/>
      <c r="AA21" s="143"/>
      <c r="AB21" s="143"/>
    </row>
    <row r="22" spans="1:28">
      <c r="A22" s="1" t="s">
        <v>19</v>
      </c>
      <c r="B22" s="70">
        <f>SUM(C22:AB22)</f>
        <v>977894.06841545552</v>
      </c>
      <c r="H22" s="143"/>
      <c r="I22" s="151">
        <f>'TT Benefits - Storm Close'!C6/I7</f>
        <v>0</v>
      </c>
      <c r="J22" s="151">
        <f>'TT Benefits - Storm Close'!D6/J7</f>
        <v>88424.485348649687</v>
      </c>
      <c r="K22" s="151">
        <f>'TT Benefits - Storm Close'!E6/K7</f>
        <v>82639.705933317469</v>
      </c>
      <c r="L22" s="151">
        <f>'TT Benefits - Storm Close'!F6/L7</f>
        <v>77233.370031137805</v>
      </c>
      <c r="M22" s="151">
        <f>'TT Benefits - Storm Close'!G6/M7</f>
        <v>72180.719655268986</v>
      </c>
      <c r="N22" s="151">
        <f>'TT Benefits - Storm Close'!H6/N7</f>
        <v>67458.616500251374</v>
      </c>
      <c r="O22" s="151">
        <f>'TT Benefits - Storm Close'!I6/O7</f>
        <v>63045.435981543356</v>
      </c>
      <c r="P22" s="151">
        <f>'TT Benefits - Storm Close'!J6/P7</f>
        <v>58920.96820704986</v>
      </c>
      <c r="Q22" s="151">
        <f>'TT Benefits - Storm Close'!K6/Q7</f>
        <v>55066.325427149408</v>
      </c>
      <c r="R22" s="151">
        <f>'TT Benefits - Storm Close'!L6/R7</f>
        <v>51463.85553939196</v>
      </c>
      <c r="S22" s="151">
        <f>'TT Benefits - Storm Close'!M6/S7</f>
        <v>48097.061251768195</v>
      </c>
      <c r="T22" s="151">
        <f>'TT Benefits - Storm Close'!N6/T7</f>
        <v>44950.524534362798</v>
      </c>
      <c r="U22" s="151">
        <f>'TT Benefits - Storm Close'!O6/U7</f>
        <v>42009.836013423177</v>
      </c>
      <c r="V22" s="151">
        <f>'TT Benefits - Storm Close'!P6/V7</f>
        <v>39261.52898450764</v>
      </c>
      <c r="W22" s="151">
        <f>'TT Benefits - Storm Close'!Q6/W7</f>
        <v>36693.017742530508</v>
      </c>
      <c r="X22" s="151">
        <f>'TT Benefits - Storm Close'!R6/X7</f>
        <v>34292.539946290191</v>
      </c>
      <c r="Y22" s="151">
        <f>'TT Benefits - Storm Close'!S6/Y7</f>
        <v>32049.102753542236</v>
      </c>
      <c r="Z22" s="151">
        <f>'TT Benefits - Storm Close'!T6/Z7</f>
        <v>29952.432479946012</v>
      </c>
      <c r="AA22" s="151">
        <f>'TT Benefits - Storm Close'!U6/AA7</f>
        <v>27992.927551351411</v>
      </c>
      <c r="AB22" s="151">
        <f>'TT Benefits - Storm Close'!V6/AB7</f>
        <v>26161.614533973283</v>
      </c>
    </row>
    <row r="23" spans="1:28">
      <c r="A23" s="1" t="s">
        <v>20</v>
      </c>
      <c r="B23" s="70">
        <f>SUM(C23:AB23)</f>
        <v>56203.564360297431</v>
      </c>
      <c r="H23" s="143"/>
      <c r="I23" s="151">
        <f>'TT Benefits - Storm Close'!C7/I7</f>
        <v>0</v>
      </c>
      <c r="J23" s="151">
        <f>'TT Benefits - Storm Close'!D7/J7</f>
        <v>5082.1161655800315</v>
      </c>
      <c r="K23" s="151">
        <f>'TT Benefits - Storm Close'!E7/K7</f>
        <v>4749.64127624302</v>
      </c>
      <c r="L23" s="151">
        <f>'TT Benefits - Storm Close'!F7/L7</f>
        <v>4438.9170806009533</v>
      </c>
      <c r="M23" s="151">
        <f>'TT Benefits - Storm Close'!G7/M7</f>
        <v>4148.5206360756574</v>
      </c>
      <c r="N23" s="151">
        <f>'TT Benefits - Storm Close'!H7/N7</f>
        <v>3877.1220897903331</v>
      </c>
      <c r="O23" s="151">
        <f>'TT Benefits - Storm Close'!I7/O7</f>
        <v>3623.4785885890974</v>
      </c>
      <c r="P23" s="151">
        <f>'TT Benefits - Storm Close'!J7/P7</f>
        <v>3386.4285874664456</v>
      </c>
      <c r="Q23" s="151">
        <f>'TT Benefits - Storm Close'!K7/Q7</f>
        <v>3164.8865303424727</v>
      </c>
      <c r="R23" s="151">
        <f>'TT Benefits - Storm Close'!L7/R7</f>
        <v>2957.8378788247405</v>
      </c>
      <c r="S23" s="151">
        <f>'TT Benefits - Storm Close'!M7/S7</f>
        <v>2764.3344661913466</v>
      </c>
      <c r="T23" s="151">
        <f>'TT Benefits - Storm Close'!N7/T7</f>
        <v>2583.4901553190157</v>
      </c>
      <c r="U23" s="151">
        <f>'TT Benefits - Storm Close'!O7/U7</f>
        <v>2414.4767806719769</v>
      </c>
      <c r="V23" s="151">
        <f>'TT Benefits - Storm Close'!P7/V7</f>
        <v>2256.520355768203</v>
      </c>
      <c r="W23" s="151">
        <f>'TT Benefits - Storm Close'!Q7/W7</f>
        <v>2108.8975287553299</v>
      </c>
      <c r="X23" s="151">
        <f>'TT Benefits - Storm Close'!R7/X7</f>
        <v>1970.9322698647941</v>
      </c>
      <c r="Y23" s="151">
        <f>'TT Benefits - Storm Close'!S7/Y7</f>
        <v>1841.9927755745741</v>
      </c>
      <c r="Z23" s="151">
        <f>'TT Benefits - Storm Close'!T7/Z7</f>
        <v>1721.4885753033402</v>
      </c>
      <c r="AA23" s="151">
        <f>'TT Benefits - Storm Close'!U7/AA7</f>
        <v>1608.867827386299</v>
      </c>
      <c r="AB23" s="151">
        <f>'TT Benefits - Storm Close'!V7/AB7</f>
        <v>1503.6147919498121</v>
      </c>
    </row>
    <row r="24" spans="1:28">
      <c r="A24" t="s">
        <v>21</v>
      </c>
      <c r="B24" s="70"/>
      <c r="H24" s="143"/>
      <c r="I24" s="143"/>
      <c r="J24" s="143"/>
      <c r="K24" s="143"/>
      <c r="L24" s="143"/>
      <c r="M24" s="143"/>
      <c r="N24" s="143"/>
      <c r="O24" s="143"/>
      <c r="P24" s="143"/>
      <c r="Q24" s="143"/>
      <c r="R24" s="143"/>
      <c r="S24" s="143"/>
      <c r="T24" s="143"/>
      <c r="U24" s="143"/>
      <c r="V24" s="143"/>
      <c r="W24" s="143"/>
      <c r="X24" s="143"/>
      <c r="Y24" s="143"/>
      <c r="Z24" s="143"/>
      <c r="AA24" s="143"/>
      <c r="AB24" s="143"/>
    </row>
    <row r="25" spans="1:28">
      <c r="A25" s="1" t="s">
        <v>19</v>
      </c>
      <c r="B25" s="70">
        <f>SUM(C25:AB25)</f>
        <v>649436.48049832461</v>
      </c>
      <c r="H25" s="143"/>
      <c r="I25" s="151">
        <f>'VOC Benefits - Storm Close'!C6/I7</f>
        <v>57291.78455947632</v>
      </c>
      <c r="J25" s="151">
        <f>'VOC Benefits - Storm Close'!D6/J7</f>
        <v>53543.72388736104</v>
      </c>
      <c r="K25" s="151">
        <f>'VOC Benefits - Storm Close'!E6/K7</f>
        <v>50040.863446131814</v>
      </c>
      <c r="L25" s="151">
        <f>'VOC Benefits - Storm Close'!F6/L7</f>
        <v>46767.162099188608</v>
      </c>
      <c r="M25" s="151">
        <f>'VOC Benefits - Storm Close'!G6/M7</f>
        <v>43707.628130082812</v>
      </c>
      <c r="N25" s="151">
        <f>'VOC Benefits - Storm Close'!H6/N7</f>
        <v>40848.250588862436</v>
      </c>
      <c r="O25" s="151">
        <f>'VOC Benefits - Storm Close'!I6/O7</f>
        <v>38175.935129777987</v>
      </c>
      <c r="P25" s="151">
        <f>'VOC Benefits - Storm Close'!J6/P7</f>
        <v>35678.444046521479</v>
      </c>
      <c r="Q25" s="151">
        <f>'VOC Benefits - Storm Close'!K6/Q7</f>
        <v>33344.340230393907</v>
      </c>
      <c r="R25" s="151">
        <f>'VOC Benefits - Storm Close'!L6/R7</f>
        <v>31162.934794760658</v>
      </c>
      <c r="S25" s="151">
        <f>'VOC Benefits - Storm Close'!M6/S7</f>
        <v>29124.238125944543</v>
      </c>
      <c r="T25" s="151">
        <f>'VOC Benefits - Storm Close'!N6/T7</f>
        <v>27218.914136396768</v>
      </c>
      <c r="U25" s="151">
        <f>'VOC Benefits - Storm Close'!O6/U7</f>
        <v>25438.237510651186</v>
      </c>
      <c r="V25" s="151">
        <f>'VOC Benefits - Storm Close'!P6/V7</f>
        <v>23774.053748272134</v>
      </c>
      <c r="W25" s="151">
        <f>'VOC Benefits - Storm Close'!Q6/W7</f>
        <v>22218.741820815081</v>
      </c>
      <c r="X25" s="151">
        <f>'VOC Benefits - Storm Close'!R6/X7</f>
        <v>20765.179271789795</v>
      </c>
      <c r="Y25" s="151">
        <f>'VOC Benefits - Storm Close'!S6/Y7</f>
        <v>19406.709599803547</v>
      </c>
      <c r="Z25" s="151">
        <f>'VOC Benefits - Storm Close'!T6/Z7</f>
        <v>18137.111775517333</v>
      </c>
      <c r="AA25" s="151">
        <f>'VOC Benefits - Storm Close'!U6/AA7</f>
        <v>16950.571752819935</v>
      </c>
      <c r="AB25" s="151">
        <f>'VOC Benefits - Storm Close'!V6/AB7</f>
        <v>15841.655843756949</v>
      </c>
    </row>
    <row r="26" spans="1:28">
      <c r="A26" s="1" t="s">
        <v>20</v>
      </c>
      <c r="B26" s="70">
        <f>SUM(C26:AB26)</f>
        <v>72428.678672524984</v>
      </c>
      <c r="H26" s="143"/>
      <c r="I26" s="151">
        <f>'VOC Benefits - Storm Close'!C7/I7</f>
        <v>6389.4905491754944</v>
      </c>
      <c r="J26" s="151">
        <f>'VOC Benefits - Storm Close'!D7/J7</f>
        <v>5971.4864945565369</v>
      </c>
      <c r="K26" s="151">
        <f>'VOC Benefits - Storm Close'!E7/K7</f>
        <v>5580.8284995855483</v>
      </c>
      <c r="L26" s="151">
        <f>'VOC Benefits - Storm Close'!F7/L7</f>
        <v>5215.7275697061195</v>
      </c>
      <c r="M26" s="151">
        <f>'VOC Benefits - Storm Close'!G7/M7</f>
        <v>4874.5117473888968</v>
      </c>
      <c r="N26" s="151">
        <f>'VOC Benefits - Storm Close'!H7/N7</f>
        <v>4555.6184555036416</v>
      </c>
      <c r="O26" s="151">
        <f>'VOC Benefits - Storm Close'!I7/O7</f>
        <v>4257.5873415921887</v>
      </c>
      <c r="P26" s="151">
        <f>'VOC Benefits - Storm Close'!J7/P7</f>
        <v>3979.0535902730735</v>
      </c>
      <c r="Q26" s="151">
        <f>'VOC Benefits - Storm Close'!K7/Q7</f>
        <v>3718.7416731524054</v>
      </c>
      <c r="R26" s="151">
        <f>'VOC Benefits - Storm Close'!L7/R7</f>
        <v>3475.4595076190699</v>
      </c>
      <c r="S26" s="151">
        <f>'VOC Benefits - Storm Close'!M7/S7</f>
        <v>3248.0929977748324</v>
      </c>
      <c r="T26" s="151">
        <f>'VOC Benefits - Storm Close'!N7/T7</f>
        <v>3035.6009324998431</v>
      </c>
      <c r="U26" s="151">
        <f>'VOC Benefits - Storm Close'!O7/U7</f>
        <v>2837.0102172895731</v>
      </c>
      <c r="V26" s="151">
        <f>'VOC Benefits - Storm Close'!P7/V7</f>
        <v>2651.4114180276383</v>
      </c>
      <c r="W26" s="151">
        <f>'VOC Benefits - Storm Close'!Q7/W7</f>
        <v>2477.9545962875127</v>
      </c>
      <c r="X26" s="151">
        <f>'VOC Benefits - Storm Close'!R7/X7</f>
        <v>2315.8454170911332</v>
      </c>
      <c r="Y26" s="151">
        <f>'VOC Benefits - Storm Close'!S7/Y7</f>
        <v>2164.3415113001242</v>
      </c>
      <c r="Z26" s="151">
        <f>'VOC Benefits - Storm Close'!T7/Z7</f>
        <v>2022.7490759814245</v>
      </c>
      <c r="AA26" s="151">
        <f>'VOC Benefits - Storm Close'!U7/AA7</f>
        <v>1890.4196971789015</v>
      </c>
      <c r="AB26" s="151">
        <f>'VOC Benefits - Storm Close'!V7/AB7</f>
        <v>1766.7473805410293</v>
      </c>
    </row>
    <row r="27" spans="1:28">
      <c r="A27" t="s">
        <v>22</v>
      </c>
      <c r="B27" s="70"/>
      <c r="H27" s="143"/>
      <c r="I27" s="143"/>
      <c r="J27" s="143"/>
      <c r="K27" s="143"/>
      <c r="L27" s="143"/>
      <c r="M27" s="143"/>
      <c r="N27" s="143"/>
      <c r="O27" s="143"/>
      <c r="P27" s="143"/>
      <c r="Q27" s="143"/>
      <c r="R27" s="143"/>
      <c r="S27" s="143"/>
      <c r="T27" s="143"/>
      <c r="U27" s="143"/>
      <c r="V27" s="143"/>
      <c r="W27" s="143"/>
      <c r="X27" s="143"/>
      <c r="Y27" s="143"/>
      <c r="Z27" s="143"/>
      <c r="AA27" s="143"/>
      <c r="AB27" s="143"/>
    </row>
    <row r="28" spans="1:28">
      <c r="A28" s="1" t="s">
        <v>23</v>
      </c>
      <c r="B28" s="70">
        <f>SUM(C28:AB28)</f>
        <v>58992.604770324033</v>
      </c>
      <c r="H28" s="143"/>
      <c r="I28" s="139">
        <f>('Emission Benefits - Storm Close'!H20+'Emission Benefits - Storm Close'!H23)/I8</f>
        <v>3941.6361102085884</v>
      </c>
      <c r="J28" s="139">
        <f>('Emission Benefits - Storm Close'!I20+'Emission Benefits - Storm Close'!I23)/J8</f>
        <v>3817.2640970223947</v>
      </c>
      <c r="K28" s="139">
        <f>('Emission Benefits - Storm Close'!J20+'Emission Benefits - Storm Close'!J23)/K8</f>
        <v>3695.6786113907847</v>
      </c>
      <c r="L28" s="139">
        <f>('Emission Benefits - Storm Close'!K20+'Emission Benefits - Storm Close'!K23)/L8</f>
        <v>3632.0412987349637</v>
      </c>
      <c r="M28" s="139">
        <f>('Emission Benefits - Storm Close'!L20+'Emission Benefits - Storm Close'!L23)/M8</f>
        <v>3515.1511024759839</v>
      </c>
      <c r="N28" s="139">
        <f>('Emission Benefits - Storm Close'!M20+'Emission Benefits - Storm Close'!M23)/N8</f>
        <v>3394.4284241223813</v>
      </c>
      <c r="O28" s="139">
        <f>('Emission Benefits - Storm Close'!N20+'Emission Benefits - Storm Close'!N23)/O8</f>
        <v>3277.142976529673</v>
      </c>
      <c r="P28" s="139">
        <f>('Emission Benefits - Storm Close'!O20+'Emission Benefits - Storm Close'!O23)/P8</f>
        <v>3163.2455297303877</v>
      </c>
      <c r="Q28" s="139">
        <f>('Emission Benefits - Storm Close'!P20+'Emission Benefits - Storm Close'!P23)/Q8</f>
        <v>3052.6835335664141</v>
      </c>
      <c r="R28" s="139">
        <f>('Emission Benefits - Storm Close'!Q20+'Emission Benefits - Storm Close'!Q23)/R8</f>
        <v>2945.4015560475182</v>
      </c>
      <c r="S28" s="139">
        <f>('Emission Benefits - Storm Close'!R20+'Emission Benefits - Storm Close'!R23)/S8</f>
        <v>2841.341686974783</v>
      </c>
      <c r="T28" s="139">
        <f>('Emission Benefits - Storm Close'!S20+'Emission Benefits - Storm Close'!S23)/T8</f>
        <v>2777.475339467398</v>
      </c>
      <c r="U28" s="139">
        <f>('Emission Benefits - Storm Close'!T20+'Emission Benefits - Storm Close'!T23)/U8</f>
        <v>2677.8802275448165</v>
      </c>
      <c r="V28" s="139">
        <f>('Emission Benefits - Storm Close'!U20+'Emission Benefits - Storm Close'!U23)/V8</f>
        <v>2581.4094517324793</v>
      </c>
      <c r="W28" s="139">
        <f>('Emission Benefits - Storm Close'!V20+'Emission Benefits - Storm Close'!V23)/W8</f>
        <v>2487.9943732901193</v>
      </c>
      <c r="X28" s="139">
        <f>('Emission Benefits - Storm Close'!W20+'Emission Benefits - Storm Close'!W23)/X8</f>
        <v>2397.5656549667447</v>
      </c>
      <c r="Y28" s="139">
        <f>('Emission Benefits - Storm Close'!X20+'Emission Benefits - Storm Close'!X23)/Y8</f>
        <v>2310.0534905637037</v>
      </c>
      <c r="Z28" s="139">
        <f>('Emission Benefits - Storm Close'!Y20+'Emission Benefits - Storm Close'!Y23)/Z8</f>
        <v>2225.3878138561072</v>
      </c>
      <c r="AA28" s="139">
        <f>('Emission Benefits - Storm Close'!Z20+'Emission Benefits - Storm Close'!Z23)/AA8</f>
        <v>2169.6376974684717</v>
      </c>
      <c r="AB28" s="139">
        <f>('Emission Benefits - Storm Close'!AA20+'Emission Benefits - Storm Close'!AA23)/AB8</f>
        <v>2089.1857946303235</v>
      </c>
    </row>
    <row r="29" spans="1:28">
      <c r="A29" s="1" t="s">
        <v>24</v>
      </c>
      <c r="B29" s="70">
        <f>SUM(C29:AB29)</f>
        <v>21284.386509792403</v>
      </c>
      <c r="H29" s="143"/>
      <c r="I29" s="139">
        <f>('Emission Benefits - Storm Close'!H18+'Emission Benefits - Storm Close'!H19+'Emission Benefits - Storm Close'!H21+'Emission Benefits - Storm Close'!H23+'Emission Benefits - Storm Close'!H24+'Emission Benefits - Storm Close'!H26)/I7</f>
        <v>2040.7782251521739</v>
      </c>
      <c r="J29" s="139">
        <f>('Emission Benefits - Storm Close'!I18+'Emission Benefits - Storm Close'!I19+'Emission Benefits - Storm Close'!I21+'Emission Benefits - Storm Close'!I23+'Emission Benefits - Storm Close'!I24+'Emission Benefits - Storm Close'!I26)/J7</f>
        <v>1900.370295891687</v>
      </c>
      <c r="K29" s="139">
        <f>('Emission Benefits - Storm Close'!J18+'Emission Benefits - Storm Close'!J19+'Emission Benefits - Storm Close'!J21+'Emission Benefits - Storm Close'!J23+'Emission Benefits - Storm Close'!J24+'Emission Benefits - Storm Close'!J26)/K7</f>
        <v>1769.3454995776406</v>
      </c>
      <c r="L29" s="139">
        <f>('Emission Benefits - Storm Close'!K18+'Emission Benefits - Storm Close'!K19+'Emission Benefits - Storm Close'!K21+'Emission Benefits - Storm Close'!K23+'Emission Benefits - Storm Close'!K24+'Emission Benefits - Storm Close'!K26)/L7</f>
        <v>1647.2572287577311</v>
      </c>
      <c r="M29" s="139">
        <f>('Emission Benefits - Storm Close'!L18+'Emission Benefits - Storm Close'!L19+'Emission Benefits - Storm Close'!L21+'Emission Benefits - Storm Close'!L23+'Emission Benefits - Storm Close'!L24+'Emission Benefits - Storm Close'!L26)/M7</f>
        <v>1534.6226246194485</v>
      </c>
      <c r="N29" s="139">
        <f>('Emission Benefits - Storm Close'!M18+'Emission Benefits - Storm Close'!M19+'Emission Benefits - Storm Close'!M21+'Emission Benefits - Storm Close'!M23+'Emission Benefits - Storm Close'!M24+'Emission Benefits - Storm Close'!M26)/N7</f>
        <v>1423.3328198607267</v>
      </c>
      <c r="O29" s="139">
        <f>('Emission Benefits - Storm Close'!N18+'Emission Benefits - Storm Close'!N19+'Emission Benefits - Storm Close'!N21+'Emission Benefits - Storm Close'!N23+'Emission Benefits - Storm Close'!N24+'Emission Benefits - Storm Close'!N26)/O7</f>
        <v>1303.6132368817873</v>
      </c>
      <c r="P29" s="139">
        <f>('Emission Benefits - Storm Close'!O18+'Emission Benefits - Storm Close'!O19+'Emission Benefits - Storm Close'!O21+'Emission Benefits - Storm Close'!O23+'Emission Benefits - Storm Close'!O24+'Emission Benefits - Storm Close'!O26)/P7</f>
        <v>1193.9635253683659</v>
      </c>
      <c r="Q29" s="139">
        <f>('Emission Benefits - Storm Close'!P18+'Emission Benefits - Storm Close'!P19+'Emission Benefits - Storm Close'!P21+'Emission Benefits - Storm Close'!P23+'Emission Benefits - Storm Close'!P24+'Emission Benefits - Storm Close'!P26)/Q7</f>
        <v>1093.53668678598</v>
      </c>
      <c r="R29" s="139">
        <f>('Emission Benefits - Storm Close'!Q18+'Emission Benefits - Storm Close'!Q19+'Emission Benefits - Storm Close'!Q21+'Emission Benefits - Storm Close'!Q23+'Emission Benefits - Storm Close'!Q24+'Emission Benefits - Storm Close'!Q26)/R7</f>
        <v>1001.5569654675327</v>
      </c>
      <c r="S29" s="139">
        <f>('Emission Benefits - Storm Close'!R18+'Emission Benefits - Storm Close'!R19+'Emission Benefits - Storm Close'!R21+'Emission Benefits - Storm Close'!R23+'Emission Benefits - Storm Close'!R24+'Emission Benefits - Storm Close'!R26)/S7</f>
        <v>917.31385622260029</v>
      </c>
      <c r="T29" s="139">
        <f>('Emission Benefits - Storm Close'!S18+'Emission Benefits - Storm Close'!S19+'Emission Benefits - Storm Close'!S21+'Emission Benefits - Storm Close'!S23+'Emission Benefits - Storm Close'!S24+'Emission Benefits - Storm Close'!S26)/T7</f>
        <v>840.15661597957774</v>
      </c>
      <c r="U29" s="139">
        <f>('Emission Benefits - Storm Close'!T18+'Emission Benefits - Storm Close'!T19+'Emission Benefits - Storm Close'!T21+'Emission Benefits - Storm Close'!T23+'Emission Benefits - Storm Close'!T24+'Emission Benefits - Storm Close'!T26)/U7</f>
        <v>769.48923706540779</v>
      </c>
      <c r="V29" s="139">
        <f>('Emission Benefits - Storm Close'!U18+'Emission Benefits - Storm Close'!U19+'Emission Benefits - Storm Close'!U21+'Emission Benefits - Storm Close'!U23+'Emission Benefits - Storm Close'!U24+'Emission Benefits - Storm Close'!U26)/V7</f>
        <v>704.76584329355092</v>
      </c>
      <c r="W29" s="139">
        <f>('Emission Benefits - Storm Close'!V18+'Emission Benefits - Storm Close'!V19+'Emission Benefits - Storm Close'!V21+'Emission Benefits - Storm Close'!V23+'Emission Benefits - Storm Close'!V24+'Emission Benefits - Storm Close'!V26)/W7</f>
        <v>645.48647329689697</v>
      </c>
      <c r="X29" s="139">
        <f>('Emission Benefits - Storm Close'!W18+'Emission Benefits - Storm Close'!W19+'Emission Benefits - Storm Close'!W21+'Emission Benefits - Storm Close'!W23+'Emission Benefits - Storm Close'!W24+'Emission Benefits - Storm Close'!W26)/X7</f>
        <v>591.19321853360668</v>
      </c>
      <c r="Y29" s="139">
        <f>('Emission Benefits - Storm Close'!X18+'Emission Benefits - Storm Close'!X19+'Emission Benefits - Storm Close'!X21+'Emission Benefits - Storm Close'!X23+'Emission Benefits - Storm Close'!X24+'Emission Benefits - Storm Close'!X26)/Y7</f>
        <v>541.46668613358361</v>
      </c>
      <c r="Z29" s="139">
        <f>('Emission Benefits - Storm Close'!Y18+'Emission Benefits - Storm Close'!Y19+'Emission Benefits - Storm Close'!Y21+'Emission Benefits - Storm Close'!Y23+'Emission Benefits - Storm Close'!Y24+'Emission Benefits - Storm Close'!Y26)/Z7</f>
        <v>495.92275926253461</v>
      </c>
      <c r="AA29" s="139">
        <f>('Emission Benefits - Storm Close'!Z18+'Emission Benefits - Storm Close'!Z19+'Emission Benefits - Storm Close'!Z21+'Emission Benefits - Storm Close'!Z23+'Emission Benefits - Storm Close'!Z24+'Emission Benefits - Storm Close'!Z26)/AA7</f>
        <v>454.2096299787699</v>
      </c>
      <c r="AB29" s="139">
        <f>('Emission Benefits - Storm Close'!AA18+'Emission Benefits - Storm Close'!AA19+'Emission Benefits - Storm Close'!AA21+'Emission Benefits - Storm Close'!AA23+'Emission Benefits - Storm Close'!AA24+'Emission Benefits - Storm Close'!AA26)/AB7</f>
        <v>416.0050816627986</v>
      </c>
    </row>
    <row r="30" spans="1:28">
      <c r="A30" s="1"/>
      <c r="B30" s="70"/>
      <c r="H30" s="143"/>
      <c r="I30" s="139"/>
      <c r="J30" s="139"/>
      <c r="K30" s="139"/>
      <c r="L30" s="139"/>
      <c r="M30" s="139"/>
      <c r="N30" s="139"/>
      <c r="O30" s="139"/>
      <c r="P30" s="139"/>
      <c r="Q30" s="139"/>
      <c r="R30" s="139"/>
      <c r="S30" s="139"/>
      <c r="T30" s="139"/>
      <c r="U30" s="139"/>
      <c r="V30" s="139"/>
      <c r="W30" s="139"/>
      <c r="X30" s="139"/>
      <c r="Y30" s="139"/>
      <c r="Z30" s="139"/>
      <c r="AA30" s="139"/>
      <c r="AB30" s="139"/>
    </row>
    <row r="31" spans="1:28">
      <c r="A31" s="83" t="s">
        <v>25</v>
      </c>
      <c r="B31" s="70"/>
      <c r="H31" s="143"/>
      <c r="I31" s="143"/>
      <c r="J31" s="143"/>
      <c r="K31" s="143"/>
      <c r="L31" s="143"/>
      <c r="M31" s="143"/>
      <c r="N31" s="143"/>
      <c r="O31" s="143"/>
      <c r="P31" s="143"/>
      <c r="Q31" s="143"/>
      <c r="R31" s="143"/>
      <c r="S31" s="143"/>
      <c r="T31" s="143"/>
      <c r="U31" s="143"/>
      <c r="V31" s="143"/>
      <c r="W31" s="143"/>
      <c r="X31" s="143"/>
      <c r="Y31" s="143"/>
      <c r="Z31" s="143"/>
      <c r="AA31" s="143"/>
      <c r="AB31" s="143"/>
    </row>
    <row r="32" spans="1:28">
      <c r="B32" s="70"/>
      <c r="K32" s="143"/>
      <c r="L32" s="143"/>
      <c r="M32" s="143"/>
      <c r="N32" s="143"/>
      <c r="O32" s="143"/>
      <c r="P32" s="143"/>
      <c r="Q32" s="143"/>
      <c r="R32" s="143"/>
      <c r="S32" s="143"/>
      <c r="T32" s="143"/>
      <c r="U32" s="143"/>
      <c r="V32" s="143"/>
      <c r="W32" s="143"/>
      <c r="X32" s="143"/>
      <c r="Y32" s="143"/>
      <c r="Z32" s="143"/>
      <c r="AA32" s="143"/>
      <c r="AB32" s="143"/>
    </row>
    <row r="33" spans="1:29">
      <c r="A33" t="s">
        <v>26</v>
      </c>
      <c r="B33" s="70"/>
      <c r="K33" s="143"/>
      <c r="L33" s="143"/>
      <c r="M33" s="143"/>
      <c r="N33" s="143"/>
      <c r="O33" s="143"/>
      <c r="P33" s="143"/>
      <c r="Q33" s="143"/>
      <c r="R33" s="143"/>
      <c r="S33" s="143"/>
      <c r="T33" s="143"/>
      <c r="U33" s="143"/>
      <c r="V33" s="143"/>
      <c r="W33" s="143"/>
      <c r="X33" s="143"/>
      <c r="Y33" s="143"/>
      <c r="Z33" s="143"/>
      <c r="AA33" s="143"/>
      <c r="AB33" s="143"/>
    </row>
    <row r="34" spans="1:29">
      <c r="A34" t="s">
        <v>27</v>
      </c>
      <c r="B34" s="70">
        <f>SUM(C34:AB34)</f>
        <v>966450.31508682366</v>
      </c>
      <c r="I34" s="227">
        <f>'Structurally Deficient Impact'!B14/I7*'Structurally Deficient Impact'!B32</f>
        <v>98238.588843330101</v>
      </c>
      <c r="J34" s="227">
        <f>'Structurally Deficient Impact'!C14/J7*'Structurally Deficient Impact'!C32</f>
        <v>89975.529968657458</v>
      </c>
      <c r="K34" s="227">
        <f>'Structurally Deficient Impact'!D14/K7*'Structurally Deficient Impact'!D32</f>
        <v>82407.494737648885</v>
      </c>
      <c r="L34" s="227">
        <f>'Structurally Deficient Impact'!E14/L7*'Structurally Deficient Impact'!E32</f>
        <v>75476.02321765972</v>
      </c>
      <c r="M34" s="227">
        <f>'Structurally Deficient Impact'!F14/M7*'Structurally Deficient Impact'!F32</f>
        <v>69127.572666641616</v>
      </c>
      <c r="N34" s="227">
        <f>'Structurally Deficient Impact'!G14/N7*'Structurally Deficient Impact'!G32</f>
        <v>63313.103937671745</v>
      </c>
      <c r="O34" s="227">
        <f>'Structurally Deficient Impact'!H14/O7*'Structurally Deficient Impact'!H32</f>
        <v>57987.702671886283</v>
      </c>
      <c r="P34" s="227">
        <f>'Structurally Deficient Impact'!I14/P7*'Structurally Deficient Impact'!I32</f>
        <v>53110.232353690233</v>
      </c>
      <c r="Q34" s="227">
        <f>'Structurally Deficient Impact'!J14/Q7*'Structurally Deficient Impact'!J32</f>
        <v>48643.016548239655</v>
      </c>
      <c r="R34" s="227">
        <f>'Structurally Deficient Impact'!K14/R7*'Structurally Deficient Impact'!K32</f>
        <v>44551.547866612011</v>
      </c>
      <c r="S34" s="227">
        <f>'Structurally Deficient Impact'!L14/S7*'Structurally Deficient Impact'!L32</f>
        <v>40804.221410541846</v>
      </c>
      <c r="T34" s="227">
        <f>'Structurally Deficient Impact'!M14/T7*'Structurally Deficient Impact'!M32</f>
        <v>37372.090637692534</v>
      </c>
      <c r="U34" s="227">
        <f>'Structurally Deficient Impact'!N14/U7*'Structurally Deficient Impact'!N32</f>
        <v>34228.643761624931</v>
      </c>
      <c r="V34" s="227">
        <f>'Structurally Deficient Impact'!O14/V7*'Structurally Deficient Impact'!O32</f>
        <v>31349.598959245264</v>
      </c>
      <c r="W34" s="227">
        <f>'Structurally Deficient Impact'!P14/W7*'Structurally Deficient Impact'!P32</f>
        <v>28712.716803794727</v>
      </c>
      <c r="X34" s="227">
        <f>'Structurally Deficient Impact'!Q14/X7*'Structurally Deficient Impact'!Q32</f>
        <v>26297.628474503577</v>
      </c>
      <c r="Y34" s="227">
        <f>'Structurally Deficient Impact'!R14/Y7*'Structurally Deficient Impact'!R32</f>
        <v>24085.678415900475</v>
      </c>
      <c r="Z34" s="227">
        <f>'Structurally Deficient Impact'!S14/Z7*'Structurally Deficient Impact'!S32</f>
        <v>22059.780231385481</v>
      </c>
      <c r="AA34" s="227">
        <f>'Structurally Deficient Impact'!T14/AA7*'Structurally Deficient Impact'!T32</f>
        <v>20204.284697904459</v>
      </c>
      <c r="AB34" s="227">
        <f>'Structurally Deficient Impact'!U14/AB7*'Structurally Deficient Impact'!U32</f>
        <v>18504.858882192868</v>
      </c>
    </row>
    <row r="35" spans="1:29">
      <c r="A35" t="s">
        <v>21</v>
      </c>
      <c r="B35" s="70">
        <f>SUM(C35:AB35)</f>
        <v>1123498.4912884329</v>
      </c>
      <c r="I35" s="227">
        <f>'Structurally Deficient Impact'!B15/I7*'Structurally Deficient Impact'!B32</f>
        <v>114202.35953037124</v>
      </c>
      <c r="J35" s="227">
        <f>'Structurally Deficient Impact'!C15/J7*'Structurally Deficient Impact'!C32</f>
        <v>104596.5535885643</v>
      </c>
      <c r="K35" s="227">
        <f>'Structurally Deficient Impact'!D15/K7*'Structurally Deficient Impact'!D32</f>
        <v>95798.712632516836</v>
      </c>
      <c r="L35" s="227">
        <f>'Structurally Deficient Impact'!E15/L7*'Structurally Deficient Impact'!E32</f>
        <v>87740.876990529418</v>
      </c>
      <c r="M35" s="227">
        <f>'Structurally Deficient Impact'!F15/M7*'Structurally Deficient Impact'!F32</f>
        <v>80360.803224970878</v>
      </c>
      <c r="N35" s="227">
        <f>'Structurally Deficient Impact'!G15/N7*'Structurally Deficient Impact'!G32</f>
        <v>73601.483327543407</v>
      </c>
      <c r="O35" s="227">
        <f>'Structurally Deficient Impact'!H15/O7*'Structurally Deficient Impact'!H32</f>
        <v>67410.704356067799</v>
      </c>
      <c r="P35" s="227">
        <f>'Structurally Deficient Impact'!I15/P7*'Structurally Deficient Impact'!I32</f>
        <v>61740.645111164893</v>
      </c>
      <c r="Q35" s="227">
        <f>'Structurally Deficient Impact'!J15/Q7*'Structurally Deficient Impact'!J32</f>
        <v>56547.5067373286</v>
      </c>
      <c r="R35" s="227">
        <f>'Structurally Deficient Impact'!K15/R7*'Structurally Deficient Impact'!K32</f>
        <v>51791.174394936468</v>
      </c>
      <c r="S35" s="227">
        <f>'Structurally Deficient Impact'!L15/S7*'Structurally Deficient Impact'!L32</f>
        <v>47434.907389754902</v>
      </c>
      <c r="T35" s="227">
        <f>'Structurally Deficient Impact'!M15/T7*'Structurally Deficient Impact'!M32</f>
        <v>43445.055366317574</v>
      </c>
      <c r="U35" s="227">
        <f>'Structurally Deficient Impact'!N15/U7*'Structurally Deficient Impact'!N32</f>
        <v>39790.798372888989</v>
      </c>
      <c r="V35" s="227">
        <f>'Structurally Deficient Impact'!O15/V7*'Structurally Deficient Impact'!O32</f>
        <v>36443.908790122623</v>
      </c>
      <c r="W35" s="227">
        <f>'Structurally Deficient Impact'!P15/W7*'Structurally Deficient Impact'!P32</f>
        <v>33378.533284411373</v>
      </c>
      <c r="X35" s="227">
        <f>'Structurally Deficient Impact'!Q15/X7*'Structurally Deficient Impact'!Q32</f>
        <v>30570.993101610416</v>
      </c>
      <c r="Y35" s="227">
        <f>'Structurally Deficient Impact'!R15/Y7*'Structurally Deficient Impact'!R32</f>
        <v>27999.601158484307</v>
      </c>
      <c r="Z35" s="227">
        <f>'Structurally Deficient Impact'!S15/Z7*'Structurally Deficient Impact'!S32</f>
        <v>25644.494518985623</v>
      </c>
      <c r="AA35" s="227">
        <f>'Structurally Deficient Impact'!T15/AA7*'Structurally Deficient Impact'!T32</f>
        <v>23487.480961313933</v>
      </c>
      <c r="AB35" s="227">
        <f>'Structurally Deficient Impact'!U15/AB7*'Structurally Deficient Impact'!U32</f>
        <v>21511.898450549212</v>
      </c>
    </row>
    <row r="36" spans="1:29">
      <c r="A36" s="83" t="s">
        <v>28</v>
      </c>
      <c r="B36" s="70">
        <f>SUM(C36:AB36)</f>
        <v>222810.70336393255</v>
      </c>
      <c r="I36" s="227">
        <f>'Structurally Deficient Impact'!B29/Results!I8*'Structurally Deficient Impact'!B32</f>
        <v>14775.172506244333</v>
      </c>
      <c r="J36" s="227">
        <f>'Structurally Deficient Impact'!C29/Results!J8*'Structurally Deficient Impact'!C32</f>
        <v>14304.56149301529</v>
      </c>
      <c r="K36" s="227">
        <f>'Structurally Deficient Impact'!D29/Results!K8*'Structurally Deficient Impact'!D32</f>
        <v>14079.481349000655</v>
      </c>
      <c r="L36" s="227">
        <f>'Structurally Deficient Impact'!E29/Results!L8*'Structurally Deficient Impact'!E32</f>
        <v>13619.278236945942</v>
      </c>
      <c r="M36" s="227">
        <f>'Structurally Deficient Impact'!F29/Results!M8*'Structurally Deficient Impact'!F32</f>
        <v>13170.576884877213</v>
      </c>
      <c r="N36" s="227">
        <f>'Structurally Deficient Impact'!G29/Results!N8*'Structurally Deficient Impact'!G32</f>
        <v>12733.345080994663</v>
      </c>
      <c r="O36" s="227">
        <f>'Structurally Deficient Impact'!H29/Results!O8*'Structurally Deficient Impact'!H32</f>
        <v>12307.526637077906</v>
      </c>
      <c r="P36" s="227">
        <f>'Structurally Deficient Impact'!I29/Results!P8*'Structurally Deficient Impact'!I32</f>
        <v>11893.043792200586</v>
      </c>
      <c r="Q36" s="227">
        <f>'Structurally Deficient Impact'!J29/Results!Q8*'Structurally Deficient Impact'!J32</f>
        <v>11489.799439574816</v>
      </c>
      <c r="R36" s="227">
        <f>'Structurally Deficient Impact'!K29/Results!R8*'Structurally Deficient Impact'!K32</f>
        <v>11097.679188032982</v>
      </c>
      <c r="S36" s="227">
        <f>'Structurally Deficient Impact'!L29/Results!S8*'Structurally Deficient Impact'!L32</f>
        <v>10874.149640556301</v>
      </c>
      <c r="T36" s="227">
        <f>'Structurally Deficient Impact'!M29/Results!T8*'Structurally Deficient Impact'!M32</f>
        <v>10496.224361082908</v>
      </c>
      <c r="U36" s="227">
        <f>'Structurally Deficient Impact'!N29/Results!U8*'Structurally Deficient Impact'!N32</f>
        <v>10129.366033899429</v>
      </c>
      <c r="V36" s="227">
        <f>'Structurally Deficient Impact'!O29/Results!V8*'Structurally Deficient Impact'!O32</f>
        <v>9773.3907746744662</v>
      </c>
      <c r="W36" s="227">
        <f>'Structurally Deficient Impact'!P29/Results!W8*'Structurally Deficient Impact'!P32</f>
        <v>9428.1064727644443</v>
      </c>
      <c r="X36" s="227">
        <f>'Structurally Deficient Impact'!Q29/Results!X8*'Structurally Deficient Impact'!Q32</f>
        <v>9093.3140232062469</v>
      </c>
      <c r="Y36" s="227">
        <f>'Structurally Deficient Impact'!R29/Results!Y8*'Structurally Deficient Impact'!R32</f>
        <v>8768.8084584841108</v>
      </c>
      <c r="Z36" s="227">
        <f>'Structurally Deficient Impact'!S29/Results!Z8*'Structurally Deficient Impact'!S32</f>
        <v>8565.6218288312102</v>
      </c>
      <c r="AA36" s="227">
        <f>'Structurally Deficient Impact'!T29/Results!AA8*'Structurally Deficient Impact'!T32</f>
        <v>8255.6566964551494</v>
      </c>
      <c r="AB36" s="227">
        <f>'Structurally Deficient Impact'!U29/Results!AB8*'Structurally Deficient Impact'!U32</f>
        <v>7955.6004660139106</v>
      </c>
    </row>
    <row r="37" spans="1:29">
      <c r="A37" s="83" t="s">
        <v>29</v>
      </c>
      <c r="B37" s="70">
        <f>SUM(C37:AB37)</f>
        <v>170829.42451778855</v>
      </c>
      <c r="I37" s="227">
        <f>'Structurally Deficient Impact'!B30/Results!I7*'Structurally Deficient Impact'!B32</f>
        <v>16473.16478580574</v>
      </c>
      <c r="J37" s="227">
        <f>'Structurally Deficient Impact'!C30/Results!J7*'Structurally Deficient Impact'!C32</f>
        <v>15341.4633118365</v>
      </c>
      <c r="K37" s="227">
        <f>'Structurally Deficient Impact'!D30/Results!K7*'Structurally Deficient Impact'!D32</f>
        <v>14286.189040060917</v>
      </c>
      <c r="L37" s="227">
        <f>'Structurally Deficient Impact'!E30/Results!L7*'Structurally Deficient Impact'!E32</f>
        <v>13301.533933869485</v>
      </c>
      <c r="M37" s="227">
        <f>'Structurally Deficient Impact'!F30/Results!M7*'Structurally Deficient Impact'!F32</f>
        <v>12416.619426146892</v>
      </c>
      <c r="N37" s="227">
        <f>'Structurally Deficient Impact'!G30/Results!N7*'Structurally Deficient Impact'!G32</f>
        <v>11372.230876284068</v>
      </c>
      <c r="O37" s="227">
        <f>'Structurally Deficient Impact'!H30/Results!O7*'Structurally Deficient Impact'!H32</f>
        <v>10415.688092297558</v>
      </c>
      <c r="P37" s="227">
        <f>'Structurally Deficient Impact'!I30/Results!P7*'Structurally Deficient Impact'!I32</f>
        <v>9539.6021779921557</v>
      </c>
      <c r="Q37" s="227">
        <f>'Structurally Deficient Impact'!J30/Results!Q7*'Structurally Deficient Impact'!J32</f>
        <v>8737.2057331143114</v>
      </c>
      <c r="R37" s="227">
        <f>'Structurally Deficient Impact'!K30/Results!R7*'Structurally Deficient Impact'!K32</f>
        <v>8002.3005779925443</v>
      </c>
      <c r="S37" s="227">
        <f>'Structurally Deficient Impact'!L30/Results!S7*'Structurally Deficient Impact'!L32</f>
        <v>7329.2098751707426</v>
      </c>
      <c r="T37" s="227">
        <f>'Structurally Deficient Impact'!M30/Results!T7*'Structurally Deficient Impact'!M32</f>
        <v>6712.734278193765</v>
      </c>
      <c r="U37" s="227">
        <f>'Structurally Deficient Impact'!N30/Results!U7*'Structurally Deficient Impact'!N32</f>
        <v>6148.1117688129798</v>
      </c>
      <c r="V37" s="227">
        <f>'Structurally Deficient Impact'!O30/Results!V7*'Structurally Deficient Impact'!O32</f>
        <v>5630.9808723707665</v>
      </c>
      <c r="W37" s="227">
        <f>'Structurally Deficient Impact'!P30/Results!W7*'Structurally Deficient Impact'!P32</f>
        <v>5157.3469672180854</v>
      </c>
      <c r="X37" s="227">
        <f>'Structurally Deficient Impact'!Q30/Results!X7*'Structurally Deficient Impact'!Q32</f>
        <v>4723.5514279193676</v>
      </c>
      <c r="Y37" s="227">
        <f>'Structurally Deficient Impact'!R30/Results!Y7*'Structurally Deficient Impact'!R32</f>
        <v>4326.2433638887669</v>
      </c>
      <c r="Z37" s="227">
        <f>'Structurally Deficient Impact'!S30/Results!Z7*'Structurally Deficient Impact'!S32</f>
        <v>3962.3537351504588</v>
      </c>
      <c r="AA37" s="227">
        <f>'Structurally Deficient Impact'!T30/Results!AA7*'Structurally Deficient Impact'!T32</f>
        <v>3629.0716452779902</v>
      </c>
      <c r="AB37" s="227">
        <f>'Structurally Deficient Impact'!U30/Results!AB7*'Structurally Deficient Impact'!U32</f>
        <v>3323.8226283854488</v>
      </c>
      <c r="AC37" s="227"/>
    </row>
    <row r="38" spans="1:29" ht="15" thickBot="1">
      <c r="A38" s="17"/>
      <c r="B38" s="72"/>
    </row>
    <row r="39" spans="1:29" ht="15" hidden="1" thickBot="1">
      <c r="A39" s="83" t="s">
        <v>30</v>
      </c>
      <c r="B39" s="229"/>
      <c r="C39" s="23"/>
      <c r="D39" s="23"/>
      <c r="E39" s="23"/>
      <c r="F39" s="23"/>
      <c r="G39" s="23"/>
      <c r="H39" s="23"/>
      <c r="I39" s="230"/>
      <c r="J39" s="230"/>
      <c r="K39" s="230"/>
      <c r="L39" s="230"/>
      <c r="M39" s="230"/>
      <c r="N39" s="230"/>
      <c r="O39" s="230"/>
      <c r="P39" s="230"/>
      <c r="Q39" s="230"/>
      <c r="R39" s="230"/>
      <c r="S39" s="230"/>
      <c r="T39" s="230"/>
      <c r="U39" s="230"/>
      <c r="V39" s="230"/>
      <c r="W39" s="230"/>
      <c r="X39" s="230"/>
      <c r="Y39" s="230"/>
      <c r="Z39" s="230"/>
      <c r="AA39" s="231"/>
    </row>
    <row r="40" spans="1:29" ht="15" hidden="1" thickBot="1">
      <c r="A40" s="1" t="s">
        <v>31</v>
      </c>
      <c r="B40" s="232">
        <f>'Truck VMT VHT reductions'!B8</f>
        <v>0</v>
      </c>
      <c r="C40" s="233"/>
      <c r="D40" s="233"/>
      <c r="E40" s="23"/>
      <c r="F40" s="23"/>
      <c r="G40" s="234">
        <f>'Truck VMT VHT reductions'!B12</f>
        <v>0</v>
      </c>
      <c r="H40" s="234">
        <f>G40</f>
        <v>0</v>
      </c>
      <c r="I40" s="234">
        <f t="shared" ref="I40:Z40" si="22">H40</f>
        <v>0</v>
      </c>
      <c r="J40" s="234">
        <f t="shared" si="22"/>
        <v>0</v>
      </c>
      <c r="K40" s="234">
        <f t="shared" si="22"/>
        <v>0</v>
      </c>
      <c r="L40" s="234">
        <f t="shared" si="22"/>
        <v>0</v>
      </c>
      <c r="M40" s="234">
        <f t="shared" si="22"/>
        <v>0</v>
      </c>
      <c r="N40" s="234">
        <f t="shared" si="22"/>
        <v>0</v>
      </c>
      <c r="O40" s="234">
        <f t="shared" si="22"/>
        <v>0</v>
      </c>
      <c r="P40" s="234">
        <f t="shared" si="22"/>
        <v>0</v>
      </c>
      <c r="Q40" s="234">
        <f t="shared" si="22"/>
        <v>0</v>
      </c>
      <c r="R40" s="234">
        <f t="shared" si="22"/>
        <v>0</v>
      </c>
      <c r="S40" s="234">
        <f t="shared" si="22"/>
        <v>0</v>
      </c>
      <c r="T40" s="234">
        <f t="shared" si="22"/>
        <v>0</v>
      </c>
      <c r="U40" s="234">
        <f t="shared" si="22"/>
        <v>0</v>
      </c>
      <c r="V40" s="234">
        <f t="shared" si="22"/>
        <v>0</v>
      </c>
      <c r="W40" s="234">
        <f t="shared" si="22"/>
        <v>0</v>
      </c>
      <c r="X40" s="234">
        <f t="shared" si="22"/>
        <v>0</v>
      </c>
      <c r="Y40" s="234">
        <f t="shared" si="22"/>
        <v>0</v>
      </c>
      <c r="Z40" s="234">
        <f t="shared" si="22"/>
        <v>0</v>
      </c>
      <c r="AA40" s="231"/>
    </row>
    <row r="41" spans="1:29" ht="15" hidden="1" thickBot="1">
      <c r="A41" s="1" t="s">
        <v>32</v>
      </c>
      <c r="B41" s="229" t="e">
        <f>SUM(C41:Z41)</f>
        <v>#REF!</v>
      </c>
      <c r="C41" s="23" t="s">
        <v>4</v>
      </c>
      <c r="D41" s="23" t="s">
        <v>4</v>
      </c>
      <c r="E41" s="23" t="s">
        <v>4</v>
      </c>
      <c r="F41" s="23" t="s">
        <v>4</v>
      </c>
      <c r="G41" s="66" t="e">
        <f>Emissions!E11/G8</f>
        <v>#REF!</v>
      </c>
      <c r="H41" s="66" t="e">
        <f>Emissions!F11/H8</f>
        <v>#REF!</v>
      </c>
      <c r="I41" s="66" t="e">
        <f>Emissions!G11/I8</f>
        <v>#REF!</v>
      </c>
      <c r="J41" s="66" t="e">
        <f>Emissions!H11/J8</f>
        <v>#REF!</v>
      </c>
      <c r="K41" s="66" t="e">
        <f>Emissions!I11/K8</f>
        <v>#REF!</v>
      </c>
      <c r="L41" s="66" t="e">
        <f>Emissions!J11/L8</f>
        <v>#REF!</v>
      </c>
      <c r="M41" s="66" t="e">
        <f>Emissions!K11/M8</f>
        <v>#REF!</v>
      </c>
      <c r="N41" s="66" t="e">
        <f>Emissions!L11/N8</f>
        <v>#REF!</v>
      </c>
      <c r="O41" s="66" t="e">
        <f>Emissions!M11/O8</f>
        <v>#REF!</v>
      </c>
      <c r="P41" s="66" t="e">
        <f>Emissions!N11/P8</f>
        <v>#REF!</v>
      </c>
      <c r="Q41" s="66" t="e">
        <f>Emissions!O11/Q8</f>
        <v>#REF!</v>
      </c>
      <c r="R41" s="66" t="e">
        <f>Emissions!P11/R8</f>
        <v>#REF!</v>
      </c>
      <c r="S41" s="66" t="e">
        <f>Emissions!Q11/S8</f>
        <v>#REF!</v>
      </c>
      <c r="T41" s="66" t="e">
        <f>Emissions!R11/T8</f>
        <v>#REF!</v>
      </c>
      <c r="U41" s="66" t="e">
        <f>Emissions!S11/U8</f>
        <v>#REF!</v>
      </c>
      <c r="V41" s="66" t="e">
        <f>Emissions!T11/V8</f>
        <v>#REF!</v>
      </c>
      <c r="W41" s="66" t="e">
        <f>Emissions!U11/W8</f>
        <v>#REF!</v>
      </c>
      <c r="X41" s="66" t="e">
        <f>Emissions!V11/X8</f>
        <v>#REF!</v>
      </c>
      <c r="Y41" s="66" t="e">
        <f>Emissions!W11/Y8</f>
        <v>#REF!</v>
      </c>
      <c r="Z41" s="66" t="e">
        <f>Emissions!X11/Z8</f>
        <v>#REF!</v>
      </c>
      <c r="AA41" s="231"/>
    </row>
    <row r="42" spans="1:29" ht="15" hidden="1" thickBot="1">
      <c r="A42" s="1" t="s">
        <v>33</v>
      </c>
      <c r="B42" s="229" t="e">
        <f>SUM(C42:Z42)</f>
        <v>#REF!</v>
      </c>
      <c r="C42" s="23" t="s">
        <v>4</v>
      </c>
      <c r="D42" s="23" t="s">
        <v>4</v>
      </c>
      <c r="E42" s="23" t="s">
        <v>4</v>
      </c>
      <c r="F42" s="23" t="s">
        <v>4</v>
      </c>
      <c r="G42" s="66" t="e">
        <f>Emissions!E13/Results!G7</f>
        <v>#REF!</v>
      </c>
      <c r="H42" s="66" t="e">
        <f>Emissions!F13/Results!H7</f>
        <v>#REF!</v>
      </c>
      <c r="I42" s="66" t="e">
        <f>Emissions!G13/Results!I7</f>
        <v>#REF!</v>
      </c>
      <c r="J42" s="66" t="e">
        <f>Emissions!H13/Results!J7</f>
        <v>#REF!</v>
      </c>
      <c r="K42" s="66" t="e">
        <f>Emissions!I13/Results!K7</f>
        <v>#REF!</v>
      </c>
      <c r="L42" s="66" t="e">
        <f>Emissions!J13/Results!L7</f>
        <v>#REF!</v>
      </c>
      <c r="M42" s="66" t="e">
        <f>Emissions!K13/Results!M7</f>
        <v>#REF!</v>
      </c>
      <c r="N42" s="66" t="e">
        <f>Emissions!L13/Results!N7</f>
        <v>#REF!</v>
      </c>
      <c r="O42" s="66" t="e">
        <f>Emissions!M13/Results!O7</f>
        <v>#REF!</v>
      </c>
      <c r="P42" s="66" t="e">
        <f>Emissions!N13/Results!P7</f>
        <v>#REF!</v>
      </c>
      <c r="Q42" s="66" t="e">
        <f>Emissions!O13/Results!Q7</f>
        <v>#REF!</v>
      </c>
      <c r="R42" s="66" t="e">
        <f>Emissions!P13/Results!R7</f>
        <v>#REF!</v>
      </c>
      <c r="S42" s="66" t="e">
        <f>Emissions!Q13/Results!S7</f>
        <v>#REF!</v>
      </c>
      <c r="T42" s="66" t="e">
        <f>Emissions!R13/Results!T7</f>
        <v>#REF!</v>
      </c>
      <c r="U42" s="66" t="e">
        <f>Emissions!S13/Results!U7</f>
        <v>#REF!</v>
      </c>
      <c r="V42" s="66" t="e">
        <f>Emissions!T13/Results!V7</f>
        <v>#REF!</v>
      </c>
      <c r="W42" s="66" t="e">
        <f>Emissions!U13/Results!W7</f>
        <v>#REF!</v>
      </c>
      <c r="X42" s="66" t="e">
        <f>Emissions!V13/Results!X7</f>
        <v>#REF!</v>
      </c>
      <c r="Y42" s="66" t="e">
        <f>Emissions!W13/Results!Y7</f>
        <v>#REF!</v>
      </c>
      <c r="Z42" s="66" t="e">
        <f>Emissions!X13/Results!Z7</f>
        <v>#REF!</v>
      </c>
      <c r="AA42" s="231"/>
    </row>
    <row r="43" spans="1:29" ht="15" hidden="1" thickBot="1">
      <c r="A43" s="1" t="s">
        <v>34</v>
      </c>
      <c r="B43" s="229">
        <f>SUM(C43:Z43)</f>
        <v>0</v>
      </c>
      <c r="C43" s="23" t="s">
        <v>4</v>
      </c>
      <c r="D43" s="23" t="s">
        <v>4</v>
      </c>
      <c r="E43" s="23" t="s">
        <v>4</v>
      </c>
      <c r="F43" s="23" t="s">
        <v>4</v>
      </c>
      <c r="G43" s="23">
        <f>'Crash Reduction'!B40/Results!G7</f>
        <v>0</v>
      </c>
      <c r="H43" s="23">
        <f>'Crash Reduction'!C40/Results!H7</f>
        <v>0</v>
      </c>
      <c r="I43" s="23">
        <f>'Crash Reduction'!D40/Results!I7</f>
        <v>0</v>
      </c>
      <c r="J43" s="23">
        <f>'Crash Reduction'!E40/Results!J7</f>
        <v>0</v>
      </c>
      <c r="K43" s="23">
        <f>'Crash Reduction'!F40/Results!K7</f>
        <v>0</v>
      </c>
      <c r="L43" s="23">
        <f>'Crash Reduction'!G40/Results!L7</f>
        <v>0</v>
      </c>
      <c r="M43" s="23">
        <f>'Crash Reduction'!H40/Results!M7</f>
        <v>0</v>
      </c>
      <c r="N43" s="23">
        <f>'Crash Reduction'!I40/Results!N7</f>
        <v>0</v>
      </c>
      <c r="O43" s="23">
        <f>'Crash Reduction'!J40/Results!O7</f>
        <v>0</v>
      </c>
      <c r="P43" s="23">
        <f>'Crash Reduction'!K40/Results!P7</f>
        <v>0</v>
      </c>
      <c r="Q43" s="23">
        <f>'Crash Reduction'!L40/Results!Q7</f>
        <v>0</v>
      </c>
      <c r="R43" s="23">
        <f>'Crash Reduction'!M40/Results!R7</f>
        <v>0</v>
      </c>
      <c r="S43" s="23">
        <f>'Crash Reduction'!N40/Results!S7</f>
        <v>0</v>
      </c>
      <c r="T43" s="23">
        <f>'Crash Reduction'!O40/Results!T7</f>
        <v>0</v>
      </c>
      <c r="U43" s="23">
        <f>'Crash Reduction'!P40/Results!U7</f>
        <v>0</v>
      </c>
      <c r="V43" s="23">
        <f>'Crash Reduction'!Q40/Results!V7</f>
        <v>0</v>
      </c>
      <c r="W43" s="23">
        <f>'Crash Reduction'!R40/Results!W7</f>
        <v>0</v>
      </c>
      <c r="X43" s="23">
        <f>'Crash Reduction'!S40/Results!X7</f>
        <v>0</v>
      </c>
      <c r="Y43" s="23">
        <f>'Crash Reduction'!T40/Results!Y7</f>
        <v>0</v>
      </c>
      <c r="Z43" s="23">
        <f>'Crash Reduction'!U40/Results!Z7</f>
        <v>0</v>
      </c>
      <c r="AA43" s="231"/>
    </row>
    <row r="44" spans="1:29" ht="15" hidden="1" thickBot="1">
      <c r="A44" s="1" t="s">
        <v>35</v>
      </c>
      <c r="B44" s="229">
        <f>SUM(C44:Z44)</f>
        <v>0</v>
      </c>
      <c r="C44" s="23"/>
      <c r="D44" s="23"/>
      <c r="E44" s="23"/>
      <c r="F44" s="23"/>
      <c r="G44" s="23">
        <f>'Reduced Pavement Damage'!B6/G7</f>
        <v>0</v>
      </c>
      <c r="H44" s="23">
        <f>'Reduced Pavement Damage'!C6/H7</f>
        <v>0</v>
      </c>
      <c r="I44" s="23">
        <f>'Reduced Pavement Damage'!D6/I7</f>
        <v>0</v>
      </c>
      <c r="J44" s="23">
        <f>'Reduced Pavement Damage'!E6/J7</f>
        <v>0</v>
      </c>
      <c r="K44" s="23">
        <f>'Reduced Pavement Damage'!F6/K7</f>
        <v>0</v>
      </c>
      <c r="L44" s="23">
        <f>'Reduced Pavement Damage'!G6/L7</f>
        <v>0</v>
      </c>
      <c r="M44" s="23">
        <f>'Reduced Pavement Damage'!H6/M7</f>
        <v>0</v>
      </c>
      <c r="N44" s="23">
        <f>'Reduced Pavement Damage'!I6/N7</f>
        <v>0</v>
      </c>
      <c r="O44" s="23">
        <f>'Reduced Pavement Damage'!J6/O7</f>
        <v>0</v>
      </c>
      <c r="P44" s="23">
        <f>'Reduced Pavement Damage'!K6/P7</f>
        <v>0</v>
      </c>
      <c r="Q44" s="23">
        <f>'Reduced Pavement Damage'!L6/Q7</f>
        <v>0</v>
      </c>
      <c r="R44" s="23">
        <f>'Reduced Pavement Damage'!M6/R7</f>
        <v>0</v>
      </c>
      <c r="S44" s="23">
        <f>'Reduced Pavement Damage'!N6/S7</f>
        <v>0</v>
      </c>
      <c r="T44" s="23">
        <f>'Reduced Pavement Damage'!O6/T7</f>
        <v>0</v>
      </c>
      <c r="U44" s="23">
        <f>'Reduced Pavement Damage'!P6/U7</f>
        <v>0</v>
      </c>
      <c r="V44" s="23">
        <f>'Reduced Pavement Damage'!Q6/V7</f>
        <v>0</v>
      </c>
      <c r="W44" s="23">
        <f>'Reduced Pavement Damage'!R6/W7</f>
        <v>0</v>
      </c>
      <c r="X44" s="23">
        <f>'Reduced Pavement Damage'!S6/X7</f>
        <v>0</v>
      </c>
      <c r="Y44" s="23">
        <f>'Reduced Pavement Damage'!T6/Y7</f>
        <v>0</v>
      </c>
      <c r="Z44" s="23">
        <f>'Reduced Pavement Damage'!U6/Z7</f>
        <v>0</v>
      </c>
      <c r="AA44" s="231"/>
    </row>
    <row r="45" spans="1:29" ht="15" hidden="1" thickBot="1">
      <c r="A45" t="s">
        <v>36</v>
      </c>
      <c r="B45" s="229" t="e">
        <f>SUM(B41:B44)</f>
        <v>#REF!</v>
      </c>
      <c r="C45" s="235" t="s">
        <v>37</v>
      </c>
      <c r="D45" s="235"/>
      <c r="E45" s="235"/>
      <c r="F45" s="235"/>
      <c r="G45" s="235"/>
      <c r="H45" s="235"/>
      <c r="I45" s="235"/>
      <c r="J45" s="23"/>
      <c r="K45" s="23"/>
      <c r="L45" s="23"/>
      <c r="M45" s="23"/>
      <c r="N45" s="23"/>
      <c r="O45" s="23"/>
      <c r="P45" s="23"/>
      <c r="Q45" s="23"/>
      <c r="R45" s="23"/>
      <c r="S45" s="23"/>
      <c r="T45" s="23"/>
      <c r="U45" s="23"/>
      <c r="V45" s="23"/>
      <c r="W45" s="23"/>
      <c r="X45" s="23"/>
      <c r="Y45" s="23"/>
      <c r="Z45" s="23"/>
    </row>
    <row r="46" spans="1:29" ht="15" hidden="1" thickBot="1">
      <c r="A46" s="83"/>
      <c r="B46" s="236"/>
      <c r="C46" s="235"/>
      <c r="D46" s="235"/>
      <c r="E46" s="235"/>
      <c r="F46" s="235"/>
      <c r="G46" s="235"/>
      <c r="H46" s="235"/>
      <c r="I46" s="235"/>
      <c r="J46" s="23"/>
      <c r="K46" s="23"/>
      <c r="L46" s="23"/>
      <c r="M46" s="23"/>
      <c r="N46" s="23"/>
      <c r="O46" s="23"/>
      <c r="P46" s="23"/>
      <c r="Q46" s="23"/>
      <c r="R46" s="23"/>
      <c r="S46" s="23"/>
      <c r="T46" s="23"/>
      <c r="U46" s="23"/>
      <c r="V46" s="23"/>
      <c r="W46" s="23"/>
      <c r="X46" s="23"/>
      <c r="Y46" s="23"/>
      <c r="Z46" s="23"/>
    </row>
    <row r="47" spans="1:29" ht="15" thickBot="1">
      <c r="A47" s="237" t="s">
        <v>38</v>
      </c>
      <c r="B47" s="238">
        <f>SUM(B17:B37)</f>
        <v>6751929.3004892692</v>
      </c>
      <c r="J47" s="11"/>
      <c r="K47" s="11"/>
      <c r="L47" s="11"/>
      <c r="M47" s="11"/>
      <c r="N47" s="11"/>
      <c r="O47" s="11"/>
      <c r="P47" s="11"/>
      <c r="Q47" s="11"/>
      <c r="R47" s="11"/>
      <c r="S47" s="11"/>
      <c r="T47" s="11"/>
      <c r="U47" s="11"/>
      <c r="V47" s="11"/>
      <c r="W47" s="11"/>
      <c r="X47" s="11"/>
      <c r="Y47" s="11"/>
      <c r="Z47" s="11"/>
    </row>
    <row r="48" spans="1:29" ht="15" thickBot="1">
      <c r="A48" s="83"/>
      <c r="B48" s="21"/>
      <c r="J48" s="11"/>
      <c r="K48" s="11"/>
      <c r="L48" s="11"/>
      <c r="M48" s="11"/>
      <c r="N48" s="11"/>
      <c r="O48" s="11"/>
      <c r="P48" s="11"/>
      <c r="Q48" s="11"/>
      <c r="R48" s="11"/>
      <c r="S48" s="11"/>
      <c r="T48" s="11"/>
      <c r="U48" s="11"/>
      <c r="V48" s="11"/>
      <c r="W48" s="11"/>
      <c r="X48" s="11"/>
      <c r="Y48" s="11"/>
      <c r="Z48" s="11"/>
    </row>
    <row r="49" spans="1:26">
      <c r="A49" s="239" t="s">
        <v>39</v>
      </c>
      <c r="B49" s="240"/>
      <c r="J49" s="11"/>
      <c r="K49" s="11"/>
      <c r="L49" s="11"/>
      <c r="M49" s="11"/>
      <c r="N49" s="11"/>
      <c r="O49" s="11"/>
      <c r="P49" s="11"/>
      <c r="Q49" s="11"/>
      <c r="R49" s="11"/>
      <c r="S49" s="11"/>
      <c r="T49" s="11"/>
      <c r="U49" s="11"/>
      <c r="V49" s="11"/>
      <c r="W49" s="11"/>
      <c r="X49" s="11"/>
      <c r="Y49" s="11"/>
      <c r="Z49" s="11"/>
    </row>
    <row r="50" spans="1:26">
      <c r="A50" s="79" t="s">
        <v>40</v>
      </c>
      <c r="B50" s="241">
        <f>B47/B14</f>
        <v>2.0389666757952645</v>
      </c>
    </row>
    <row r="51" spans="1:26" ht="15" thickBot="1">
      <c r="A51" s="84" t="s">
        <v>41</v>
      </c>
      <c r="B51" s="242">
        <f>B47-B14</f>
        <v>3440482.6836112402</v>
      </c>
    </row>
    <row r="52" spans="1:26">
      <c r="B52" s="145"/>
    </row>
    <row r="53" spans="1:26">
      <c r="B53" s="22"/>
    </row>
    <row r="54" spans="1:26">
      <c r="A54" s="17" t="s">
        <v>42</v>
      </c>
      <c r="J54" t="s">
        <v>8</v>
      </c>
    </row>
    <row r="55" spans="1:26">
      <c r="A55" t="s">
        <v>43</v>
      </c>
      <c r="B55" s="146">
        <f>SUM(B19:B29)/B47</f>
        <v>0.63216603377689273</v>
      </c>
    </row>
    <row r="56" spans="1:26">
      <c r="A56" t="s">
        <v>44</v>
      </c>
      <c r="B56" s="146">
        <f>SUM(B34:B35)/B47</f>
        <v>0.30953357379257679</v>
      </c>
    </row>
    <row r="57" spans="1:26">
      <c r="C57" s="6"/>
    </row>
    <row r="58" spans="1:26">
      <c r="A58" s="17" t="s">
        <v>45</v>
      </c>
      <c r="B58" s="146"/>
      <c r="C58" s="6"/>
    </row>
    <row r="59" spans="1:26">
      <c r="A59" t="s">
        <v>46</v>
      </c>
      <c r="B59" s="208">
        <f>B20/$B$47</f>
        <v>0.36020824193602469</v>
      </c>
    </row>
    <row r="60" spans="1:26">
      <c r="A60" t="s">
        <v>47</v>
      </c>
      <c r="B60" s="208">
        <f>SUM(B22:B23,B34)/$B$47</f>
        <v>0.29629278667322684</v>
      </c>
    </row>
    <row r="61" spans="1:26">
      <c r="A61" t="s">
        <v>48</v>
      </c>
      <c r="B61" s="208">
        <f>SUM(B35,B25:B26)/$B$47</f>
        <v>0.27330908964428297</v>
      </c>
    </row>
    <row r="62" spans="1:26">
      <c r="A62" t="s">
        <v>49</v>
      </c>
      <c r="B62" s="208">
        <f>SUM(B36:B37,B28:B29)/$B$47</f>
        <v>7.0189881746465538E-2</v>
      </c>
    </row>
    <row r="63" spans="1:26">
      <c r="B63" s="243"/>
    </row>
    <row r="65" spans="1:2">
      <c r="A65" s="16" t="s">
        <v>50</v>
      </c>
    </row>
    <row r="66" spans="1:2">
      <c r="A66" t="s">
        <v>51</v>
      </c>
    </row>
    <row r="67" spans="1:2">
      <c r="A67" t="s">
        <v>52</v>
      </c>
    </row>
    <row r="68" spans="1:2">
      <c r="A68" t="s">
        <v>53</v>
      </c>
    </row>
    <row r="70" spans="1:2">
      <c r="B70">
        <f>B28/B36</f>
        <v>0.26476557849183402</v>
      </c>
    </row>
  </sheetData>
  <pageMargins left="0.25" right="0.25" top="0.75" bottom="0.75" header="0.3" footer="0.3"/>
  <pageSetup paperSize="3" pageOrder="overThenDown"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B6051-F2CD-40C4-8170-27E5BBD05F83}">
  <sheetPr>
    <tabColor theme="9" tint="0.59999389629810485"/>
  </sheetPr>
  <dimension ref="A1:V41"/>
  <sheetViews>
    <sheetView topLeftCell="A13" zoomScale="96" zoomScaleNormal="96" workbookViewId="0">
      <selection activeCell="I9" sqref="I9"/>
    </sheetView>
  </sheetViews>
  <sheetFormatPr defaultColWidth="8.81640625" defaultRowHeight="14.5"/>
  <cols>
    <col min="1" max="1" width="15.54296875" customWidth="1"/>
    <col min="2" max="5" width="10.81640625" customWidth="1"/>
    <col min="6" max="7" width="12.81640625" customWidth="1"/>
    <col min="8" max="21" width="10.81640625" customWidth="1"/>
    <col min="22" max="22" width="11" bestFit="1" customWidth="1"/>
  </cols>
  <sheetData>
    <row r="1" spans="1:20" ht="18.5">
      <c r="A1" s="4" t="s">
        <v>142</v>
      </c>
    </row>
    <row r="2" spans="1:20">
      <c r="B2" s="35"/>
    </row>
    <row r="3" spans="1:20" ht="15" thickBot="1">
      <c r="A3" s="19"/>
      <c r="C3" s="14"/>
    </row>
    <row r="4" spans="1:20" ht="15" thickBot="1">
      <c r="K4" s="273" t="s">
        <v>143</v>
      </c>
      <c r="L4" s="274"/>
      <c r="M4" s="274"/>
      <c r="N4" s="274"/>
      <c r="O4" s="274"/>
      <c r="P4" s="274"/>
      <c r="Q4" s="274"/>
      <c r="R4" s="274"/>
      <c r="S4" s="274"/>
      <c r="T4" s="275"/>
    </row>
    <row r="5" spans="1:20">
      <c r="A5" s="96" t="s">
        <v>144</v>
      </c>
      <c r="B5" s="55"/>
      <c r="C5" s="55"/>
      <c r="D5" s="56"/>
      <c r="F5" s="96" t="s">
        <v>145</v>
      </c>
      <c r="G5" s="56"/>
      <c r="K5" s="276" t="s">
        <v>146</v>
      </c>
      <c r="L5" s="266"/>
      <c r="M5" s="266"/>
      <c r="N5" s="266"/>
      <c r="O5" s="266"/>
      <c r="P5" s="266"/>
      <c r="Q5" s="266"/>
      <c r="R5" s="266"/>
      <c r="S5" s="266"/>
      <c r="T5" s="267"/>
    </row>
    <row r="6" spans="1:20">
      <c r="A6" s="79"/>
      <c r="D6" s="98"/>
      <c r="F6" s="79"/>
      <c r="G6" s="98"/>
      <c r="K6" s="86"/>
      <c r="L6" s="87"/>
      <c r="M6" s="87"/>
      <c r="N6" s="87"/>
      <c r="O6" s="87"/>
      <c r="P6" s="87"/>
      <c r="Q6" s="87"/>
      <c r="R6" s="87"/>
      <c r="S6" s="87"/>
      <c r="T6" s="88"/>
    </row>
    <row r="7" spans="1:20">
      <c r="A7" s="79" t="s">
        <v>147</v>
      </c>
      <c r="B7" s="129">
        <f>M25</f>
        <v>5005</v>
      </c>
      <c r="C7" s="89">
        <f>B7/B11</f>
        <v>9.302973977695167E-3</v>
      </c>
      <c r="D7" s="98"/>
      <c r="F7" s="132">
        <f>'Look Up Data'!H62</f>
        <v>11600000</v>
      </c>
      <c r="G7" s="98"/>
      <c r="K7" s="277" t="s">
        <v>148</v>
      </c>
      <c r="L7" s="278"/>
      <c r="M7" s="279" t="s">
        <v>149</v>
      </c>
      <c r="N7" s="279"/>
      <c r="O7" s="279"/>
      <c r="P7" s="279"/>
      <c r="Q7" s="279"/>
      <c r="R7" s="279"/>
      <c r="S7" s="279"/>
      <c r="T7" s="280"/>
    </row>
    <row r="8" spans="1:20">
      <c r="A8" s="79" t="s">
        <v>150</v>
      </c>
      <c r="B8" s="129">
        <f>O25</f>
        <v>119000</v>
      </c>
      <c r="C8" s="89">
        <f>B8/B11</f>
        <v>0.22118959107806691</v>
      </c>
      <c r="D8" s="98"/>
      <c r="F8" s="133">
        <v>284100</v>
      </c>
      <c r="G8" s="98"/>
      <c r="K8" s="277"/>
      <c r="L8" s="278"/>
      <c r="M8" s="281" t="s">
        <v>151</v>
      </c>
      <c r="N8" s="279"/>
      <c r="O8" s="281" t="s">
        <v>152</v>
      </c>
      <c r="P8" s="279"/>
      <c r="Q8" s="282" t="s">
        <v>153</v>
      </c>
      <c r="R8" s="282"/>
      <c r="S8" s="281" t="s">
        <v>68</v>
      </c>
      <c r="T8" s="280"/>
    </row>
    <row r="9" spans="1:20">
      <c r="A9" s="79" t="s">
        <v>154</v>
      </c>
      <c r="B9" s="129">
        <f>Q25</f>
        <v>414000</v>
      </c>
      <c r="C9" s="89">
        <f>B9/B11</f>
        <v>0.76951672862453535</v>
      </c>
      <c r="D9" s="98"/>
      <c r="F9" s="133">
        <v>4500</v>
      </c>
      <c r="G9" s="98"/>
      <c r="K9" s="277"/>
      <c r="L9" s="278"/>
      <c r="M9" s="90" t="s">
        <v>155</v>
      </c>
      <c r="N9" s="90" t="s">
        <v>156</v>
      </c>
      <c r="O9" s="90" t="s">
        <v>155</v>
      </c>
      <c r="P9" s="90" t="s">
        <v>156</v>
      </c>
      <c r="Q9" s="90" t="s">
        <v>155</v>
      </c>
      <c r="R9" s="90" t="s">
        <v>156</v>
      </c>
      <c r="S9" s="90" t="s">
        <v>155</v>
      </c>
      <c r="T9" s="91" t="s">
        <v>156</v>
      </c>
    </row>
    <row r="10" spans="1:20">
      <c r="A10" s="79"/>
      <c r="D10" s="98"/>
      <c r="F10" s="132"/>
      <c r="G10" s="98"/>
      <c r="K10" s="283" t="s">
        <v>157</v>
      </c>
      <c r="L10" s="92" t="s">
        <v>158</v>
      </c>
      <c r="M10" s="93">
        <v>2153</v>
      </c>
      <c r="N10" s="94">
        <v>43</v>
      </c>
      <c r="O10" s="93">
        <v>50000</v>
      </c>
      <c r="P10" s="94">
        <v>42.1</v>
      </c>
      <c r="Q10" s="93">
        <v>121000</v>
      </c>
      <c r="R10" s="94">
        <v>29.3</v>
      </c>
      <c r="S10" s="93">
        <v>173000</v>
      </c>
      <c r="T10" s="95">
        <v>32.299999999999997</v>
      </c>
    </row>
    <row r="11" spans="1:20" ht="15" thickBot="1">
      <c r="A11" s="84" t="s">
        <v>159</v>
      </c>
      <c r="B11" s="130">
        <f>S25</f>
        <v>538000</v>
      </c>
      <c r="C11" s="131">
        <v>1</v>
      </c>
      <c r="D11" s="101"/>
      <c r="F11" s="134"/>
      <c r="G11" s="101"/>
      <c r="K11" s="284"/>
      <c r="L11" s="92" t="s">
        <v>160</v>
      </c>
      <c r="M11" s="93">
        <v>364</v>
      </c>
      <c r="N11" s="94">
        <v>7.3</v>
      </c>
      <c r="O11" s="93">
        <v>11000</v>
      </c>
      <c r="P11" s="94">
        <v>9</v>
      </c>
      <c r="Q11" s="93">
        <v>53000</v>
      </c>
      <c r="R11" s="94">
        <v>12.8</v>
      </c>
      <c r="S11" s="93">
        <v>64000</v>
      </c>
      <c r="T11" s="95">
        <v>11.9</v>
      </c>
    </row>
    <row r="12" spans="1:20">
      <c r="K12" s="284"/>
      <c r="L12" s="92" t="s">
        <v>161</v>
      </c>
      <c r="M12" s="93">
        <v>238</v>
      </c>
      <c r="N12" s="94">
        <v>4.8</v>
      </c>
      <c r="O12" s="93">
        <v>13000</v>
      </c>
      <c r="P12" s="94">
        <v>10.6</v>
      </c>
      <c r="Q12" s="93">
        <v>57000</v>
      </c>
      <c r="R12" s="94">
        <v>13.7</v>
      </c>
      <c r="S12" s="93">
        <v>70000</v>
      </c>
      <c r="T12" s="95">
        <v>12.9</v>
      </c>
    </row>
    <row r="13" spans="1:20" ht="15" thickBot="1">
      <c r="K13" s="284"/>
      <c r="L13" s="92" t="s">
        <v>162</v>
      </c>
      <c r="M13" s="93">
        <v>904</v>
      </c>
      <c r="N13" s="94">
        <v>18.100000000000001</v>
      </c>
      <c r="O13" s="93">
        <v>25000</v>
      </c>
      <c r="P13" s="94">
        <v>21.4</v>
      </c>
      <c r="Q13" s="93">
        <v>83000</v>
      </c>
      <c r="R13" s="94">
        <v>20.100000000000001</v>
      </c>
      <c r="S13" s="93">
        <v>110000</v>
      </c>
      <c r="T13" s="95">
        <v>20.399999999999999</v>
      </c>
    </row>
    <row r="14" spans="1:20">
      <c r="A14" s="96" t="s">
        <v>163</v>
      </c>
      <c r="B14" s="55"/>
      <c r="C14" s="55"/>
      <c r="D14" s="55"/>
      <c r="E14" s="55"/>
      <c r="F14" s="55"/>
      <c r="G14" s="55"/>
      <c r="H14" s="55"/>
      <c r="I14" s="56"/>
      <c r="K14" s="284"/>
      <c r="L14" s="92" t="s">
        <v>164</v>
      </c>
      <c r="M14" s="93">
        <v>77</v>
      </c>
      <c r="N14" s="94">
        <v>1.5</v>
      </c>
      <c r="O14" s="93">
        <v>0</v>
      </c>
      <c r="P14" s="94">
        <v>0</v>
      </c>
      <c r="Q14" s="93">
        <v>1000</v>
      </c>
      <c r="R14" s="94">
        <v>0.1</v>
      </c>
      <c r="S14" s="93">
        <v>1000</v>
      </c>
      <c r="T14" s="95">
        <v>0.1</v>
      </c>
    </row>
    <row r="15" spans="1:20" ht="15" thickBot="1">
      <c r="A15" s="79"/>
      <c r="B15" s="97" t="s">
        <v>165</v>
      </c>
      <c r="I15" s="98"/>
      <c r="K15" s="284"/>
      <c r="L15" s="92" t="s">
        <v>68</v>
      </c>
      <c r="M15" s="93">
        <v>3736</v>
      </c>
      <c r="N15" s="94">
        <v>74.599999999999994</v>
      </c>
      <c r="O15" s="93">
        <v>99000</v>
      </c>
      <c r="P15" s="94">
        <v>83.1</v>
      </c>
      <c r="Q15" s="93">
        <v>315000</v>
      </c>
      <c r="R15" s="94">
        <v>76.099999999999994</v>
      </c>
      <c r="S15" s="93">
        <v>417000</v>
      </c>
      <c r="T15" s="95">
        <v>77.599999999999994</v>
      </c>
    </row>
    <row r="16" spans="1:20" ht="36.5" thickBot="1">
      <c r="A16" s="99">
        <f>F7*C7+F8*C8+F9*C9</f>
        <v>174217.28624535314</v>
      </c>
      <c r="B16" s="100"/>
      <c r="C16" s="100"/>
      <c r="D16" s="100"/>
      <c r="E16" s="100"/>
      <c r="F16" s="100"/>
      <c r="G16" s="100"/>
      <c r="H16" s="100"/>
      <c r="I16" s="101"/>
      <c r="K16" s="285" t="s">
        <v>166</v>
      </c>
      <c r="L16" s="102" t="s">
        <v>167</v>
      </c>
      <c r="M16" s="93">
        <v>211</v>
      </c>
      <c r="N16" s="94">
        <v>4.2</v>
      </c>
      <c r="O16" s="93">
        <v>6000</v>
      </c>
      <c r="P16" s="94">
        <v>4.8</v>
      </c>
      <c r="Q16" s="93">
        <v>41000</v>
      </c>
      <c r="R16" s="94">
        <v>10</v>
      </c>
      <c r="S16" s="93">
        <v>47000</v>
      </c>
      <c r="T16" s="95">
        <v>8.8000000000000007</v>
      </c>
    </row>
    <row r="17" spans="1:21">
      <c r="K17" s="284"/>
      <c r="L17" s="92" t="s">
        <v>68</v>
      </c>
      <c r="M17" s="93">
        <v>211</v>
      </c>
      <c r="N17" s="94">
        <v>4.2</v>
      </c>
      <c r="O17" s="93">
        <v>6000</v>
      </c>
      <c r="P17" s="94">
        <v>4.8</v>
      </c>
      <c r="Q17" s="93">
        <v>41000</v>
      </c>
      <c r="R17" s="94">
        <v>10</v>
      </c>
      <c r="S17" s="93">
        <v>47000</v>
      </c>
      <c r="T17" s="95">
        <v>8.8000000000000007</v>
      </c>
    </row>
    <row r="18" spans="1:21" ht="15" thickBot="1">
      <c r="K18" s="285" t="s">
        <v>168</v>
      </c>
      <c r="L18" s="92" t="s">
        <v>169</v>
      </c>
      <c r="M18" s="93">
        <v>524</v>
      </c>
      <c r="N18" s="94">
        <v>10.5</v>
      </c>
      <c r="O18" s="93">
        <v>3000</v>
      </c>
      <c r="P18" s="94">
        <v>2.2000000000000002</v>
      </c>
      <c r="Q18" s="93" t="s">
        <v>4</v>
      </c>
      <c r="R18" s="103" t="s">
        <v>4</v>
      </c>
      <c r="S18" s="93">
        <v>3000</v>
      </c>
      <c r="T18" s="95">
        <v>0.6</v>
      </c>
    </row>
    <row r="19" spans="1:21" ht="15" thickBot="1">
      <c r="A19" s="96" t="s">
        <v>170</v>
      </c>
      <c r="B19" s="55"/>
      <c r="C19" s="55"/>
      <c r="D19" s="55"/>
      <c r="E19" s="55"/>
      <c r="F19" s="104">
        <f>F21/F22</f>
        <v>1.7930344942509582</v>
      </c>
      <c r="G19" s="56"/>
      <c r="K19" s="284"/>
      <c r="L19" s="92" t="s">
        <v>171</v>
      </c>
      <c r="M19" s="93">
        <v>111</v>
      </c>
      <c r="N19" s="94">
        <v>2.2000000000000002</v>
      </c>
      <c r="O19" s="93">
        <v>4000</v>
      </c>
      <c r="P19" s="94">
        <v>3.7</v>
      </c>
      <c r="Q19" s="93">
        <v>45000</v>
      </c>
      <c r="R19" s="94">
        <v>10.8</v>
      </c>
      <c r="S19" s="93">
        <v>49000</v>
      </c>
      <c r="T19" s="95">
        <v>9.1999999999999993</v>
      </c>
    </row>
    <row r="20" spans="1:21" ht="13.75" customHeight="1">
      <c r="A20" s="79"/>
      <c r="E20" s="105"/>
      <c r="F20" s="106"/>
      <c r="G20" s="98"/>
      <c r="K20" s="284"/>
      <c r="L20" s="92" t="s">
        <v>68</v>
      </c>
      <c r="M20" s="93">
        <v>635</v>
      </c>
      <c r="N20" s="94">
        <v>12.7</v>
      </c>
      <c r="O20" s="93">
        <v>7000</v>
      </c>
      <c r="P20" s="94">
        <v>5.9</v>
      </c>
      <c r="Q20" s="93">
        <v>45000</v>
      </c>
      <c r="R20" s="94">
        <v>10.8</v>
      </c>
      <c r="S20" s="93">
        <v>53000</v>
      </c>
      <c r="T20" s="95">
        <v>9.8000000000000007</v>
      </c>
    </row>
    <row r="21" spans="1:21">
      <c r="A21" s="79" t="s">
        <v>172</v>
      </c>
      <c r="E21" s="105"/>
      <c r="F21" s="107">
        <f>B11</f>
        <v>538000</v>
      </c>
      <c r="G21" s="98"/>
      <c r="K21" s="285" t="s">
        <v>173</v>
      </c>
      <c r="L21" s="92" t="s">
        <v>173</v>
      </c>
      <c r="M21" s="93">
        <v>421</v>
      </c>
      <c r="N21" s="94">
        <v>8.4</v>
      </c>
      <c r="O21" s="93">
        <v>7000</v>
      </c>
      <c r="P21" s="94">
        <v>6.2</v>
      </c>
      <c r="Q21" s="93">
        <v>13000</v>
      </c>
      <c r="R21" s="94">
        <v>3.1</v>
      </c>
      <c r="S21" s="93">
        <v>21000</v>
      </c>
      <c r="T21" s="95">
        <v>3.8</v>
      </c>
    </row>
    <row r="22" spans="1:21" ht="15" thickBot="1">
      <c r="A22" s="84" t="s">
        <v>174</v>
      </c>
      <c r="B22" s="100"/>
      <c r="C22" s="100"/>
      <c r="D22" s="100"/>
      <c r="E22" s="108"/>
      <c r="F22" s="128">
        <v>300050</v>
      </c>
      <c r="G22" s="101"/>
      <c r="K22" s="284"/>
      <c r="L22" s="92" t="s">
        <v>68</v>
      </c>
      <c r="M22" s="93">
        <v>421</v>
      </c>
      <c r="N22" s="94">
        <v>8.4</v>
      </c>
      <c r="O22" s="93">
        <v>7000</v>
      </c>
      <c r="P22" s="94">
        <v>6.2</v>
      </c>
      <c r="Q22" s="93">
        <v>13000</v>
      </c>
      <c r="R22" s="94">
        <v>3.1</v>
      </c>
      <c r="S22" s="93">
        <v>21000</v>
      </c>
      <c r="T22" s="95">
        <v>3.8</v>
      </c>
    </row>
    <row r="23" spans="1:21">
      <c r="K23" s="285" t="s">
        <v>175</v>
      </c>
      <c r="L23" s="92" t="s">
        <v>175</v>
      </c>
      <c r="M23" s="93">
        <v>2</v>
      </c>
      <c r="N23" s="94">
        <v>0</v>
      </c>
      <c r="O23" s="93" t="s">
        <v>4</v>
      </c>
      <c r="P23" s="103" t="s">
        <v>4</v>
      </c>
      <c r="Q23" s="93" t="s">
        <v>4</v>
      </c>
      <c r="R23" s="103" t="s">
        <v>4</v>
      </c>
      <c r="S23" s="93">
        <v>0</v>
      </c>
      <c r="T23" s="95">
        <v>0</v>
      </c>
    </row>
    <row r="24" spans="1:21">
      <c r="K24" s="284"/>
      <c r="L24" s="92" t="s">
        <v>68</v>
      </c>
      <c r="M24" s="93">
        <v>2</v>
      </c>
      <c r="N24" s="94">
        <v>0</v>
      </c>
      <c r="O24" s="93" t="s">
        <v>4</v>
      </c>
      <c r="P24" s="103" t="s">
        <v>4</v>
      </c>
      <c r="Q24" s="93" t="s">
        <v>4</v>
      </c>
      <c r="R24" s="103" t="s">
        <v>4</v>
      </c>
      <c r="S24" s="93">
        <v>0</v>
      </c>
      <c r="T24" s="95">
        <v>0</v>
      </c>
    </row>
    <row r="25" spans="1:21">
      <c r="G25" s="6"/>
      <c r="K25" s="109" t="s">
        <v>68</v>
      </c>
      <c r="L25" s="92" t="s">
        <v>68</v>
      </c>
      <c r="M25" s="110">
        <v>5005</v>
      </c>
      <c r="N25" s="111">
        <v>100</v>
      </c>
      <c r="O25" s="110">
        <v>119000</v>
      </c>
      <c r="P25" s="111">
        <v>100</v>
      </c>
      <c r="Q25" s="110">
        <v>414000</v>
      </c>
      <c r="R25" s="111">
        <v>100</v>
      </c>
      <c r="S25" s="110">
        <v>538000</v>
      </c>
      <c r="T25" s="112">
        <v>100</v>
      </c>
    </row>
    <row r="26" spans="1:21">
      <c r="K26" s="86"/>
      <c r="L26" s="87"/>
      <c r="M26" s="87"/>
      <c r="N26" s="87"/>
      <c r="O26" s="87"/>
      <c r="P26" s="87"/>
      <c r="Q26" s="87"/>
      <c r="R26" s="87"/>
      <c r="S26" s="87"/>
      <c r="T26" s="88"/>
    </row>
    <row r="27" spans="1:21">
      <c r="K27" s="265" t="s">
        <v>176</v>
      </c>
      <c r="L27" s="266"/>
      <c r="M27" s="266"/>
      <c r="N27" s="266"/>
      <c r="O27" s="266"/>
      <c r="P27" s="266"/>
      <c r="Q27" s="266"/>
      <c r="R27" s="266"/>
      <c r="S27" s="266"/>
      <c r="T27" s="267"/>
    </row>
    <row r="28" spans="1:21">
      <c r="K28" s="265" t="s">
        <v>177</v>
      </c>
      <c r="L28" s="266"/>
      <c r="M28" s="266"/>
      <c r="N28" s="266"/>
      <c r="O28" s="266"/>
      <c r="P28" s="266"/>
      <c r="Q28" s="266"/>
      <c r="R28" s="266"/>
      <c r="S28" s="266"/>
      <c r="T28" s="267"/>
    </row>
    <row r="29" spans="1:21" ht="15" thickBot="1">
      <c r="K29" s="268" t="s">
        <v>178</v>
      </c>
      <c r="L29" s="269"/>
      <c r="M29" s="269"/>
      <c r="N29" s="269"/>
      <c r="O29" s="269"/>
      <c r="P29" s="269"/>
      <c r="Q29" s="269"/>
      <c r="R29" s="269"/>
      <c r="S29" s="269"/>
      <c r="T29" s="270"/>
    </row>
    <row r="30" spans="1:21">
      <c r="J30" s="113"/>
      <c r="K30" s="114"/>
      <c r="L30" s="115"/>
      <c r="M30" s="116"/>
      <c r="N30" s="117"/>
      <c r="O30" s="116"/>
      <c r="P30" s="117"/>
      <c r="Q30" s="116"/>
      <c r="R30" s="117"/>
      <c r="S30" s="118"/>
      <c r="T30" s="119"/>
      <c r="U30" s="113"/>
    </row>
    <row r="31" spans="1:21">
      <c r="J31" s="113"/>
      <c r="K31" s="271" t="s">
        <v>179</v>
      </c>
      <c r="L31" s="271"/>
      <c r="M31" s="271"/>
      <c r="N31" s="271"/>
      <c r="O31" s="271"/>
      <c r="P31" s="271"/>
      <c r="Q31" s="271"/>
      <c r="R31" s="120"/>
      <c r="S31" s="121"/>
      <c r="T31" s="120"/>
      <c r="U31" s="113"/>
    </row>
    <row r="32" spans="1:21">
      <c r="J32" s="113"/>
      <c r="K32" s="272" t="s">
        <v>180</v>
      </c>
      <c r="L32" s="271"/>
      <c r="M32" s="271"/>
      <c r="N32" s="271"/>
      <c r="O32" s="271"/>
      <c r="P32" s="271"/>
      <c r="Q32" s="271"/>
      <c r="R32" s="120"/>
      <c r="S32" s="121"/>
      <c r="T32" s="120"/>
      <c r="U32" s="113"/>
    </row>
    <row r="33" spans="1:22">
      <c r="J33" s="113"/>
      <c r="K33" s="122"/>
      <c r="L33" s="123"/>
      <c r="M33" s="121"/>
      <c r="N33" s="120"/>
      <c r="O33" s="121"/>
      <c r="P33" s="120"/>
      <c r="Q33" s="121"/>
      <c r="R33" s="120"/>
      <c r="S33" s="121"/>
      <c r="T33" s="120"/>
      <c r="U33" s="113"/>
    </row>
    <row r="34" spans="1:22">
      <c r="A34" s="124"/>
      <c r="J34" s="113"/>
      <c r="K34" s="125"/>
      <c r="L34" s="123"/>
      <c r="M34" s="121"/>
      <c r="N34" s="120"/>
      <c r="O34" s="121"/>
      <c r="P34" s="126"/>
      <c r="Q34" s="121"/>
      <c r="R34" s="126"/>
      <c r="S34" s="121"/>
      <c r="T34" s="120"/>
      <c r="U34" s="113"/>
    </row>
    <row r="35" spans="1:22">
      <c r="J35" s="113"/>
      <c r="K35" s="122"/>
      <c r="L35" s="123"/>
      <c r="M35" s="121"/>
      <c r="N35" s="120"/>
      <c r="O35" s="121"/>
      <c r="P35" s="126"/>
      <c r="Q35" s="121"/>
      <c r="R35" s="126"/>
      <c r="S35" s="121"/>
      <c r="T35" s="120"/>
      <c r="U35" s="113"/>
    </row>
    <row r="36" spans="1:22">
      <c r="A36" s="69"/>
    </row>
    <row r="37" spans="1:22">
      <c r="A37" s="20"/>
    </row>
    <row r="39" spans="1:22">
      <c r="A39" s="75"/>
      <c r="B39">
        <v>2024</v>
      </c>
      <c r="C39">
        <f>B39+1</f>
        <v>2025</v>
      </c>
      <c r="D39">
        <f t="shared" ref="D39:U39" si="0">C39+1</f>
        <v>2026</v>
      </c>
      <c r="E39">
        <f t="shared" si="0"/>
        <v>2027</v>
      </c>
      <c r="F39">
        <f t="shared" si="0"/>
        <v>2028</v>
      </c>
      <c r="G39">
        <f t="shared" si="0"/>
        <v>2029</v>
      </c>
      <c r="H39">
        <f t="shared" si="0"/>
        <v>2030</v>
      </c>
      <c r="I39">
        <f t="shared" si="0"/>
        <v>2031</v>
      </c>
      <c r="J39">
        <f t="shared" si="0"/>
        <v>2032</v>
      </c>
      <c r="K39">
        <f t="shared" si="0"/>
        <v>2033</v>
      </c>
      <c r="L39">
        <f t="shared" si="0"/>
        <v>2034</v>
      </c>
      <c r="M39">
        <f t="shared" si="0"/>
        <v>2035</v>
      </c>
      <c r="N39">
        <f t="shared" si="0"/>
        <v>2036</v>
      </c>
      <c r="O39">
        <f t="shared" si="0"/>
        <v>2037</v>
      </c>
      <c r="P39" s="64">
        <f t="shared" si="0"/>
        <v>2038</v>
      </c>
      <c r="Q39">
        <f t="shared" si="0"/>
        <v>2039</v>
      </c>
      <c r="R39">
        <f t="shared" si="0"/>
        <v>2040</v>
      </c>
      <c r="S39">
        <f t="shared" si="0"/>
        <v>2041</v>
      </c>
      <c r="T39">
        <f t="shared" si="0"/>
        <v>2042</v>
      </c>
      <c r="U39">
        <f t="shared" si="0"/>
        <v>2043</v>
      </c>
    </row>
    <row r="40" spans="1:22">
      <c r="A40" s="76"/>
      <c r="B40" s="65">
        <f>'Truck VMT VHT reductions'!B12/1000000*A16</f>
        <v>0</v>
      </c>
      <c r="C40" s="65">
        <f>B40</f>
        <v>0</v>
      </c>
      <c r="D40" s="65">
        <f t="shared" ref="D40:U40" si="1">C40</f>
        <v>0</v>
      </c>
      <c r="E40" s="65">
        <f t="shared" si="1"/>
        <v>0</v>
      </c>
      <c r="F40" s="65">
        <f t="shared" si="1"/>
        <v>0</v>
      </c>
      <c r="G40" s="65">
        <f t="shared" si="1"/>
        <v>0</v>
      </c>
      <c r="H40" s="65">
        <f t="shared" si="1"/>
        <v>0</v>
      </c>
      <c r="I40" s="65">
        <f t="shared" si="1"/>
        <v>0</v>
      </c>
      <c r="J40" s="65">
        <f t="shared" si="1"/>
        <v>0</v>
      </c>
      <c r="K40" s="65">
        <f t="shared" si="1"/>
        <v>0</v>
      </c>
      <c r="L40" s="65">
        <f t="shared" si="1"/>
        <v>0</v>
      </c>
      <c r="M40" s="65">
        <f t="shared" si="1"/>
        <v>0</v>
      </c>
      <c r="N40" s="65">
        <f t="shared" si="1"/>
        <v>0</v>
      </c>
      <c r="O40" s="65">
        <f t="shared" si="1"/>
        <v>0</v>
      </c>
      <c r="P40" s="65">
        <f t="shared" si="1"/>
        <v>0</v>
      </c>
      <c r="Q40" s="65">
        <f t="shared" si="1"/>
        <v>0</v>
      </c>
      <c r="R40" s="65">
        <f t="shared" si="1"/>
        <v>0</v>
      </c>
      <c r="S40" s="65">
        <f t="shared" si="1"/>
        <v>0</v>
      </c>
      <c r="T40" s="65">
        <f t="shared" si="1"/>
        <v>0</v>
      </c>
      <c r="U40" s="65">
        <f t="shared" si="1"/>
        <v>0</v>
      </c>
      <c r="V40" s="7"/>
    </row>
    <row r="41" spans="1:22">
      <c r="A41" s="76"/>
      <c r="B41" s="67">
        <f t="shared" ref="B41:N41" si="2">C41*(1/$M$24)</f>
        <v>0</v>
      </c>
      <c r="C41" s="67">
        <f t="shared" si="2"/>
        <v>0</v>
      </c>
      <c r="D41" s="67">
        <f t="shared" si="2"/>
        <v>0</v>
      </c>
      <c r="E41" s="67">
        <f t="shared" si="2"/>
        <v>0</v>
      </c>
      <c r="F41" s="67">
        <f t="shared" si="2"/>
        <v>0</v>
      </c>
      <c r="G41" s="67">
        <f t="shared" si="2"/>
        <v>0</v>
      </c>
      <c r="H41" s="67">
        <f t="shared" si="2"/>
        <v>0</v>
      </c>
      <c r="I41" s="67">
        <f t="shared" si="2"/>
        <v>0</v>
      </c>
      <c r="J41" s="67">
        <f t="shared" si="2"/>
        <v>0</v>
      </c>
      <c r="K41" s="67">
        <f t="shared" si="2"/>
        <v>0</v>
      </c>
      <c r="L41" s="67">
        <f t="shared" si="2"/>
        <v>0</v>
      </c>
      <c r="M41" s="67">
        <f t="shared" si="2"/>
        <v>0</v>
      </c>
      <c r="N41" s="67">
        <f t="shared" si="2"/>
        <v>0</v>
      </c>
      <c r="O41" s="67">
        <f t="shared" ref="O41" si="3">P41*(1/$M$24)</f>
        <v>0</v>
      </c>
      <c r="P41" s="68">
        <f t="shared" ref="P41" si="4">A33</f>
        <v>0</v>
      </c>
      <c r="Q41" s="67">
        <f t="shared" ref="Q41:U41" si="5">P41*($C25)</f>
        <v>0</v>
      </c>
      <c r="R41" s="67">
        <f t="shared" si="5"/>
        <v>0</v>
      </c>
      <c r="S41" s="67">
        <f t="shared" si="5"/>
        <v>0</v>
      </c>
      <c r="T41" s="67">
        <f t="shared" si="5"/>
        <v>0</v>
      </c>
      <c r="U41" s="67">
        <f t="shared" si="5"/>
        <v>0</v>
      </c>
      <c r="V41" s="7"/>
    </row>
  </sheetData>
  <mergeCells count="18">
    <mergeCell ref="K10:K15"/>
    <mergeCell ref="K16:K17"/>
    <mergeCell ref="K18:K20"/>
    <mergeCell ref="K21:K22"/>
    <mergeCell ref="K23:K24"/>
    <mergeCell ref="K4:T4"/>
    <mergeCell ref="K5:T5"/>
    <mergeCell ref="K7:L9"/>
    <mergeCell ref="M7:T7"/>
    <mergeCell ref="M8:N8"/>
    <mergeCell ref="O8:P8"/>
    <mergeCell ref="Q8:R8"/>
    <mergeCell ref="S8:T8"/>
    <mergeCell ref="K27:T27"/>
    <mergeCell ref="K28:T28"/>
    <mergeCell ref="K29:T29"/>
    <mergeCell ref="K31:Q31"/>
    <mergeCell ref="K32:Q3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3E14-5509-443A-9B35-01DEEE673D46}">
  <sheetPr>
    <tabColor theme="5" tint="-0.249977111117893"/>
  </sheetPr>
  <dimension ref="A2"/>
  <sheetViews>
    <sheetView workbookViewId="0">
      <selection activeCell="I17" sqref="I17"/>
    </sheetView>
  </sheetViews>
  <sheetFormatPr defaultColWidth="8.81640625" defaultRowHeight="14.5"/>
  <sheetData>
    <row r="2" spans="1:1">
      <c r="A2" s="16" t="s">
        <v>181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322D-A662-44AC-9490-AB52EFDDAC5E}">
  <sheetPr>
    <tabColor theme="9" tint="0.59999389629810485"/>
  </sheetPr>
  <dimension ref="A1:U6"/>
  <sheetViews>
    <sheetView workbookViewId="0">
      <selection activeCell="Q15" sqref="Q15"/>
    </sheetView>
  </sheetViews>
  <sheetFormatPr defaultRowHeight="14.5"/>
  <cols>
    <col min="2" max="2" width="9.54296875" bestFit="1" customWidth="1"/>
  </cols>
  <sheetData>
    <row r="1" spans="1:21" ht="18.5">
      <c r="A1" s="4" t="s">
        <v>35</v>
      </c>
    </row>
    <row r="5" spans="1:21">
      <c r="B5">
        <v>2024</v>
      </c>
      <c r="C5">
        <f>B5+1</f>
        <v>2025</v>
      </c>
      <c r="D5">
        <f t="shared" ref="D5:U5" si="0">C5+1</f>
        <v>2026</v>
      </c>
      <c r="E5">
        <f t="shared" si="0"/>
        <v>2027</v>
      </c>
      <c r="F5">
        <f t="shared" si="0"/>
        <v>2028</v>
      </c>
      <c r="G5">
        <f t="shared" si="0"/>
        <v>2029</v>
      </c>
      <c r="H5">
        <f t="shared" si="0"/>
        <v>2030</v>
      </c>
      <c r="I5">
        <f t="shared" si="0"/>
        <v>2031</v>
      </c>
      <c r="J5">
        <f t="shared" si="0"/>
        <v>2032</v>
      </c>
      <c r="K5">
        <f t="shared" si="0"/>
        <v>2033</v>
      </c>
      <c r="L5">
        <f t="shared" si="0"/>
        <v>2034</v>
      </c>
      <c r="M5">
        <f t="shared" si="0"/>
        <v>2035</v>
      </c>
      <c r="N5">
        <f t="shared" si="0"/>
        <v>2036</v>
      </c>
      <c r="O5">
        <f t="shared" si="0"/>
        <v>2037</v>
      </c>
      <c r="P5" s="64">
        <f t="shared" si="0"/>
        <v>2038</v>
      </c>
      <c r="Q5">
        <f t="shared" si="0"/>
        <v>2039</v>
      </c>
      <c r="R5">
        <f t="shared" si="0"/>
        <v>2040</v>
      </c>
      <c r="S5">
        <f t="shared" si="0"/>
        <v>2041</v>
      </c>
      <c r="T5">
        <f t="shared" si="0"/>
        <v>2042</v>
      </c>
      <c r="U5">
        <f t="shared" si="0"/>
        <v>2043</v>
      </c>
    </row>
    <row r="6" spans="1:21">
      <c r="B6" s="65">
        <f>'Truck VMT VHT reductions'!$B$12*'Look Up Data'!$B$13</f>
        <v>0</v>
      </c>
      <c r="C6" s="65">
        <f>B6</f>
        <v>0</v>
      </c>
      <c r="D6" s="65">
        <f t="shared" ref="D6:U6" si="1">C6</f>
        <v>0</v>
      </c>
      <c r="E6" s="65">
        <f t="shared" si="1"/>
        <v>0</v>
      </c>
      <c r="F6" s="65">
        <f t="shared" si="1"/>
        <v>0</v>
      </c>
      <c r="G6" s="65">
        <f t="shared" si="1"/>
        <v>0</v>
      </c>
      <c r="H6" s="65">
        <f t="shared" si="1"/>
        <v>0</v>
      </c>
      <c r="I6" s="65">
        <f t="shared" si="1"/>
        <v>0</v>
      </c>
      <c r="J6" s="65">
        <f t="shared" si="1"/>
        <v>0</v>
      </c>
      <c r="K6" s="65">
        <f t="shared" si="1"/>
        <v>0</v>
      </c>
      <c r="L6" s="65">
        <f t="shared" si="1"/>
        <v>0</v>
      </c>
      <c r="M6" s="65">
        <f t="shared" si="1"/>
        <v>0</v>
      </c>
      <c r="N6" s="65">
        <f t="shared" si="1"/>
        <v>0</v>
      </c>
      <c r="O6" s="65">
        <f t="shared" si="1"/>
        <v>0</v>
      </c>
      <c r="P6" s="65">
        <f t="shared" si="1"/>
        <v>0</v>
      </c>
      <c r="Q6" s="65">
        <f t="shared" si="1"/>
        <v>0</v>
      </c>
      <c r="R6" s="65">
        <f t="shared" si="1"/>
        <v>0</v>
      </c>
      <c r="S6" s="65">
        <f t="shared" si="1"/>
        <v>0</v>
      </c>
      <c r="T6" s="65">
        <f t="shared" si="1"/>
        <v>0</v>
      </c>
      <c r="U6" s="65">
        <f t="shared" si="1"/>
        <v>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E0E9-75DB-4D8C-BC23-9AC73A49B24C}">
  <sheetPr>
    <tabColor theme="9" tint="0.39997558519241921"/>
  </sheetPr>
  <dimension ref="A1:AC39"/>
  <sheetViews>
    <sheetView zoomScale="75" zoomScaleNormal="75" workbookViewId="0">
      <selection activeCell="C11" sqref="C11"/>
    </sheetView>
  </sheetViews>
  <sheetFormatPr defaultColWidth="8.7265625" defaultRowHeight="14.5"/>
  <cols>
    <col min="1" max="1" width="30.54296875" customWidth="1"/>
    <col min="2" max="28" width="9.6328125" customWidth="1"/>
  </cols>
  <sheetData>
    <row r="1" spans="1:28" ht="18.5">
      <c r="A1" s="4" t="s">
        <v>182</v>
      </c>
      <c r="B1" s="35"/>
    </row>
    <row r="2" spans="1:28" ht="29.15" customHeight="1">
      <c r="B2" s="286"/>
      <c r="C2" s="286"/>
      <c r="D2" s="286"/>
    </row>
    <row r="3" spans="1:28">
      <c r="A3" s="1" t="s">
        <v>54</v>
      </c>
      <c r="B3" s="1"/>
      <c r="C3" s="147"/>
      <c r="I3">
        <v>1</v>
      </c>
      <c r="J3">
        <f>I3+1</f>
        <v>2</v>
      </c>
      <c r="K3">
        <f t="shared" ref="K3:AB4" si="0">J3+1</f>
        <v>3</v>
      </c>
      <c r="L3">
        <f t="shared" si="0"/>
        <v>4</v>
      </c>
      <c r="M3">
        <f t="shared" si="0"/>
        <v>5</v>
      </c>
      <c r="N3">
        <f t="shared" si="0"/>
        <v>6</v>
      </c>
      <c r="O3">
        <f t="shared" si="0"/>
        <v>7</v>
      </c>
      <c r="P3">
        <f t="shared" si="0"/>
        <v>8</v>
      </c>
      <c r="Q3">
        <f t="shared" si="0"/>
        <v>9</v>
      </c>
      <c r="R3">
        <f t="shared" si="0"/>
        <v>10</v>
      </c>
      <c r="S3">
        <f t="shared" si="0"/>
        <v>11</v>
      </c>
      <c r="T3">
        <f t="shared" si="0"/>
        <v>12</v>
      </c>
      <c r="U3">
        <f t="shared" si="0"/>
        <v>13</v>
      </c>
      <c r="V3">
        <f t="shared" si="0"/>
        <v>14</v>
      </c>
      <c r="W3">
        <f t="shared" si="0"/>
        <v>15</v>
      </c>
      <c r="X3">
        <f t="shared" si="0"/>
        <v>16</v>
      </c>
      <c r="Y3">
        <f t="shared" si="0"/>
        <v>17</v>
      </c>
      <c r="Z3">
        <f t="shared" si="0"/>
        <v>18</v>
      </c>
      <c r="AA3">
        <f t="shared" si="0"/>
        <v>19</v>
      </c>
      <c r="AB3">
        <f t="shared" si="0"/>
        <v>20</v>
      </c>
    </row>
    <row r="4" spans="1:28">
      <c r="C4">
        <v>2020</v>
      </c>
      <c r="D4">
        <f t="shared" ref="D4:AA4" si="1">C4+1</f>
        <v>2021</v>
      </c>
      <c r="E4">
        <f>D4+1</f>
        <v>2022</v>
      </c>
      <c r="F4">
        <f t="shared" si="1"/>
        <v>2023</v>
      </c>
      <c r="G4">
        <f t="shared" si="1"/>
        <v>2024</v>
      </c>
      <c r="H4">
        <f t="shared" si="1"/>
        <v>2025</v>
      </c>
      <c r="I4">
        <f t="shared" si="1"/>
        <v>2026</v>
      </c>
      <c r="J4">
        <f t="shared" si="1"/>
        <v>2027</v>
      </c>
      <c r="K4">
        <f t="shared" si="1"/>
        <v>2028</v>
      </c>
      <c r="L4">
        <f t="shared" si="1"/>
        <v>2029</v>
      </c>
      <c r="M4">
        <f t="shared" si="1"/>
        <v>2030</v>
      </c>
      <c r="N4">
        <f t="shared" si="1"/>
        <v>2031</v>
      </c>
      <c r="O4">
        <f t="shared" si="1"/>
        <v>2032</v>
      </c>
      <c r="P4">
        <f t="shared" si="1"/>
        <v>2033</v>
      </c>
      <c r="Q4">
        <f t="shared" si="1"/>
        <v>2034</v>
      </c>
      <c r="R4">
        <f t="shared" si="1"/>
        <v>2035</v>
      </c>
      <c r="S4">
        <f t="shared" si="1"/>
        <v>2036</v>
      </c>
      <c r="T4">
        <f t="shared" si="1"/>
        <v>2037</v>
      </c>
      <c r="U4">
        <f t="shared" si="1"/>
        <v>2038</v>
      </c>
      <c r="V4">
        <f t="shared" si="1"/>
        <v>2039</v>
      </c>
      <c r="W4">
        <f t="shared" si="1"/>
        <v>2040</v>
      </c>
      <c r="X4">
        <f t="shared" si="1"/>
        <v>2041</v>
      </c>
      <c r="Y4">
        <f t="shared" si="1"/>
        <v>2042</v>
      </c>
      <c r="Z4">
        <f t="shared" si="1"/>
        <v>2043</v>
      </c>
      <c r="AA4">
        <f t="shared" si="1"/>
        <v>2044</v>
      </c>
      <c r="AB4">
        <f t="shared" si="0"/>
        <v>2045</v>
      </c>
    </row>
    <row r="5" spans="1:28" ht="15.5">
      <c r="A5" s="253"/>
      <c r="B5" s="35"/>
      <c r="C5" s="155"/>
    </row>
    <row r="6" spans="1:28">
      <c r="A6" s="16"/>
      <c r="B6" s="35"/>
      <c r="C6" s="153"/>
      <c r="I6" s="227"/>
      <c r="J6" s="227"/>
      <c r="K6" s="227"/>
      <c r="L6" s="227"/>
      <c r="M6" s="227"/>
      <c r="N6" s="227"/>
      <c r="O6" s="227"/>
      <c r="P6" s="227"/>
      <c r="Q6" s="227"/>
      <c r="R6" s="227"/>
      <c r="S6" s="227"/>
      <c r="T6" s="227"/>
      <c r="U6" s="227"/>
      <c r="V6" s="227"/>
      <c r="W6" s="227"/>
      <c r="X6" s="227"/>
      <c r="Y6" s="227"/>
      <c r="Z6" s="227"/>
      <c r="AA6" s="227"/>
      <c r="AB6" s="227"/>
    </row>
    <row r="7" spans="1:28">
      <c r="A7" t="s">
        <v>183</v>
      </c>
      <c r="B7" s="35"/>
      <c r="C7" s="153"/>
      <c r="I7">
        <f>'Look Up Data'!B7</f>
        <v>0.02</v>
      </c>
      <c r="J7">
        <f>I7</f>
        <v>0.02</v>
      </c>
      <c r="K7">
        <f t="shared" ref="K7:AB7" si="2">J7</f>
        <v>0.02</v>
      </c>
      <c r="L7">
        <f t="shared" si="2"/>
        <v>0.02</v>
      </c>
      <c r="M7">
        <f t="shared" si="2"/>
        <v>0.02</v>
      </c>
      <c r="N7">
        <f t="shared" si="2"/>
        <v>0.02</v>
      </c>
      <c r="O7">
        <f t="shared" si="2"/>
        <v>0.02</v>
      </c>
      <c r="P7">
        <f t="shared" si="2"/>
        <v>0.02</v>
      </c>
      <c r="Q7">
        <f t="shared" si="2"/>
        <v>0.02</v>
      </c>
      <c r="R7">
        <f t="shared" si="2"/>
        <v>0.02</v>
      </c>
      <c r="S7">
        <f t="shared" si="2"/>
        <v>0.02</v>
      </c>
      <c r="T7">
        <f t="shared" si="2"/>
        <v>0.02</v>
      </c>
      <c r="U7">
        <f t="shared" si="2"/>
        <v>0.02</v>
      </c>
      <c r="V7">
        <f t="shared" si="2"/>
        <v>0.02</v>
      </c>
      <c r="W7">
        <f t="shared" si="2"/>
        <v>0.02</v>
      </c>
      <c r="X7">
        <f t="shared" si="2"/>
        <v>0.02</v>
      </c>
      <c r="Y7">
        <f t="shared" si="2"/>
        <v>0.02</v>
      </c>
      <c r="Z7">
        <f t="shared" si="2"/>
        <v>0.02</v>
      </c>
      <c r="AA7">
        <f t="shared" si="2"/>
        <v>0.02</v>
      </c>
      <c r="AB7">
        <f t="shared" si="2"/>
        <v>0.02</v>
      </c>
    </row>
    <row r="8" spans="1:28">
      <c r="A8" t="s">
        <v>184</v>
      </c>
      <c r="B8" s="35"/>
      <c r="C8" s="153"/>
      <c r="I8">
        <v>11500</v>
      </c>
      <c r="J8">
        <v>11500</v>
      </c>
      <c r="K8">
        <v>11500</v>
      </c>
      <c r="L8">
        <v>11500</v>
      </c>
      <c r="M8">
        <v>11500</v>
      </c>
      <c r="N8">
        <v>11500</v>
      </c>
      <c r="O8">
        <v>11500</v>
      </c>
      <c r="P8">
        <v>11500</v>
      </c>
      <c r="Q8">
        <v>11500</v>
      </c>
      <c r="R8">
        <v>11500</v>
      </c>
      <c r="S8">
        <v>11500</v>
      </c>
      <c r="T8">
        <v>11500</v>
      </c>
      <c r="U8">
        <v>11500</v>
      </c>
      <c r="V8">
        <v>11500</v>
      </c>
      <c r="W8">
        <v>11500</v>
      </c>
      <c r="X8">
        <v>11500</v>
      </c>
      <c r="Y8">
        <v>11500</v>
      </c>
      <c r="Z8">
        <v>11500</v>
      </c>
      <c r="AA8">
        <v>11500</v>
      </c>
      <c r="AB8">
        <v>11500</v>
      </c>
    </row>
    <row r="9" spans="1:28">
      <c r="A9" s="1" t="s">
        <v>185</v>
      </c>
      <c r="C9" s="153"/>
      <c r="I9" s="254">
        <v>5.6000000000000001E-2</v>
      </c>
      <c r="J9" s="254">
        <v>5.6000000000000001E-2</v>
      </c>
      <c r="K9" s="254">
        <v>5.6000000000000001E-2</v>
      </c>
      <c r="L9" s="254">
        <v>5.6000000000000001E-2</v>
      </c>
      <c r="M9" s="254">
        <v>5.6000000000000001E-2</v>
      </c>
      <c r="N9" s="254">
        <v>5.6000000000000001E-2</v>
      </c>
      <c r="O9" s="254">
        <v>5.6000000000000001E-2</v>
      </c>
      <c r="P9" s="254">
        <v>5.6000000000000001E-2</v>
      </c>
      <c r="Q9" s="254">
        <v>5.6000000000000001E-2</v>
      </c>
      <c r="R9" s="254">
        <v>5.6000000000000001E-2</v>
      </c>
      <c r="S9" s="254">
        <v>5.6000000000000001E-2</v>
      </c>
      <c r="T9" s="254">
        <v>5.6000000000000001E-2</v>
      </c>
      <c r="U9" s="254">
        <v>5.6000000000000001E-2</v>
      </c>
      <c r="V9" s="254">
        <v>5.6000000000000001E-2</v>
      </c>
      <c r="W9" s="254">
        <v>5.6000000000000001E-2</v>
      </c>
      <c r="X9" s="254">
        <v>5.6000000000000001E-2</v>
      </c>
      <c r="Y9" s="254">
        <v>5.6000000000000001E-2</v>
      </c>
      <c r="Z9" s="254">
        <v>5.6000000000000001E-2</v>
      </c>
      <c r="AA9" s="254">
        <v>5.6000000000000001E-2</v>
      </c>
      <c r="AB9" s="254">
        <v>5.6000000000000001E-2</v>
      </c>
    </row>
    <row r="10" spans="1:28">
      <c r="A10" s="1" t="s">
        <v>19</v>
      </c>
      <c r="B10" s="152"/>
      <c r="C10" s="154"/>
      <c r="I10" s="255">
        <f>I8-I11</f>
        <v>10856</v>
      </c>
      <c r="J10" s="255">
        <f t="shared" ref="J10:AB10" si="3">J8-J11</f>
        <v>10856</v>
      </c>
      <c r="K10" s="255">
        <f t="shared" si="3"/>
        <v>10856</v>
      </c>
      <c r="L10" s="255">
        <f t="shared" si="3"/>
        <v>10856</v>
      </c>
      <c r="M10" s="255">
        <f t="shared" si="3"/>
        <v>10856</v>
      </c>
      <c r="N10" s="255">
        <f t="shared" si="3"/>
        <v>10856</v>
      </c>
      <c r="O10" s="255">
        <f t="shared" si="3"/>
        <v>10856</v>
      </c>
      <c r="P10" s="255">
        <f t="shared" si="3"/>
        <v>10856</v>
      </c>
      <c r="Q10" s="255">
        <f t="shared" si="3"/>
        <v>10856</v>
      </c>
      <c r="R10" s="255">
        <f t="shared" si="3"/>
        <v>10856</v>
      </c>
      <c r="S10" s="255">
        <f t="shared" si="3"/>
        <v>10856</v>
      </c>
      <c r="T10" s="255">
        <f t="shared" si="3"/>
        <v>10856</v>
      </c>
      <c r="U10" s="255">
        <f t="shared" si="3"/>
        <v>10856</v>
      </c>
      <c r="V10" s="255">
        <f t="shared" si="3"/>
        <v>10856</v>
      </c>
      <c r="W10" s="255">
        <f t="shared" si="3"/>
        <v>10856</v>
      </c>
      <c r="X10" s="255">
        <f t="shared" si="3"/>
        <v>10856</v>
      </c>
      <c r="Y10" s="255">
        <f t="shared" si="3"/>
        <v>10856</v>
      </c>
      <c r="Z10" s="255">
        <f t="shared" si="3"/>
        <v>10856</v>
      </c>
      <c r="AA10" s="255">
        <f t="shared" si="3"/>
        <v>10856</v>
      </c>
      <c r="AB10" s="255">
        <f t="shared" si="3"/>
        <v>10856</v>
      </c>
    </row>
    <row r="11" spans="1:28">
      <c r="A11" s="1" t="s">
        <v>20</v>
      </c>
      <c r="B11" s="152"/>
      <c r="C11" s="154"/>
      <c r="I11" s="256">
        <f>I8*I9</f>
        <v>644</v>
      </c>
      <c r="J11" s="256">
        <f t="shared" ref="J11:AB11" si="4">J8*J9</f>
        <v>644</v>
      </c>
      <c r="K11" s="256">
        <f t="shared" si="4"/>
        <v>644</v>
      </c>
      <c r="L11" s="256">
        <f t="shared" si="4"/>
        <v>644</v>
      </c>
      <c r="M11" s="256">
        <f t="shared" si="4"/>
        <v>644</v>
      </c>
      <c r="N11" s="256">
        <f t="shared" si="4"/>
        <v>644</v>
      </c>
      <c r="O11" s="256">
        <f t="shared" si="4"/>
        <v>644</v>
      </c>
      <c r="P11" s="256">
        <f t="shared" si="4"/>
        <v>644</v>
      </c>
      <c r="Q11" s="256">
        <f t="shared" si="4"/>
        <v>644</v>
      </c>
      <c r="R11" s="256">
        <f t="shared" si="4"/>
        <v>644</v>
      </c>
      <c r="S11" s="256">
        <f t="shared" si="4"/>
        <v>644</v>
      </c>
      <c r="T11" s="256">
        <f t="shared" si="4"/>
        <v>644</v>
      </c>
      <c r="U11" s="256">
        <f t="shared" si="4"/>
        <v>644</v>
      </c>
      <c r="V11" s="256">
        <f t="shared" si="4"/>
        <v>644</v>
      </c>
      <c r="W11" s="256">
        <f t="shared" si="4"/>
        <v>644</v>
      </c>
      <c r="X11" s="256">
        <f t="shared" si="4"/>
        <v>644</v>
      </c>
      <c r="Y11" s="256">
        <f t="shared" si="4"/>
        <v>644</v>
      </c>
      <c r="Z11" s="256">
        <f t="shared" si="4"/>
        <v>644</v>
      </c>
      <c r="AA11" s="256">
        <f t="shared" si="4"/>
        <v>644</v>
      </c>
      <c r="AB11" s="256">
        <f t="shared" si="4"/>
        <v>644</v>
      </c>
    </row>
    <row r="12" spans="1:28" ht="29">
      <c r="A12" s="257" t="s">
        <v>186</v>
      </c>
      <c r="B12" s="152"/>
      <c r="C12" s="154"/>
      <c r="I12" s="214">
        <f>1-'Structurally Deficient Impact'!B7</f>
        <v>0.9</v>
      </c>
      <c r="J12" s="214">
        <f>1-'Structurally Deficient Impact'!C7</f>
        <v>0.9</v>
      </c>
      <c r="K12" s="214">
        <f>1-'Structurally Deficient Impact'!D7</f>
        <v>0.9</v>
      </c>
      <c r="L12" s="214">
        <f>1-'Structurally Deficient Impact'!E7</f>
        <v>0.9</v>
      </c>
      <c r="M12" s="214">
        <f>1-'Structurally Deficient Impact'!F7</f>
        <v>0.9</v>
      </c>
      <c r="N12" s="214">
        <f>1-'Structurally Deficient Impact'!G7</f>
        <v>0.9</v>
      </c>
      <c r="O12" s="214">
        <f>1-'Structurally Deficient Impact'!H7</f>
        <v>0.9</v>
      </c>
      <c r="P12" s="214">
        <f>1-'Structurally Deficient Impact'!I7</f>
        <v>0.9</v>
      </c>
      <c r="Q12" s="214">
        <f>1-'Structurally Deficient Impact'!J7</f>
        <v>0.9</v>
      </c>
      <c r="R12" s="214">
        <f>1-'Structurally Deficient Impact'!K7</f>
        <v>0.9</v>
      </c>
      <c r="S12" s="214">
        <f>1-'Structurally Deficient Impact'!L7</f>
        <v>0.9</v>
      </c>
      <c r="T12" s="214">
        <f>1-'Structurally Deficient Impact'!M7</f>
        <v>0.9</v>
      </c>
      <c r="U12" s="214">
        <f>1-'Structurally Deficient Impact'!N7</f>
        <v>0.9</v>
      </c>
      <c r="V12" s="214">
        <f>1-'Structurally Deficient Impact'!O7</f>
        <v>0.9</v>
      </c>
      <c r="W12" s="214">
        <f>1-'Structurally Deficient Impact'!P7</f>
        <v>0.9</v>
      </c>
      <c r="X12" s="214">
        <f>1-'Structurally Deficient Impact'!Q7</f>
        <v>0.9</v>
      </c>
      <c r="Y12" s="214">
        <f>1-'Structurally Deficient Impact'!R7</f>
        <v>0.9</v>
      </c>
      <c r="Z12" s="214">
        <f>1-'Structurally Deficient Impact'!S7</f>
        <v>0.9</v>
      </c>
      <c r="AA12" s="214">
        <f>1-'Structurally Deficient Impact'!T7</f>
        <v>0.9</v>
      </c>
      <c r="AB12" s="214">
        <f>1-'Structurally Deficient Impact'!U7</f>
        <v>0.9</v>
      </c>
    </row>
    <row r="13" spans="1:28">
      <c r="A13" t="s">
        <v>187</v>
      </c>
      <c r="B13" s="35"/>
      <c r="I13">
        <v>8</v>
      </c>
      <c r="J13">
        <v>8</v>
      </c>
      <c r="K13">
        <v>8</v>
      </c>
      <c r="L13">
        <v>8</v>
      </c>
      <c r="M13">
        <v>8</v>
      </c>
      <c r="N13">
        <v>8</v>
      </c>
      <c r="O13">
        <v>8</v>
      </c>
      <c r="P13">
        <v>8</v>
      </c>
      <c r="Q13">
        <v>8</v>
      </c>
      <c r="R13">
        <v>8</v>
      </c>
      <c r="S13">
        <v>8</v>
      </c>
      <c r="T13">
        <v>8</v>
      </c>
      <c r="U13">
        <v>8</v>
      </c>
      <c r="V13">
        <v>8</v>
      </c>
      <c r="W13">
        <v>8</v>
      </c>
      <c r="X13">
        <v>8</v>
      </c>
      <c r="Y13">
        <v>8</v>
      </c>
      <c r="Z13">
        <v>8</v>
      </c>
      <c r="AA13">
        <v>8</v>
      </c>
      <c r="AB13">
        <v>8</v>
      </c>
    </row>
    <row r="14" spans="1:28">
      <c r="A14" t="s">
        <v>188</v>
      </c>
      <c r="B14" s="35"/>
      <c r="I14">
        <v>40</v>
      </c>
      <c r="J14">
        <v>40</v>
      </c>
      <c r="K14">
        <v>40</v>
      </c>
      <c r="L14">
        <v>40</v>
      </c>
      <c r="M14">
        <v>40</v>
      </c>
      <c r="N14">
        <v>40</v>
      </c>
      <c r="O14">
        <v>40</v>
      </c>
      <c r="P14">
        <v>40</v>
      </c>
      <c r="Q14">
        <v>40</v>
      </c>
      <c r="R14">
        <v>40</v>
      </c>
      <c r="S14">
        <v>40</v>
      </c>
      <c r="T14">
        <v>40</v>
      </c>
      <c r="U14">
        <v>40</v>
      </c>
      <c r="V14">
        <v>40</v>
      </c>
      <c r="W14">
        <v>40</v>
      </c>
      <c r="X14">
        <v>40</v>
      </c>
      <c r="Y14">
        <v>40</v>
      </c>
      <c r="Z14">
        <v>40</v>
      </c>
      <c r="AA14">
        <v>40</v>
      </c>
      <c r="AB14">
        <v>40</v>
      </c>
    </row>
    <row r="15" spans="1:28">
      <c r="A15" s="1" t="s">
        <v>189</v>
      </c>
      <c r="B15" s="35"/>
      <c r="I15">
        <v>110</v>
      </c>
      <c r="J15">
        <v>110</v>
      </c>
      <c r="K15">
        <v>110</v>
      </c>
      <c r="L15">
        <v>110</v>
      </c>
      <c r="M15">
        <v>110</v>
      </c>
      <c r="N15">
        <v>110</v>
      </c>
      <c r="O15">
        <v>110</v>
      </c>
      <c r="P15">
        <v>110</v>
      </c>
      <c r="Q15">
        <v>110</v>
      </c>
      <c r="R15">
        <v>110</v>
      </c>
      <c r="S15">
        <v>110</v>
      </c>
      <c r="T15">
        <v>110</v>
      </c>
      <c r="U15">
        <v>110</v>
      </c>
      <c r="V15">
        <v>110</v>
      </c>
      <c r="W15">
        <v>110</v>
      </c>
      <c r="X15">
        <v>110</v>
      </c>
      <c r="Y15">
        <v>110</v>
      </c>
      <c r="Z15">
        <v>110</v>
      </c>
      <c r="AA15">
        <v>110</v>
      </c>
      <c r="AB15">
        <v>110</v>
      </c>
    </row>
    <row r="16" spans="1:28">
      <c r="B16" s="35"/>
    </row>
    <row r="17" spans="1:29">
      <c r="A17" s="16" t="s">
        <v>190</v>
      </c>
      <c r="B17" s="35"/>
      <c r="I17" s="227"/>
      <c r="J17" s="227"/>
      <c r="K17" s="227"/>
      <c r="L17" s="227"/>
      <c r="M17" s="227"/>
      <c r="N17" s="227"/>
      <c r="O17" s="227"/>
      <c r="P17" s="227"/>
      <c r="Q17" s="227"/>
      <c r="R17" s="227"/>
      <c r="S17" s="227"/>
      <c r="T17" s="227"/>
      <c r="U17" s="227"/>
      <c r="V17" s="227"/>
      <c r="W17" s="227"/>
      <c r="X17" s="227"/>
      <c r="Y17" s="227"/>
      <c r="Z17" s="227"/>
      <c r="AA17" s="227"/>
      <c r="AB17" s="227"/>
    </row>
    <row r="18" spans="1:29">
      <c r="A18" s="258" t="s">
        <v>19</v>
      </c>
      <c r="B18" s="35"/>
      <c r="I18" s="259">
        <f t="shared" ref="I18:AB18" si="5">I10*I13*I7*I15</f>
        <v>191065.60000000001</v>
      </c>
      <c r="J18" s="259">
        <f t="shared" si="5"/>
        <v>191065.60000000001</v>
      </c>
      <c r="K18" s="259">
        <f t="shared" si="5"/>
        <v>191065.60000000001</v>
      </c>
      <c r="L18" s="259">
        <f t="shared" si="5"/>
        <v>191065.60000000001</v>
      </c>
      <c r="M18" s="259">
        <f t="shared" si="5"/>
        <v>191065.60000000001</v>
      </c>
      <c r="N18" s="259">
        <f t="shared" si="5"/>
        <v>191065.60000000001</v>
      </c>
      <c r="O18" s="259">
        <f t="shared" si="5"/>
        <v>191065.60000000001</v>
      </c>
      <c r="P18" s="259">
        <f t="shared" si="5"/>
        <v>191065.60000000001</v>
      </c>
      <c r="Q18" s="259">
        <f t="shared" si="5"/>
        <v>191065.60000000001</v>
      </c>
      <c r="R18" s="259">
        <f t="shared" si="5"/>
        <v>191065.60000000001</v>
      </c>
      <c r="S18" s="259">
        <f t="shared" si="5"/>
        <v>191065.60000000001</v>
      </c>
      <c r="T18" s="259">
        <f t="shared" si="5"/>
        <v>191065.60000000001</v>
      </c>
      <c r="U18" s="259">
        <f t="shared" si="5"/>
        <v>191065.60000000001</v>
      </c>
      <c r="V18" s="259">
        <f t="shared" si="5"/>
        <v>191065.60000000001</v>
      </c>
      <c r="W18" s="259">
        <f t="shared" si="5"/>
        <v>191065.60000000001</v>
      </c>
      <c r="X18" s="259">
        <f t="shared" si="5"/>
        <v>191065.60000000001</v>
      </c>
      <c r="Y18" s="259">
        <f t="shared" si="5"/>
        <v>191065.60000000001</v>
      </c>
      <c r="Z18" s="259">
        <f t="shared" si="5"/>
        <v>191065.60000000001</v>
      </c>
      <c r="AA18" s="259">
        <f t="shared" si="5"/>
        <v>191065.60000000001</v>
      </c>
      <c r="AB18" s="259">
        <f t="shared" si="5"/>
        <v>191065.60000000001</v>
      </c>
      <c r="AC18" s="19"/>
    </row>
    <row r="19" spans="1:29">
      <c r="A19" s="258" t="s">
        <v>20</v>
      </c>
      <c r="B19" s="35"/>
      <c r="I19" s="259">
        <f t="shared" ref="I19:AB19" si="6">I11*I12*I13*I7*I15</f>
        <v>10200.960000000001</v>
      </c>
      <c r="J19" s="259">
        <f t="shared" si="6"/>
        <v>10200.960000000001</v>
      </c>
      <c r="K19" s="259">
        <f t="shared" si="6"/>
        <v>10200.960000000001</v>
      </c>
      <c r="L19" s="259">
        <f t="shared" si="6"/>
        <v>10200.960000000001</v>
      </c>
      <c r="M19" s="259">
        <f t="shared" si="6"/>
        <v>10200.960000000001</v>
      </c>
      <c r="N19" s="259">
        <f t="shared" si="6"/>
        <v>10200.960000000001</v>
      </c>
      <c r="O19" s="259">
        <f t="shared" si="6"/>
        <v>10200.960000000001</v>
      </c>
      <c r="P19" s="259">
        <f t="shared" si="6"/>
        <v>10200.960000000001</v>
      </c>
      <c r="Q19" s="259">
        <f t="shared" si="6"/>
        <v>10200.960000000001</v>
      </c>
      <c r="R19" s="259">
        <f t="shared" si="6"/>
        <v>10200.960000000001</v>
      </c>
      <c r="S19" s="259">
        <f t="shared" si="6"/>
        <v>10200.960000000001</v>
      </c>
      <c r="T19" s="259">
        <f t="shared" si="6"/>
        <v>10200.960000000001</v>
      </c>
      <c r="U19" s="259">
        <f t="shared" si="6"/>
        <v>10200.960000000001</v>
      </c>
      <c r="V19" s="259">
        <f t="shared" si="6"/>
        <v>10200.960000000001</v>
      </c>
      <c r="W19" s="259">
        <f t="shared" si="6"/>
        <v>10200.960000000001</v>
      </c>
      <c r="X19" s="259">
        <f t="shared" si="6"/>
        <v>10200.960000000001</v>
      </c>
      <c r="Y19" s="259">
        <f t="shared" si="6"/>
        <v>10200.960000000001</v>
      </c>
      <c r="Z19" s="259">
        <f t="shared" si="6"/>
        <v>10200.960000000001</v>
      </c>
      <c r="AA19" s="259">
        <f t="shared" si="6"/>
        <v>10200.960000000001</v>
      </c>
      <c r="AB19" s="259">
        <f t="shared" si="6"/>
        <v>10200.960000000001</v>
      </c>
      <c r="AC19" s="19"/>
    </row>
    <row r="20" spans="1:29">
      <c r="A20" t="s">
        <v>191</v>
      </c>
      <c r="I20" s="19"/>
      <c r="J20" s="19"/>
      <c r="K20" s="19"/>
      <c r="L20" s="19"/>
      <c r="M20" s="19"/>
      <c r="N20" s="19"/>
      <c r="O20" s="19"/>
      <c r="P20" s="19"/>
      <c r="Q20" s="19"/>
      <c r="R20" s="19"/>
      <c r="S20" s="19"/>
      <c r="T20" s="19"/>
      <c r="U20" s="19"/>
      <c r="V20" s="19"/>
      <c r="W20" s="19"/>
      <c r="X20" s="19"/>
      <c r="Y20" s="19"/>
      <c r="Z20" s="19"/>
      <c r="AA20" s="19"/>
      <c r="AB20" s="19"/>
      <c r="AC20" s="19"/>
    </row>
    <row r="21" spans="1:29">
      <c r="A21" s="1" t="s">
        <v>19</v>
      </c>
      <c r="I21" s="19">
        <f>I18/I14</f>
        <v>4776.6400000000003</v>
      </c>
      <c r="J21" s="19">
        <f t="shared" ref="J21:AB21" si="7">J18/J14</f>
        <v>4776.6400000000003</v>
      </c>
      <c r="K21" s="19">
        <f t="shared" si="7"/>
        <v>4776.6400000000003</v>
      </c>
      <c r="L21" s="19">
        <f t="shared" si="7"/>
        <v>4776.6400000000003</v>
      </c>
      <c r="M21" s="19">
        <f t="shared" si="7"/>
        <v>4776.6400000000003</v>
      </c>
      <c r="N21" s="19">
        <f t="shared" si="7"/>
        <v>4776.6400000000003</v>
      </c>
      <c r="O21" s="19">
        <f t="shared" si="7"/>
        <v>4776.6400000000003</v>
      </c>
      <c r="P21" s="19">
        <f t="shared" si="7"/>
        <v>4776.6400000000003</v>
      </c>
      <c r="Q21" s="19">
        <f t="shared" si="7"/>
        <v>4776.6400000000003</v>
      </c>
      <c r="R21" s="19">
        <f t="shared" si="7"/>
        <v>4776.6400000000003</v>
      </c>
      <c r="S21" s="19">
        <f t="shared" si="7"/>
        <v>4776.6400000000003</v>
      </c>
      <c r="T21" s="19">
        <f t="shared" si="7"/>
        <v>4776.6400000000003</v>
      </c>
      <c r="U21" s="19">
        <f t="shared" si="7"/>
        <v>4776.6400000000003</v>
      </c>
      <c r="V21" s="19">
        <f t="shared" si="7"/>
        <v>4776.6400000000003</v>
      </c>
      <c r="W21" s="19">
        <f t="shared" si="7"/>
        <v>4776.6400000000003</v>
      </c>
      <c r="X21" s="19">
        <f t="shared" si="7"/>
        <v>4776.6400000000003</v>
      </c>
      <c r="Y21" s="19">
        <f t="shared" si="7"/>
        <v>4776.6400000000003</v>
      </c>
      <c r="Z21" s="19">
        <f t="shared" si="7"/>
        <v>4776.6400000000003</v>
      </c>
      <c r="AA21" s="19">
        <f t="shared" si="7"/>
        <v>4776.6400000000003</v>
      </c>
      <c r="AB21" s="19">
        <f t="shared" si="7"/>
        <v>4776.6400000000003</v>
      </c>
      <c r="AC21" s="19"/>
    </row>
    <row r="22" spans="1:29">
      <c r="A22" s="1" t="s">
        <v>20</v>
      </c>
      <c r="I22" s="19">
        <f>I19/I14</f>
        <v>255.02400000000003</v>
      </c>
      <c r="J22" s="19">
        <f t="shared" ref="J22:AB22" si="8">J19/J14</f>
        <v>255.02400000000003</v>
      </c>
      <c r="K22" s="19">
        <f t="shared" si="8"/>
        <v>255.02400000000003</v>
      </c>
      <c r="L22" s="19">
        <f t="shared" si="8"/>
        <v>255.02400000000003</v>
      </c>
      <c r="M22" s="19">
        <f t="shared" si="8"/>
        <v>255.02400000000003</v>
      </c>
      <c r="N22" s="19">
        <f t="shared" si="8"/>
        <v>255.02400000000003</v>
      </c>
      <c r="O22" s="19">
        <f t="shared" si="8"/>
        <v>255.02400000000003</v>
      </c>
      <c r="P22" s="19">
        <f t="shared" si="8"/>
        <v>255.02400000000003</v>
      </c>
      <c r="Q22" s="19">
        <f t="shared" si="8"/>
        <v>255.02400000000003</v>
      </c>
      <c r="R22" s="19">
        <f t="shared" si="8"/>
        <v>255.02400000000003</v>
      </c>
      <c r="S22" s="19">
        <f t="shared" si="8"/>
        <v>255.02400000000003</v>
      </c>
      <c r="T22" s="19">
        <f t="shared" si="8"/>
        <v>255.02400000000003</v>
      </c>
      <c r="U22" s="19">
        <f t="shared" si="8"/>
        <v>255.02400000000003</v>
      </c>
      <c r="V22" s="19">
        <f t="shared" si="8"/>
        <v>255.02400000000003</v>
      </c>
      <c r="W22" s="19">
        <f t="shared" si="8"/>
        <v>255.02400000000003</v>
      </c>
      <c r="X22" s="19">
        <f t="shared" si="8"/>
        <v>255.02400000000003</v>
      </c>
      <c r="Y22" s="19">
        <f t="shared" si="8"/>
        <v>255.02400000000003</v>
      </c>
      <c r="Z22" s="19">
        <f t="shared" si="8"/>
        <v>255.02400000000003</v>
      </c>
      <c r="AA22" s="19">
        <f t="shared" si="8"/>
        <v>255.02400000000003</v>
      </c>
      <c r="AB22" s="19">
        <f t="shared" si="8"/>
        <v>255.02400000000003</v>
      </c>
      <c r="AC22" s="19"/>
    </row>
    <row r="23" spans="1:29">
      <c r="A23" s="16" t="s">
        <v>192</v>
      </c>
      <c r="I23" s="19"/>
      <c r="J23" s="19"/>
      <c r="K23" s="19"/>
      <c r="L23" s="19"/>
      <c r="M23" s="19"/>
      <c r="N23" s="19"/>
      <c r="O23" s="19"/>
      <c r="P23" s="19"/>
      <c r="Q23" s="19"/>
      <c r="R23" s="19"/>
      <c r="S23" s="19"/>
      <c r="T23" s="19"/>
      <c r="U23" s="19"/>
      <c r="V23" s="19"/>
      <c r="W23" s="19"/>
      <c r="X23" s="19"/>
      <c r="Y23" s="19"/>
      <c r="Z23" s="19"/>
      <c r="AA23" s="19"/>
      <c r="AB23" s="19"/>
      <c r="AC23" s="19"/>
    </row>
    <row r="24" spans="1:29">
      <c r="A24" s="258" t="s">
        <v>19</v>
      </c>
      <c r="I24" s="260">
        <f>I21*'Look Up Data'!$B$5</f>
        <v>7976.9888000000001</v>
      </c>
      <c r="J24" s="260">
        <f>J21*'Look Up Data'!$B$5</f>
        <v>7976.9888000000001</v>
      </c>
      <c r="K24" s="260">
        <f>K21*'Look Up Data'!$B$5</f>
        <v>7976.9888000000001</v>
      </c>
      <c r="L24" s="260">
        <f>L21*'Look Up Data'!$B$5</f>
        <v>7976.9888000000001</v>
      </c>
      <c r="M24" s="260">
        <f>M21*'Look Up Data'!$B$5</f>
        <v>7976.9888000000001</v>
      </c>
      <c r="N24" s="260">
        <f>N21*'Look Up Data'!$B$5</f>
        <v>7976.9888000000001</v>
      </c>
      <c r="O24" s="260">
        <f>O21*'Look Up Data'!$B$5</f>
        <v>7976.9888000000001</v>
      </c>
      <c r="P24" s="260">
        <f>P21*'Look Up Data'!$B$5</f>
        <v>7976.9888000000001</v>
      </c>
      <c r="Q24" s="260">
        <f>Q21*'Look Up Data'!$B$5</f>
        <v>7976.9888000000001</v>
      </c>
      <c r="R24" s="260">
        <f>R21*'Look Up Data'!$B$5</f>
        <v>7976.9888000000001</v>
      </c>
      <c r="S24" s="260">
        <f>S21*'Look Up Data'!$B$5</f>
        <v>7976.9888000000001</v>
      </c>
      <c r="T24" s="260">
        <f>T21*'Look Up Data'!$B$5</f>
        <v>7976.9888000000001</v>
      </c>
      <c r="U24" s="260">
        <f>U21*'Look Up Data'!$B$5</f>
        <v>7976.9888000000001</v>
      </c>
      <c r="V24" s="260">
        <f>V21*'Look Up Data'!$B$5</f>
        <v>7976.9888000000001</v>
      </c>
      <c r="W24" s="260">
        <f>W21*'Look Up Data'!$B$5</f>
        <v>7976.9888000000001</v>
      </c>
      <c r="X24" s="260">
        <f>X21*'Look Up Data'!$B$5</f>
        <v>7976.9888000000001</v>
      </c>
      <c r="Y24" s="260">
        <f>Y21*'Look Up Data'!$B$5</f>
        <v>7976.9888000000001</v>
      </c>
      <c r="Z24" s="260">
        <f>Z21*'Look Up Data'!$B$5</f>
        <v>7976.9888000000001</v>
      </c>
      <c r="AA24" s="260">
        <f>AA21*'Look Up Data'!$B$5</f>
        <v>7976.9888000000001</v>
      </c>
      <c r="AB24" s="260">
        <f>AB21*'Look Up Data'!$B$5</f>
        <v>7976.9888000000001</v>
      </c>
      <c r="AC24" s="19"/>
    </row>
    <row r="25" spans="1:29">
      <c r="A25" s="258" t="s">
        <v>20</v>
      </c>
      <c r="I25" s="260">
        <f>I22</f>
        <v>255.02400000000003</v>
      </c>
      <c r="J25" s="260">
        <f t="shared" ref="J25:AB25" si="9">J22</f>
        <v>255.02400000000003</v>
      </c>
      <c r="K25" s="260">
        <f t="shared" si="9"/>
        <v>255.02400000000003</v>
      </c>
      <c r="L25" s="260">
        <f t="shared" si="9"/>
        <v>255.02400000000003</v>
      </c>
      <c r="M25" s="260">
        <f t="shared" si="9"/>
        <v>255.02400000000003</v>
      </c>
      <c r="N25" s="260">
        <f t="shared" si="9"/>
        <v>255.02400000000003</v>
      </c>
      <c r="O25" s="260">
        <f t="shared" si="9"/>
        <v>255.02400000000003</v>
      </c>
      <c r="P25" s="260">
        <f t="shared" si="9"/>
        <v>255.02400000000003</v>
      </c>
      <c r="Q25" s="260">
        <f t="shared" si="9"/>
        <v>255.02400000000003</v>
      </c>
      <c r="R25" s="260">
        <f t="shared" si="9"/>
        <v>255.02400000000003</v>
      </c>
      <c r="S25" s="260">
        <f t="shared" si="9"/>
        <v>255.02400000000003</v>
      </c>
      <c r="T25" s="260">
        <f t="shared" si="9"/>
        <v>255.02400000000003</v>
      </c>
      <c r="U25" s="260">
        <f t="shared" si="9"/>
        <v>255.02400000000003</v>
      </c>
      <c r="V25" s="260">
        <f t="shared" si="9"/>
        <v>255.02400000000003</v>
      </c>
      <c r="W25" s="260">
        <f t="shared" si="9"/>
        <v>255.02400000000003</v>
      </c>
      <c r="X25" s="260">
        <f t="shared" si="9"/>
        <v>255.02400000000003</v>
      </c>
      <c r="Y25" s="260">
        <f t="shared" si="9"/>
        <v>255.02400000000003</v>
      </c>
      <c r="Z25" s="260">
        <f t="shared" si="9"/>
        <v>255.02400000000003</v>
      </c>
      <c r="AA25" s="260">
        <f t="shared" si="9"/>
        <v>255.02400000000003</v>
      </c>
      <c r="AB25" s="260">
        <f t="shared" si="9"/>
        <v>255.02400000000003</v>
      </c>
      <c r="AC25" s="19"/>
    </row>
    <row r="26" spans="1:29">
      <c r="I26" s="19"/>
      <c r="J26" s="19"/>
      <c r="K26" s="19"/>
      <c r="L26" s="19"/>
      <c r="M26" s="19"/>
      <c r="N26" s="19"/>
      <c r="O26" s="19"/>
      <c r="P26" s="19"/>
      <c r="Q26" s="19"/>
      <c r="R26" s="19"/>
      <c r="S26" s="19"/>
      <c r="T26" s="19"/>
      <c r="U26" s="19"/>
      <c r="V26" s="19"/>
      <c r="W26" s="19"/>
      <c r="X26" s="19"/>
      <c r="Y26" s="19"/>
      <c r="Z26" s="19"/>
      <c r="AA26" s="19"/>
      <c r="AB26" s="19"/>
      <c r="AC26" s="19"/>
    </row>
    <row r="27" spans="1:29">
      <c r="I27" s="19"/>
      <c r="J27" s="19"/>
      <c r="K27" s="19"/>
      <c r="L27" s="19"/>
      <c r="M27" s="19"/>
      <c r="N27" s="19"/>
      <c r="O27" s="19"/>
      <c r="P27" s="19"/>
      <c r="Q27" s="19"/>
      <c r="R27" s="19"/>
      <c r="S27" s="19"/>
      <c r="T27" s="19"/>
      <c r="U27" s="19"/>
      <c r="V27" s="19"/>
      <c r="W27" s="19"/>
      <c r="X27" s="19"/>
      <c r="Y27" s="19"/>
      <c r="Z27" s="19"/>
      <c r="AA27" s="19"/>
      <c r="AB27" s="19"/>
      <c r="AC27" s="19"/>
    </row>
    <row r="28" spans="1:29">
      <c r="I28" s="19"/>
      <c r="J28" s="19"/>
      <c r="K28" s="19"/>
      <c r="L28" s="19"/>
      <c r="M28" s="19"/>
      <c r="N28" s="19"/>
      <c r="O28" s="19"/>
      <c r="P28" s="19"/>
      <c r="Q28" s="19"/>
      <c r="R28" s="19"/>
      <c r="S28" s="19"/>
      <c r="T28" s="19"/>
      <c r="U28" s="19"/>
      <c r="V28" s="19"/>
      <c r="W28" s="19"/>
      <c r="X28" s="19"/>
      <c r="Y28" s="19"/>
      <c r="Z28" s="19"/>
      <c r="AA28" s="19"/>
      <c r="AB28" s="19"/>
      <c r="AC28" s="19"/>
    </row>
    <row r="29" spans="1:29">
      <c r="B29" t="s">
        <v>193</v>
      </c>
      <c r="I29" s="19"/>
      <c r="J29" s="19"/>
      <c r="K29" s="19"/>
      <c r="L29" s="19"/>
      <c r="M29" s="19"/>
      <c r="N29" s="19"/>
      <c r="O29" s="19"/>
      <c r="P29" s="19"/>
      <c r="Q29" s="19"/>
      <c r="R29" s="19"/>
      <c r="S29" s="19"/>
      <c r="T29" s="19"/>
      <c r="U29" s="19"/>
      <c r="V29" s="19"/>
      <c r="W29" s="19"/>
      <c r="X29" s="19"/>
      <c r="Y29" s="19"/>
      <c r="Z29" s="19"/>
      <c r="AA29" s="19"/>
      <c r="AB29" s="19"/>
      <c r="AC29" s="19"/>
    </row>
    <row r="30" spans="1:29">
      <c r="B30" t="s">
        <v>194</v>
      </c>
      <c r="I30" s="19"/>
      <c r="J30" s="19"/>
      <c r="K30" s="19"/>
      <c r="L30" s="19"/>
      <c r="M30" s="19"/>
      <c r="N30" s="19"/>
      <c r="O30" s="19"/>
      <c r="P30" s="19"/>
      <c r="Q30" s="19"/>
      <c r="R30" s="19"/>
      <c r="S30" s="19"/>
      <c r="T30" s="19"/>
      <c r="U30" s="19"/>
      <c r="V30" s="19"/>
      <c r="W30" s="19"/>
      <c r="X30" s="19"/>
      <c r="Y30" s="19"/>
      <c r="Z30" s="19"/>
      <c r="AA30" s="19"/>
      <c r="AB30" s="19"/>
      <c r="AC30" s="19"/>
    </row>
    <row r="31" spans="1:29">
      <c r="B31" t="s">
        <v>195</v>
      </c>
    </row>
    <row r="32" spans="1:29">
      <c r="B32" t="s">
        <v>196</v>
      </c>
    </row>
    <row r="33" spans="1:2">
      <c r="A33" s="35"/>
      <c r="B33" s="74"/>
    </row>
    <row r="35" spans="1:2">
      <c r="B35" s="19"/>
    </row>
    <row r="37" spans="1:2">
      <c r="B37" s="156"/>
    </row>
    <row r="39" spans="1:2">
      <c r="B39" s="6"/>
    </row>
  </sheetData>
  <mergeCells count="1">
    <mergeCell ref="B2:D2"/>
  </mergeCells>
  <pageMargins left="0.7" right="0.7" top="0.75" bottom="0.75" header="0.3" footer="0.3"/>
  <pageSetup paperSize="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B9A3-E6B2-43E7-856E-71193CA79F4E}">
  <sheetPr>
    <tabColor theme="9" tint="0.39997558519241921"/>
  </sheetPr>
  <dimension ref="A1:V29"/>
  <sheetViews>
    <sheetView zoomScale="75" zoomScaleNormal="75" workbookViewId="0">
      <selection activeCell="A3" sqref="A3"/>
    </sheetView>
  </sheetViews>
  <sheetFormatPr defaultColWidth="8.7265625" defaultRowHeight="14.5"/>
  <cols>
    <col min="1" max="1" width="30.54296875" customWidth="1"/>
    <col min="2" max="22" width="9.6328125" customWidth="1"/>
  </cols>
  <sheetData>
    <row r="1" spans="1:22" ht="18.5">
      <c r="A1" s="4" t="s">
        <v>197</v>
      </c>
      <c r="B1" s="35"/>
    </row>
    <row r="2" spans="1:22">
      <c r="B2" s="35"/>
    </row>
    <row r="3" spans="1:22">
      <c r="A3" s="1" t="s">
        <v>54</v>
      </c>
      <c r="B3" s="1"/>
      <c r="C3">
        <v>1</v>
      </c>
      <c r="D3">
        <f>C3+1</f>
        <v>2</v>
      </c>
      <c r="E3">
        <f t="shared" ref="E3:V4" si="0">D3+1</f>
        <v>3</v>
      </c>
      <c r="F3">
        <f t="shared" si="0"/>
        <v>4</v>
      </c>
      <c r="G3">
        <f t="shared" si="0"/>
        <v>5</v>
      </c>
      <c r="H3">
        <f t="shared" si="0"/>
        <v>6</v>
      </c>
      <c r="I3">
        <f t="shared" si="0"/>
        <v>7</v>
      </c>
      <c r="J3">
        <f t="shared" si="0"/>
        <v>8</v>
      </c>
      <c r="K3">
        <f t="shared" si="0"/>
        <v>9</v>
      </c>
      <c r="L3">
        <f t="shared" si="0"/>
        <v>10</v>
      </c>
      <c r="M3">
        <f t="shared" si="0"/>
        <v>11</v>
      </c>
      <c r="N3">
        <f t="shared" si="0"/>
        <v>12</v>
      </c>
      <c r="O3">
        <f t="shared" si="0"/>
        <v>13</v>
      </c>
      <c r="P3">
        <f t="shared" si="0"/>
        <v>14</v>
      </c>
      <c r="Q3">
        <f t="shared" si="0"/>
        <v>15</v>
      </c>
      <c r="R3">
        <f t="shared" si="0"/>
        <v>16</v>
      </c>
      <c r="S3">
        <f t="shared" si="0"/>
        <v>17</v>
      </c>
      <c r="T3">
        <f t="shared" si="0"/>
        <v>18</v>
      </c>
      <c r="U3">
        <f t="shared" si="0"/>
        <v>19</v>
      </c>
      <c r="V3">
        <f t="shared" si="0"/>
        <v>20</v>
      </c>
    </row>
    <row r="4" spans="1:22">
      <c r="C4">
        <v>2026</v>
      </c>
      <c r="D4">
        <f t="shared" ref="D4:U4" si="1">C4+1</f>
        <v>2027</v>
      </c>
      <c r="E4">
        <f t="shared" si="1"/>
        <v>2028</v>
      </c>
      <c r="F4">
        <f t="shared" si="1"/>
        <v>2029</v>
      </c>
      <c r="G4">
        <f t="shared" si="1"/>
        <v>2030</v>
      </c>
      <c r="H4">
        <f t="shared" si="1"/>
        <v>2031</v>
      </c>
      <c r="I4">
        <f t="shared" si="1"/>
        <v>2032</v>
      </c>
      <c r="J4">
        <f t="shared" si="1"/>
        <v>2033</v>
      </c>
      <c r="K4">
        <f t="shared" si="1"/>
        <v>2034</v>
      </c>
      <c r="L4">
        <f t="shared" si="1"/>
        <v>2035</v>
      </c>
      <c r="M4">
        <f t="shared" si="1"/>
        <v>2036</v>
      </c>
      <c r="N4">
        <f t="shared" si="1"/>
        <v>2037</v>
      </c>
      <c r="O4">
        <f t="shared" si="1"/>
        <v>2038</v>
      </c>
      <c r="P4">
        <f t="shared" si="1"/>
        <v>2039</v>
      </c>
      <c r="Q4">
        <f t="shared" si="1"/>
        <v>2040</v>
      </c>
      <c r="R4">
        <f t="shared" si="1"/>
        <v>2041</v>
      </c>
      <c r="S4">
        <f t="shared" si="1"/>
        <v>2042</v>
      </c>
      <c r="T4">
        <f t="shared" si="1"/>
        <v>2043</v>
      </c>
      <c r="U4">
        <f t="shared" si="1"/>
        <v>2044</v>
      </c>
      <c r="V4">
        <f t="shared" si="0"/>
        <v>2045</v>
      </c>
    </row>
    <row r="5" spans="1:22" ht="15.5">
      <c r="A5" s="253"/>
      <c r="B5" s="35"/>
    </row>
    <row r="6" spans="1:22">
      <c r="A6" t="s">
        <v>198</v>
      </c>
      <c r="C6" s="227">
        <f>'VMT-PHT Savings - Storm Close'!I24*'Look Up Data'!D$65</f>
        <v>0</v>
      </c>
      <c r="D6" s="227">
        <f>'VMT-PHT Savings - Storm Close'!J24*'Look Up Data'!E$65</f>
        <v>141990.40064000001</v>
      </c>
      <c r="E6" s="227">
        <f>'VMT-PHT Savings - Storm Close'!K24*'Look Up Data'!F$65</f>
        <v>141990.40064000001</v>
      </c>
      <c r="F6" s="227">
        <f>'VMT-PHT Savings - Storm Close'!L24*'Look Up Data'!G$65</f>
        <v>141990.40064000001</v>
      </c>
      <c r="G6" s="227">
        <f>'VMT-PHT Savings - Storm Close'!M24*'Look Up Data'!H$65</f>
        <v>141990.40064000001</v>
      </c>
      <c r="H6" s="227">
        <f>'VMT-PHT Savings - Storm Close'!N24*'Look Up Data'!I$65</f>
        <v>141990.40064000001</v>
      </c>
      <c r="I6" s="227">
        <f>'VMT-PHT Savings - Storm Close'!O24*'Look Up Data'!J$65</f>
        <v>141990.40064000001</v>
      </c>
      <c r="J6" s="227">
        <f>'VMT-PHT Savings - Storm Close'!P24*'Look Up Data'!K$65</f>
        <v>141990.40064000001</v>
      </c>
      <c r="K6" s="227">
        <f>'VMT-PHT Savings - Storm Close'!Q24*'Look Up Data'!L$65</f>
        <v>141990.40064000001</v>
      </c>
      <c r="L6" s="227">
        <f>'VMT-PHT Savings - Storm Close'!R24*'Look Up Data'!M$65</f>
        <v>141990.40064000001</v>
      </c>
      <c r="M6" s="227">
        <f>'VMT-PHT Savings - Storm Close'!S24*'Look Up Data'!N$65</f>
        <v>141990.40064000001</v>
      </c>
      <c r="N6" s="227">
        <f>'VMT-PHT Savings - Storm Close'!T24*'Look Up Data'!O$65</f>
        <v>141990.40064000001</v>
      </c>
      <c r="O6" s="227">
        <f>'VMT-PHT Savings - Storm Close'!U24*'Look Up Data'!P$65</f>
        <v>141990.40064000001</v>
      </c>
      <c r="P6" s="227">
        <f>'VMT-PHT Savings - Storm Close'!V24*'Look Up Data'!Q$65</f>
        <v>141990.40064000001</v>
      </c>
      <c r="Q6" s="227">
        <f>'VMT-PHT Savings - Storm Close'!W24*'Look Up Data'!R$65</f>
        <v>141990.40064000001</v>
      </c>
      <c r="R6" s="227">
        <f>'VMT-PHT Savings - Storm Close'!X24*'Look Up Data'!S$65</f>
        <v>141990.40064000001</v>
      </c>
      <c r="S6" s="227">
        <f>'VMT-PHT Savings - Storm Close'!Y24*'Look Up Data'!T$65</f>
        <v>141990.40064000001</v>
      </c>
      <c r="T6" s="227">
        <f>'VMT-PHT Savings - Storm Close'!Z24*'Look Up Data'!U$65</f>
        <v>141990.40064000001</v>
      </c>
      <c r="U6" s="227">
        <f>'VMT-PHT Savings - Storm Close'!AA24*'Look Up Data'!V$65</f>
        <v>141990.40064000001</v>
      </c>
      <c r="V6" s="227">
        <f>'VMT-PHT Savings - Storm Close'!AB24*'Look Up Data'!W$65</f>
        <v>141990.40064000001</v>
      </c>
    </row>
    <row r="7" spans="1:22">
      <c r="A7" t="s">
        <v>199</v>
      </c>
      <c r="C7" s="227">
        <f>'VMT-PHT Savings - Storm Close'!I25*'Look Up Data'!D$66</f>
        <v>0</v>
      </c>
      <c r="D7" s="227">
        <f>'VMT-PHT Savings - Storm Close'!J25*'Look Up Data'!E$66</f>
        <v>8160.7680000000009</v>
      </c>
      <c r="E7" s="227">
        <f>'VMT-PHT Savings - Storm Close'!K25*'Look Up Data'!F$66</f>
        <v>8160.7680000000009</v>
      </c>
      <c r="F7" s="227">
        <f>'VMT-PHT Savings - Storm Close'!L25*'Look Up Data'!G$66</f>
        <v>8160.7680000000009</v>
      </c>
      <c r="G7" s="227">
        <f>'VMT-PHT Savings - Storm Close'!M25*'Look Up Data'!H$66</f>
        <v>8160.7680000000009</v>
      </c>
      <c r="H7" s="227">
        <f>'VMT-PHT Savings - Storm Close'!N25*'Look Up Data'!I$66</f>
        <v>8160.7680000000009</v>
      </c>
      <c r="I7" s="227">
        <f>'VMT-PHT Savings - Storm Close'!O25*'Look Up Data'!J$66</f>
        <v>8160.7680000000009</v>
      </c>
      <c r="J7" s="227">
        <f>'VMT-PHT Savings - Storm Close'!P25*'Look Up Data'!K$66</f>
        <v>8160.7680000000009</v>
      </c>
      <c r="K7" s="227">
        <f>'VMT-PHT Savings - Storm Close'!Q25*'Look Up Data'!L$66</f>
        <v>8160.7680000000009</v>
      </c>
      <c r="L7" s="227">
        <f>'VMT-PHT Savings - Storm Close'!R25*'Look Up Data'!M$66</f>
        <v>8160.7680000000009</v>
      </c>
      <c r="M7" s="227">
        <f>'VMT-PHT Savings - Storm Close'!S25*'Look Up Data'!N$66</f>
        <v>8160.7680000000009</v>
      </c>
      <c r="N7" s="227">
        <f>'VMT-PHT Savings - Storm Close'!T25*'Look Up Data'!O$66</f>
        <v>8160.7680000000009</v>
      </c>
      <c r="O7" s="227">
        <f>'VMT-PHT Savings - Storm Close'!U25*'Look Up Data'!P$66</f>
        <v>8160.7680000000009</v>
      </c>
      <c r="P7" s="227">
        <f>'VMT-PHT Savings - Storm Close'!V25*'Look Up Data'!Q$66</f>
        <v>8160.7680000000009</v>
      </c>
      <c r="Q7" s="227">
        <f>'VMT-PHT Savings - Storm Close'!W25*'Look Up Data'!R$66</f>
        <v>8160.7680000000009</v>
      </c>
      <c r="R7" s="227">
        <f>'VMT-PHT Savings - Storm Close'!X25*'Look Up Data'!S$66</f>
        <v>8160.7680000000009</v>
      </c>
      <c r="S7" s="227">
        <f>'VMT-PHT Savings - Storm Close'!Y25*'Look Up Data'!T$66</f>
        <v>8160.7680000000009</v>
      </c>
      <c r="T7" s="227">
        <f>'VMT-PHT Savings - Storm Close'!Z25*'Look Up Data'!U$66</f>
        <v>8160.7680000000009</v>
      </c>
      <c r="U7" s="227">
        <f>'VMT-PHT Savings - Storm Close'!AA25*'Look Up Data'!V$66</f>
        <v>8160.7680000000009</v>
      </c>
      <c r="V7" s="227">
        <f>'VMT-PHT Savings - Storm Close'!AB25*'Look Up Data'!W$66</f>
        <v>8160.7680000000009</v>
      </c>
    </row>
    <row r="23" spans="1:2">
      <c r="A23" s="35"/>
    </row>
    <row r="25" spans="1:2">
      <c r="B25" s="19"/>
    </row>
    <row r="27" spans="1:2">
      <c r="B27" s="156"/>
    </row>
    <row r="29" spans="1:2">
      <c r="B29" s="6"/>
    </row>
  </sheetData>
  <pageMargins left="0.7" right="0.7" top="0.75" bottom="0.75" header="0.3" footer="0.3"/>
  <pageSetup paperSize="3"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7EFD0-F172-4A8B-AD97-E188DB2C2ED1}">
  <sheetPr>
    <tabColor theme="9" tint="0.39997558519241921"/>
  </sheetPr>
  <dimension ref="A1:V22"/>
  <sheetViews>
    <sheetView zoomScale="75" zoomScaleNormal="75" workbookViewId="0">
      <selection activeCell="A3" sqref="A3"/>
    </sheetView>
  </sheetViews>
  <sheetFormatPr defaultColWidth="8.7265625" defaultRowHeight="14.5"/>
  <cols>
    <col min="1" max="1" width="35.54296875" customWidth="1"/>
    <col min="2" max="22" width="11.6328125" customWidth="1"/>
  </cols>
  <sheetData>
    <row r="1" spans="1:22" ht="18.5">
      <c r="A1" s="4" t="s">
        <v>200</v>
      </c>
      <c r="B1" s="4"/>
    </row>
    <row r="3" spans="1:22">
      <c r="A3" s="1" t="s">
        <v>54</v>
      </c>
      <c r="B3" s="1"/>
      <c r="C3">
        <v>1</v>
      </c>
      <c r="D3">
        <f>C3+1</f>
        <v>2</v>
      </c>
      <c r="E3">
        <f t="shared" ref="E3:T3" si="0">D3+1</f>
        <v>3</v>
      </c>
      <c r="F3">
        <f t="shared" si="0"/>
        <v>4</v>
      </c>
      <c r="G3">
        <f t="shared" si="0"/>
        <v>5</v>
      </c>
      <c r="H3">
        <f t="shared" si="0"/>
        <v>6</v>
      </c>
      <c r="I3">
        <f t="shared" si="0"/>
        <v>7</v>
      </c>
      <c r="J3">
        <f t="shared" si="0"/>
        <v>8</v>
      </c>
      <c r="K3">
        <f t="shared" si="0"/>
        <v>9</v>
      </c>
      <c r="L3">
        <f t="shared" si="0"/>
        <v>10</v>
      </c>
      <c r="M3">
        <f t="shared" si="0"/>
        <v>11</v>
      </c>
      <c r="N3">
        <f t="shared" si="0"/>
        <v>12</v>
      </c>
      <c r="O3">
        <f t="shared" si="0"/>
        <v>13</v>
      </c>
      <c r="P3">
        <f t="shared" si="0"/>
        <v>14</v>
      </c>
      <c r="Q3">
        <f t="shared" si="0"/>
        <v>15</v>
      </c>
      <c r="R3">
        <f t="shared" si="0"/>
        <v>16</v>
      </c>
      <c r="S3">
        <f t="shared" si="0"/>
        <v>17</v>
      </c>
      <c r="T3">
        <f t="shared" si="0"/>
        <v>18</v>
      </c>
      <c r="U3">
        <f t="shared" ref="U3:V4" si="1">T3+1</f>
        <v>19</v>
      </c>
      <c r="V3">
        <f t="shared" si="1"/>
        <v>20</v>
      </c>
    </row>
    <row r="4" spans="1:22">
      <c r="C4">
        <v>2026</v>
      </c>
      <c r="D4">
        <f t="shared" ref="D4:U4" si="2">C4+1</f>
        <v>2027</v>
      </c>
      <c r="E4">
        <f t="shared" si="2"/>
        <v>2028</v>
      </c>
      <c r="F4">
        <f t="shared" si="2"/>
        <v>2029</v>
      </c>
      <c r="G4">
        <f t="shared" si="2"/>
        <v>2030</v>
      </c>
      <c r="H4">
        <f t="shared" si="2"/>
        <v>2031</v>
      </c>
      <c r="I4">
        <f t="shared" si="2"/>
        <v>2032</v>
      </c>
      <c r="J4">
        <f t="shared" si="2"/>
        <v>2033</v>
      </c>
      <c r="K4">
        <f t="shared" si="2"/>
        <v>2034</v>
      </c>
      <c r="L4">
        <f t="shared" si="2"/>
        <v>2035</v>
      </c>
      <c r="M4">
        <f t="shared" si="2"/>
        <v>2036</v>
      </c>
      <c r="N4">
        <f t="shared" si="2"/>
        <v>2037</v>
      </c>
      <c r="O4">
        <f t="shared" si="2"/>
        <v>2038</v>
      </c>
      <c r="P4">
        <f t="shared" si="2"/>
        <v>2039</v>
      </c>
      <c r="Q4">
        <f t="shared" si="2"/>
        <v>2040</v>
      </c>
      <c r="R4">
        <f t="shared" si="2"/>
        <v>2041</v>
      </c>
      <c r="S4">
        <f t="shared" si="2"/>
        <v>2042</v>
      </c>
      <c r="T4">
        <f t="shared" si="2"/>
        <v>2043</v>
      </c>
      <c r="U4">
        <f t="shared" si="2"/>
        <v>2044</v>
      </c>
      <c r="V4">
        <f t="shared" si="1"/>
        <v>2045</v>
      </c>
    </row>
    <row r="5" spans="1:22" ht="15.5">
      <c r="A5" s="253"/>
      <c r="B5" s="253"/>
    </row>
    <row r="6" spans="1:22">
      <c r="A6" s="16" t="s">
        <v>88</v>
      </c>
      <c r="B6" s="16"/>
      <c r="C6" s="227">
        <f>(Costs!$C$9+Costs!$C$10)*3</f>
        <v>16099406.716272295</v>
      </c>
      <c r="D6" s="227">
        <f>(Costs!$C$9+Costs!$C$10)*3</f>
        <v>16099406.716272295</v>
      </c>
      <c r="E6" s="227">
        <f>(Costs!$C$9+Costs!$C$10)*3</f>
        <v>16099406.716272295</v>
      </c>
      <c r="F6" s="227">
        <f>(Costs!$C$9+Costs!$C$10)*3</f>
        <v>16099406.716272295</v>
      </c>
      <c r="G6" s="227">
        <f>(Costs!$C$9+Costs!$C$10)*3</f>
        <v>16099406.716272295</v>
      </c>
      <c r="H6" s="227">
        <f>(Costs!$C$9+Costs!$C$10)*3</f>
        <v>16099406.716272295</v>
      </c>
      <c r="I6" s="227">
        <f>(Costs!$C$9+Costs!$C$10)*3</f>
        <v>16099406.716272295</v>
      </c>
      <c r="J6" s="227">
        <f>(Costs!$C$9+Costs!$C$10)*3</f>
        <v>16099406.716272295</v>
      </c>
      <c r="K6" s="227">
        <f>(Costs!$C$9+Costs!$C$10)*3</f>
        <v>16099406.716272295</v>
      </c>
      <c r="L6" s="227">
        <f>(Costs!$C$9+Costs!$C$10)*3</f>
        <v>16099406.716272295</v>
      </c>
      <c r="M6" s="227">
        <f>(Costs!$C$9+Costs!$C$10)*3</f>
        <v>16099406.716272295</v>
      </c>
      <c r="N6" s="227">
        <f>(Costs!$C$9+Costs!$C$10)*3</f>
        <v>16099406.716272295</v>
      </c>
      <c r="O6" s="227">
        <f>(Costs!$C$9+Costs!$C$10)*3</f>
        <v>16099406.716272295</v>
      </c>
      <c r="P6" s="227">
        <f>(Costs!$C$9+Costs!$C$10)*3</f>
        <v>16099406.716272295</v>
      </c>
      <c r="Q6" s="227">
        <f>(Costs!$C$9+Costs!$C$10)*3</f>
        <v>16099406.716272295</v>
      </c>
      <c r="R6" s="227">
        <f>(Costs!$C$9+Costs!$C$10)*3</f>
        <v>16099406.716272295</v>
      </c>
      <c r="S6" s="227">
        <f>(Costs!$C$9+Costs!$C$10)*3</f>
        <v>16099406.716272295</v>
      </c>
      <c r="T6" s="227">
        <f>(Costs!$C$9+Costs!$C$10)*3</f>
        <v>16099406.716272295</v>
      </c>
      <c r="U6" s="227">
        <f>(Costs!$C$9+Costs!$C$10)*3</f>
        <v>16099406.716272295</v>
      </c>
      <c r="V6" s="227">
        <f>(Costs!$C$9+Costs!$C$10)*3</f>
        <v>16099406.716272295</v>
      </c>
    </row>
    <row r="7" spans="1:22">
      <c r="A7" t="s">
        <v>201</v>
      </c>
      <c r="C7" s="82">
        <f>'Look Up Data'!B7</f>
        <v>0.02</v>
      </c>
      <c r="D7" s="82">
        <f>C7</f>
        <v>0.02</v>
      </c>
      <c r="E7" s="82">
        <f t="shared" ref="E7:V7" si="3">D7</f>
        <v>0.02</v>
      </c>
      <c r="F7" s="82">
        <f t="shared" si="3"/>
        <v>0.02</v>
      </c>
      <c r="G7" s="82">
        <f t="shared" si="3"/>
        <v>0.02</v>
      </c>
      <c r="H7" s="82">
        <f t="shared" si="3"/>
        <v>0.02</v>
      </c>
      <c r="I7" s="82">
        <f t="shared" si="3"/>
        <v>0.02</v>
      </c>
      <c r="J7" s="82">
        <f t="shared" si="3"/>
        <v>0.02</v>
      </c>
      <c r="K7" s="82">
        <f t="shared" si="3"/>
        <v>0.02</v>
      </c>
      <c r="L7" s="82">
        <f t="shared" si="3"/>
        <v>0.02</v>
      </c>
      <c r="M7" s="82">
        <f t="shared" si="3"/>
        <v>0.02</v>
      </c>
      <c r="N7" s="82">
        <f t="shared" si="3"/>
        <v>0.02</v>
      </c>
      <c r="O7" s="82">
        <f t="shared" si="3"/>
        <v>0.02</v>
      </c>
      <c r="P7" s="82">
        <f t="shared" si="3"/>
        <v>0.02</v>
      </c>
      <c r="Q7" s="82">
        <f t="shared" si="3"/>
        <v>0.02</v>
      </c>
      <c r="R7" s="82">
        <f t="shared" si="3"/>
        <v>0.02</v>
      </c>
      <c r="S7" s="82">
        <f t="shared" si="3"/>
        <v>0.02</v>
      </c>
      <c r="T7" s="82">
        <f t="shared" si="3"/>
        <v>0.02</v>
      </c>
      <c r="U7" s="82">
        <f t="shared" si="3"/>
        <v>0.02</v>
      </c>
      <c r="V7" s="82">
        <f t="shared" si="3"/>
        <v>0.02</v>
      </c>
    </row>
    <row r="8" spans="1:22">
      <c r="A8" t="s">
        <v>202</v>
      </c>
      <c r="C8" s="227">
        <f>C6*C7</f>
        <v>321988.13432544592</v>
      </c>
      <c r="D8" s="227">
        <f t="shared" ref="D8:V8" si="4">D6*D7</f>
        <v>321988.13432544592</v>
      </c>
      <c r="E8" s="227">
        <f t="shared" si="4"/>
        <v>321988.13432544592</v>
      </c>
      <c r="F8" s="227">
        <f t="shared" si="4"/>
        <v>321988.13432544592</v>
      </c>
      <c r="G8" s="227">
        <f t="shared" si="4"/>
        <v>321988.13432544592</v>
      </c>
      <c r="H8" s="227">
        <f t="shared" si="4"/>
        <v>321988.13432544592</v>
      </c>
      <c r="I8" s="227">
        <f t="shared" si="4"/>
        <v>321988.13432544592</v>
      </c>
      <c r="J8" s="227">
        <f t="shared" si="4"/>
        <v>321988.13432544592</v>
      </c>
      <c r="K8" s="227">
        <f t="shared" si="4"/>
        <v>321988.13432544592</v>
      </c>
      <c r="L8" s="227">
        <f t="shared" si="4"/>
        <v>321988.13432544592</v>
      </c>
      <c r="M8" s="227">
        <f t="shared" si="4"/>
        <v>321988.13432544592</v>
      </c>
      <c r="N8" s="227">
        <f t="shared" si="4"/>
        <v>321988.13432544592</v>
      </c>
      <c r="O8" s="227">
        <f t="shared" si="4"/>
        <v>321988.13432544592</v>
      </c>
      <c r="P8" s="227">
        <f t="shared" si="4"/>
        <v>321988.13432544592</v>
      </c>
      <c r="Q8" s="227">
        <f t="shared" si="4"/>
        <v>321988.13432544592</v>
      </c>
      <c r="R8" s="227">
        <f t="shared" si="4"/>
        <v>321988.13432544592</v>
      </c>
      <c r="S8" s="227">
        <f t="shared" si="4"/>
        <v>321988.13432544592</v>
      </c>
      <c r="T8" s="227">
        <f t="shared" si="4"/>
        <v>321988.13432544592</v>
      </c>
      <c r="U8" s="227">
        <f t="shared" si="4"/>
        <v>321988.13432544592</v>
      </c>
      <c r="V8" s="227">
        <f t="shared" si="4"/>
        <v>321988.13432544592</v>
      </c>
    </row>
    <row r="21" spans="1:1">
      <c r="A21" s="16" t="s">
        <v>203</v>
      </c>
    </row>
    <row r="22" spans="1:1">
      <c r="A22" t="s">
        <v>204</v>
      </c>
    </row>
  </sheetData>
  <pageMargins left="0.7" right="0.7" top="0.75" bottom="0.75" header="0.3" footer="0.3"/>
  <pageSetup paperSize="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1545-9834-43FE-8B06-567D30170BAD}">
  <sheetPr>
    <tabColor theme="9" tint="0.39997558519241921"/>
  </sheetPr>
  <dimension ref="A1:V7"/>
  <sheetViews>
    <sheetView zoomScale="75" zoomScaleNormal="75" workbookViewId="0">
      <selection activeCell="D18" sqref="D18"/>
    </sheetView>
  </sheetViews>
  <sheetFormatPr defaultColWidth="8.7265625" defaultRowHeight="14.5"/>
  <cols>
    <col min="1" max="1" width="35.54296875" customWidth="1"/>
    <col min="2" max="22" width="9.6328125" customWidth="1"/>
  </cols>
  <sheetData>
    <row r="1" spans="1:22" ht="18.5">
      <c r="A1" s="4" t="s">
        <v>218</v>
      </c>
      <c r="B1" s="35"/>
    </row>
    <row r="2" spans="1:22">
      <c r="B2" s="35"/>
    </row>
    <row r="3" spans="1:22">
      <c r="A3" s="1" t="s">
        <v>54</v>
      </c>
      <c r="B3" s="1"/>
      <c r="C3">
        <v>1</v>
      </c>
      <c r="D3">
        <f>C3+1</f>
        <v>2</v>
      </c>
      <c r="E3">
        <f t="shared" ref="E3:V4" si="0">D3+1</f>
        <v>3</v>
      </c>
      <c r="F3">
        <f t="shared" si="0"/>
        <v>4</v>
      </c>
      <c r="G3">
        <f t="shared" si="0"/>
        <v>5</v>
      </c>
      <c r="H3">
        <f t="shared" si="0"/>
        <v>6</v>
      </c>
      <c r="I3">
        <f t="shared" si="0"/>
        <v>7</v>
      </c>
      <c r="J3">
        <f t="shared" si="0"/>
        <v>8</v>
      </c>
      <c r="K3">
        <f t="shared" si="0"/>
        <v>9</v>
      </c>
      <c r="L3">
        <f t="shared" si="0"/>
        <v>10</v>
      </c>
      <c r="M3">
        <f t="shared" si="0"/>
        <v>11</v>
      </c>
      <c r="N3">
        <f t="shared" si="0"/>
        <v>12</v>
      </c>
      <c r="O3">
        <f t="shared" si="0"/>
        <v>13</v>
      </c>
      <c r="P3">
        <f t="shared" si="0"/>
        <v>14</v>
      </c>
      <c r="Q3">
        <f t="shared" si="0"/>
        <v>15</v>
      </c>
      <c r="R3">
        <f t="shared" si="0"/>
        <v>16</v>
      </c>
      <c r="S3">
        <f t="shared" si="0"/>
        <v>17</v>
      </c>
      <c r="T3">
        <f t="shared" si="0"/>
        <v>18</v>
      </c>
      <c r="U3">
        <f t="shared" si="0"/>
        <v>19</v>
      </c>
      <c r="V3">
        <f t="shared" si="0"/>
        <v>20</v>
      </c>
    </row>
    <row r="4" spans="1:22">
      <c r="C4">
        <v>2026</v>
      </c>
      <c r="D4">
        <f t="shared" ref="D4:U4" si="1">C4+1</f>
        <v>2027</v>
      </c>
      <c r="E4">
        <f t="shared" si="1"/>
        <v>2028</v>
      </c>
      <c r="F4">
        <f t="shared" si="1"/>
        <v>2029</v>
      </c>
      <c r="G4">
        <f t="shared" si="1"/>
        <v>2030</v>
      </c>
      <c r="H4">
        <f t="shared" si="1"/>
        <v>2031</v>
      </c>
      <c r="I4">
        <f t="shared" si="1"/>
        <v>2032</v>
      </c>
      <c r="J4">
        <f t="shared" si="1"/>
        <v>2033</v>
      </c>
      <c r="K4">
        <f t="shared" si="1"/>
        <v>2034</v>
      </c>
      <c r="L4">
        <f t="shared" si="1"/>
        <v>2035</v>
      </c>
      <c r="M4">
        <f t="shared" si="1"/>
        <v>2036</v>
      </c>
      <c r="N4">
        <f t="shared" si="1"/>
        <v>2037</v>
      </c>
      <c r="O4">
        <f t="shared" si="1"/>
        <v>2038</v>
      </c>
      <c r="P4">
        <f t="shared" si="1"/>
        <v>2039</v>
      </c>
      <c r="Q4">
        <f t="shared" si="1"/>
        <v>2040</v>
      </c>
      <c r="R4">
        <f t="shared" si="1"/>
        <v>2041</v>
      </c>
      <c r="S4">
        <f t="shared" si="1"/>
        <v>2042</v>
      </c>
      <c r="T4">
        <f t="shared" si="1"/>
        <v>2043</v>
      </c>
      <c r="U4">
        <f t="shared" si="1"/>
        <v>2044</v>
      </c>
      <c r="V4">
        <f t="shared" si="0"/>
        <v>2045</v>
      </c>
    </row>
    <row r="5" spans="1:22" ht="15.5">
      <c r="A5" s="253"/>
      <c r="B5" s="35"/>
    </row>
    <row r="6" spans="1:22">
      <c r="A6" t="s">
        <v>219</v>
      </c>
      <c r="C6" s="139">
        <f>'VMT-PHT Savings - Storm Close'!I18*'Look Up Data'!$B$8</f>
        <v>85979.520000000004</v>
      </c>
      <c r="D6" s="139">
        <f>'VMT-PHT Savings - Storm Close'!J18*'Look Up Data'!$B$8</f>
        <v>85979.520000000004</v>
      </c>
      <c r="E6" s="139">
        <f>'VMT-PHT Savings - Storm Close'!K18*'Look Up Data'!$B$8</f>
        <v>85979.520000000004</v>
      </c>
      <c r="F6" s="139">
        <f>'VMT-PHT Savings - Storm Close'!L18*'Look Up Data'!$B$8</f>
        <v>85979.520000000004</v>
      </c>
      <c r="G6" s="139">
        <f>'VMT-PHT Savings - Storm Close'!M18*'Look Up Data'!$B$8</f>
        <v>85979.520000000004</v>
      </c>
      <c r="H6" s="139">
        <f>'VMT-PHT Savings - Storm Close'!N18*'Look Up Data'!$B$8</f>
        <v>85979.520000000004</v>
      </c>
      <c r="I6" s="139">
        <f>'VMT-PHT Savings - Storm Close'!O18*'Look Up Data'!$B$8</f>
        <v>85979.520000000004</v>
      </c>
      <c r="J6" s="139">
        <f>'VMT-PHT Savings - Storm Close'!P18*'Look Up Data'!$B$8</f>
        <v>85979.520000000004</v>
      </c>
      <c r="K6" s="139">
        <f>'VMT-PHT Savings - Storm Close'!Q18*'Look Up Data'!$B$8</f>
        <v>85979.520000000004</v>
      </c>
      <c r="L6" s="139">
        <f>'VMT-PHT Savings - Storm Close'!R18*'Look Up Data'!$B$8</f>
        <v>85979.520000000004</v>
      </c>
      <c r="M6" s="139">
        <f>'VMT-PHT Savings - Storm Close'!S18*'Look Up Data'!$B$8</f>
        <v>85979.520000000004</v>
      </c>
      <c r="N6" s="139">
        <f>'VMT-PHT Savings - Storm Close'!T18*'Look Up Data'!$B$8</f>
        <v>85979.520000000004</v>
      </c>
      <c r="O6" s="139">
        <f>'VMT-PHT Savings - Storm Close'!U18*'Look Up Data'!$B$8</f>
        <v>85979.520000000004</v>
      </c>
      <c r="P6" s="139">
        <f>'VMT-PHT Savings - Storm Close'!V18*'Look Up Data'!$B$8</f>
        <v>85979.520000000004</v>
      </c>
      <c r="Q6" s="139">
        <f>'VMT-PHT Savings - Storm Close'!W18*'Look Up Data'!$B$8</f>
        <v>85979.520000000004</v>
      </c>
      <c r="R6" s="139">
        <f>'VMT-PHT Savings - Storm Close'!X18*'Look Up Data'!$B$8</f>
        <v>85979.520000000004</v>
      </c>
      <c r="S6" s="139">
        <f>'VMT-PHT Savings - Storm Close'!Y18*'Look Up Data'!$B$8</f>
        <v>85979.520000000004</v>
      </c>
      <c r="T6" s="139">
        <f>'VMT-PHT Savings - Storm Close'!Z18*'Look Up Data'!$B$8</f>
        <v>85979.520000000004</v>
      </c>
      <c r="U6" s="139">
        <f>'VMT-PHT Savings - Storm Close'!AA18*'Look Up Data'!$B$8</f>
        <v>85979.520000000004</v>
      </c>
      <c r="V6" s="139">
        <f>'VMT-PHT Savings - Storm Close'!AB18*'Look Up Data'!$B$8</f>
        <v>85979.520000000004</v>
      </c>
    </row>
    <row r="7" spans="1:22">
      <c r="A7" t="s">
        <v>220</v>
      </c>
      <c r="C7" s="139">
        <f>'VMT-PHT Savings - Storm Close'!I19*'Look Up Data'!$B$9</f>
        <v>9588.9024000000009</v>
      </c>
      <c r="D7" s="139">
        <f>'VMT-PHT Savings - Storm Close'!J19*'Look Up Data'!$B$9</f>
        <v>9588.9024000000009</v>
      </c>
      <c r="E7" s="139">
        <f>'VMT-PHT Savings - Storm Close'!K19*'Look Up Data'!$B$9</f>
        <v>9588.9024000000009</v>
      </c>
      <c r="F7" s="139">
        <f>'VMT-PHT Savings - Storm Close'!L19*'Look Up Data'!$B$9</f>
        <v>9588.9024000000009</v>
      </c>
      <c r="G7" s="139">
        <f>'VMT-PHT Savings - Storm Close'!M19*'Look Up Data'!$B$9</f>
        <v>9588.9024000000009</v>
      </c>
      <c r="H7" s="139">
        <f>'VMT-PHT Savings - Storm Close'!N19*'Look Up Data'!$B$9</f>
        <v>9588.9024000000009</v>
      </c>
      <c r="I7" s="139">
        <f>'VMT-PHT Savings - Storm Close'!O19*'Look Up Data'!$B$9</f>
        <v>9588.9024000000009</v>
      </c>
      <c r="J7" s="139">
        <f>'VMT-PHT Savings - Storm Close'!P19*'Look Up Data'!$B$9</f>
        <v>9588.9024000000009</v>
      </c>
      <c r="K7" s="139">
        <f>'VMT-PHT Savings - Storm Close'!Q19*'Look Up Data'!$B$9</f>
        <v>9588.9024000000009</v>
      </c>
      <c r="L7" s="139">
        <f>'VMT-PHT Savings - Storm Close'!R19*'Look Up Data'!$B$9</f>
        <v>9588.9024000000009</v>
      </c>
      <c r="M7" s="139">
        <f>'VMT-PHT Savings - Storm Close'!S19*'Look Up Data'!$B$9</f>
        <v>9588.9024000000009</v>
      </c>
      <c r="N7" s="139">
        <f>'VMT-PHT Savings - Storm Close'!T19*'Look Up Data'!$B$9</f>
        <v>9588.9024000000009</v>
      </c>
      <c r="O7" s="139">
        <f>'VMT-PHT Savings - Storm Close'!U19*'Look Up Data'!$B$9</f>
        <v>9588.9024000000009</v>
      </c>
      <c r="P7" s="139">
        <f>'VMT-PHT Savings - Storm Close'!V19*'Look Up Data'!$B$9</f>
        <v>9588.9024000000009</v>
      </c>
      <c r="Q7" s="139">
        <f>'VMT-PHT Savings - Storm Close'!W19*'Look Up Data'!$B$9</f>
        <v>9588.9024000000009</v>
      </c>
      <c r="R7" s="139">
        <f>'VMT-PHT Savings - Storm Close'!X19*'Look Up Data'!$B$9</f>
        <v>9588.9024000000009</v>
      </c>
      <c r="S7" s="139">
        <f>'VMT-PHT Savings - Storm Close'!Y19*'Look Up Data'!$B$9</f>
        <v>9588.9024000000009</v>
      </c>
      <c r="T7" s="139">
        <f>'VMT-PHT Savings - Storm Close'!Z19*'Look Up Data'!$B$9</f>
        <v>9588.9024000000009</v>
      </c>
      <c r="U7" s="139">
        <f>'VMT-PHT Savings - Storm Close'!AA19*'Look Up Data'!$B$9</f>
        <v>9588.9024000000009</v>
      </c>
      <c r="V7" s="139">
        <f>'VMT-PHT Savings - Storm Close'!AB19*'Look Up Data'!$B$9</f>
        <v>9588.9024000000009</v>
      </c>
    </row>
  </sheetData>
  <pageMargins left="0.7" right="0.7" top="0.75" bottom="0.75" header="0.3" footer="0.3"/>
  <pageSetup paperSize="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9A64-8CB4-45B3-997F-FF92A6011C8F}">
  <sheetPr>
    <tabColor theme="9" tint="0.39997558519241921"/>
  </sheetPr>
  <dimension ref="A1:AA27"/>
  <sheetViews>
    <sheetView zoomScale="75" zoomScaleNormal="75" workbookViewId="0"/>
  </sheetViews>
  <sheetFormatPr defaultRowHeight="14.5"/>
  <cols>
    <col min="1" max="1" width="40.54296875" style="184" customWidth="1"/>
    <col min="2" max="7" width="5.54296875" customWidth="1"/>
    <col min="8" max="27" width="9.6328125" customWidth="1"/>
  </cols>
  <sheetData>
    <row r="1" spans="1:27" s="176" customFormat="1" ht="18.5">
      <c r="A1" s="183" t="s">
        <v>205</v>
      </c>
    </row>
    <row r="3" spans="1:27">
      <c r="A3" s="194" t="s">
        <v>54</v>
      </c>
      <c r="B3" s="174"/>
      <c r="C3" s="16"/>
      <c r="D3" s="16"/>
      <c r="E3" s="16"/>
      <c r="F3" s="16"/>
      <c r="G3" s="16"/>
      <c r="H3" s="16">
        <v>1</v>
      </c>
      <c r="I3" s="16">
        <f>H3+1</f>
        <v>2</v>
      </c>
      <c r="J3" s="16">
        <f t="shared" ref="J3:Y3" si="0">I3+1</f>
        <v>3</v>
      </c>
      <c r="K3" s="16">
        <f t="shared" si="0"/>
        <v>4</v>
      </c>
      <c r="L3" s="16">
        <f t="shared" si="0"/>
        <v>5</v>
      </c>
      <c r="M3" s="16">
        <f t="shared" si="0"/>
        <v>6</v>
      </c>
      <c r="N3" s="16">
        <f t="shared" si="0"/>
        <v>7</v>
      </c>
      <c r="O3" s="16">
        <f t="shared" si="0"/>
        <v>8</v>
      </c>
      <c r="P3" s="16">
        <f t="shared" si="0"/>
        <v>9</v>
      </c>
      <c r="Q3" s="16">
        <f t="shared" si="0"/>
        <v>10</v>
      </c>
      <c r="R3" s="16">
        <f t="shared" si="0"/>
        <v>11</v>
      </c>
      <c r="S3" s="16">
        <f t="shared" si="0"/>
        <v>12</v>
      </c>
      <c r="T3" s="16">
        <f t="shared" si="0"/>
        <v>13</v>
      </c>
      <c r="U3" s="16">
        <f t="shared" si="0"/>
        <v>14</v>
      </c>
      <c r="V3" s="16">
        <f t="shared" si="0"/>
        <v>15</v>
      </c>
      <c r="W3" s="16">
        <f t="shared" si="0"/>
        <v>16</v>
      </c>
      <c r="X3" s="16">
        <f t="shared" si="0"/>
        <v>17</v>
      </c>
      <c r="Y3" s="16">
        <f t="shared" si="0"/>
        <v>18</v>
      </c>
      <c r="Z3" s="16">
        <f t="shared" ref="Z3:AA4" si="1">Y3+1</f>
        <v>19</v>
      </c>
      <c r="AA3" s="16">
        <f t="shared" si="1"/>
        <v>20</v>
      </c>
    </row>
    <row r="4" spans="1:27" s="176" customFormat="1">
      <c r="A4" s="189"/>
      <c r="B4" s="179">
        <v>2020</v>
      </c>
      <c r="C4" s="179">
        <f t="shared" ref="C4:Z4" si="2">B4+1</f>
        <v>2021</v>
      </c>
      <c r="D4" s="179">
        <f>C4+1</f>
        <v>2022</v>
      </c>
      <c r="E4" s="179">
        <f t="shared" si="2"/>
        <v>2023</v>
      </c>
      <c r="F4" s="179">
        <f t="shared" si="2"/>
        <v>2024</v>
      </c>
      <c r="G4" s="179">
        <f t="shared" si="2"/>
        <v>2025</v>
      </c>
      <c r="H4" s="179">
        <f>G4+1</f>
        <v>2026</v>
      </c>
      <c r="I4" s="179">
        <f t="shared" si="2"/>
        <v>2027</v>
      </c>
      <c r="J4" s="179">
        <f t="shared" si="2"/>
        <v>2028</v>
      </c>
      <c r="K4" s="179">
        <f t="shared" si="2"/>
        <v>2029</v>
      </c>
      <c r="L4" s="179">
        <f t="shared" si="2"/>
        <v>2030</v>
      </c>
      <c r="M4" s="179">
        <f t="shared" si="2"/>
        <v>2031</v>
      </c>
      <c r="N4" s="179">
        <f t="shared" si="2"/>
        <v>2032</v>
      </c>
      <c r="O4" s="179">
        <f t="shared" si="2"/>
        <v>2033</v>
      </c>
      <c r="P4" s="179">
        <f t="shared" si="2"/>
        <v>2034</v>
      </c>
      <c r="Q4" s="179">
        <f t="shared" si="2"/>
        <v>2035</v>
      </c>
      <c r="R4" s="179">
        <f t="shared" si="2"/>
        <v>2036</v>
      </c>
      <c r="S4" s="179">
        <f t="shared" si="2"/>
        <v>2037</v>
      </c>
      <c r="T4" s="179">
        <f t="shared" si="2"/>
        <v>2038</v>
      </c>
      <c r="U4" s="179">
        <f t="shared" si="2"/>
        <v>2039</v>
      </c>
      <c r="V4" s="179">
        <f t="shared" si="2"/>
        <v>2040</v>
      </c>
      <c r="W4" s="179">
        <f t="shared" si="2"/>
        <v>2041</v>
      </c>
      <c r="X4" s="179">
        <f t="shared" si="2"/>
        <v>2042</v>
      </c>
      <c r="Y4" s="179">
        <f t="shared" si="2"/>
        <v>2043</v>
      </c>
      <c r="Z4" s="179">
        <f t="shared" si="2"/>
        <v>2044</v>
      </c>
      <c r="AA4" s="179">
        <f t="shared" si="1"/>
        <v>2045</v>
      </c>
    </row>
    <row r="5" spans="1:27" s="181" customFormat="1">
      <c r="A5" s="190" t="s">
        <v>206</v>
      </c>
      <c r="H5" s="182"/>
      <c r="I5" s="182"/>
      <c r="J5" s="182"/>
      <c r="K5" s="182"/>
      <c r="L5" s="182"/>
      <c r="M5" s="182"/>
      <c r="N5" s="182"/>
      <c r="O5" s="182"/>
      <c r="P5" s="182"/>
      <c r="Q5" s="182"/>
      <c r="R5" s="182"/>
      <c r="S5" s="182"/>
      <c r="T5" s="182"/>
      <c r="U5" s="182"/>
      <c r="V5" s="182"/>
      <c r="W5" s="182"/>
      <c r="X5" s="182"/>
      <c r="Y5" s="182"/>
      <c r="Z5" s="182"/>
      <c r="AA5" s="182"/>
    </row>
    <row r="6" spans="1:27">
      <c r="A6" s="191" t="s">
        <v>207</v>
      </c>
      <c r="H6" s="65"/>
      <c r="I6" s="65"/>
      <c r="J6" s="65"/>
      <c r="K6" s="65"/>
      <c r="L6" s="65"/>
      <c r="M6" s="65"/>
      <c r="N6" s="65"/>
      <c r="O6" s="65"/>
      <c r="P6" s="65"/>
      <c r="Q6" s="65"/>
      <c r="R6" s="65"/>
      <c r="S6" s="65"/>
      <c r="T6" s="65"/>
      <c r="U6" s="65"/>
      <c r="V6" s="65"/>
      <c r="W6" s="65"/>
      <c r="X6" s="65"/>
      <c r="Y6" s="65"/>
      <c r="Z6" s="65"/>
      <c r="AA6" s="65"/>
    </row>
    <row r="7" spans="1:27">
      <c r="A7" s="192" t="s">
        <v>208</v>
      </c>
      <c r="H7" s="175">
        <f>'VMT-PHT Savings - Storm Close'!$I$18*'Look Up Data'!I17</f>
        <v>4.1556768000000001E-2</v>
      </c>
      <c r="I7" s="175">
        <f>H7*0.98</f>
        <v>4.0725632640000002E-2</v>
      </c>
      <c r="J7" s="175">
        <f t="shared" ref="J7:AA10" si="3">I7*0.98</f>
        <v>3.9911119987200004E-2</v>
      </c>
      <c r="K7" s="175">
        <f t="shared" si="3"/>
        <v>3.9112897587456001E-2</v>
      </c>
      <c r="L7" s="175">
        <f t="shared" si="3"/>
        <v>3.8330639635706883E-2</v>
      </c>
      <c r="M7" s="175">
        <f t="shared" si="3"/>
        <v>3.7564026842992745E-2</v>
      </c>
      <c r="N7" s="175">
        <f t="shared" si="3"/>
        <v>3.681274630613289E-2</v>
      </c>
      <c r="O7" s="175">
        <f t="shared" si="3"/>
        <v>3.6076491380010234E-2</v>
      </c>
      <c r="P7" s="175">
        <f t="shared" si="3"/>
        <v>3.5354961552410032E-2</v>
      </c>
      <c r="Q7" s="175">
        <f t="shared" si="3"/>
        <v>3.4647862321361828E-2</v>
      </c>
      <c r="R7" s="175">
        <f t="shared" si="3"/>
        <v>3.3954905074934594E-2</v>
      </c>
      <c r="S7" s="175">
        <f t="shared" si="3"/>
        <v>3.3275806973435899E-2</v>
      </c>
      <c r="T7" s="175">
        <f t="shared" si="3"/>
        <v>3.261029083396718E-2</v>
      </c>
      <c r="U7" s="175">
        <f t="shared" si="3"/>
        <v>3.1958085017287835E-2</v>
      </c>
      <c r="V7" s="175">
        <f t="shared" si="3"/>
        <v>3.1318923316942075E-2</v>
      </c>
      <c r="W7" s="175">
        <f t="shared" si="3"/>
        <v>3.0692544850603232E-2</v>
      </c>
      <c r="X7" s="175">
        <f t="shared" si="3"/>
        <v>3.0078693953591168E-2</v>
      </c>
      <c r="Y7" s="175">
        <f t="shared" si="3"/>
        <v>2.9477120074519345E-2</v>
      </c>
      <c r="Z7" s="175">
        <f t="shared" si="3"/>
        <v>2.8887577673028957E-2</v>
      </c>
      <c r="AA7" s="175">
        <f t="shared" si="3"/>
        <v>2.8309826119568376E-2</v>
      </c>
    </row>
    <row r="8" spans="1:27">
      <c r="A8" s="192" t="s">
        <v>209</v>
      </c>
      <c r="H8" s="175">
        <f>'VMT-PHT Savings - Storm Close'!$I$18*'Look Up Data'!I18</f>
        <v>4.2034431999999998E-4</v>
      </c>
      <c r="I8" s="175">
        <f t="shared" ref="I8:X10" si="4">H8*0.98</f>
        <v>4.1193743359999995E-4</v>
      </c>
      <c r="J8" s="175">
        <f t="shared" si="4"/>
        <v>4.0369868492799992E-4</v>
      </c>
      <c r="K8" s="175">
        <f t="shared" si="4"/>
        <v>3.9562471122943989E-4</v>
      </c>
      <c r="L8" s="175">
        <f t="shared" si="4"/>
        <v>3.8771221700485106E-4</v>
      </c>
      <c r="M8" s="175">
        <f t="shared" si="4"/>
        <v>3.7995797266475402E-4</v>
      </c>
      <c r="N8" s="175">
        <f t="shared" si="4"/>
        <v>3.7235881321145893E-4</v>
      </c>
      <c r="O8" s="175">
        <f t="shared" si="4"/>
        <v>3.6491163694722976E-4</v>
      </c>
      <c r="P8" s="175">
        <f t="shared" si="4"/>
        <v>3.5761340420828518E-4</v>
      </c>
      <c r="Q8" s="175">
        <f t="shared" si="4"/>
        <v>3.5046113612411945E-4</v>
      </c>
      <c r="R8" s="175">
        <f t="shared" si="4"/>
        <v>3.4345191340163708E-4</v>
      </c>
      <c r="S8" s="175">
        <f t="shared" si="4"/>
        <v>3.3658287513360435E-4</v>
      </c>
      <c r="T8" s="175">
        <f t="shared" si="4"/>
        <v>3.2985121763093225E-4</v>
      </c>
      <c r="U8" s="175">
        <f t="shared" si="4"/>
        <v>3.2325419327831358E-4</v>
      </c>
      <c r="V8" s="175">
        <f t="shared" si="4"/>
        <v>3.167891094127473E-4</v>
      </c>
      <c r="W8" s="175">
        <f t="shared" si="4"/>
        <v>3.1045332722449233E-4</v>
      </c>
      <c r="X8" s="175">
        <f t="shared" si="4"/>
        <v>3.042442606800025E-4</v>
      </c>
      <c r="Y8" s="175">
        <f t="shared" si="3"/>
        <v>2.9815937546640242E-4</v>
      </c>
      <c r="Z8" s="175">
        <f t="shared" si="3"/>
        <v>2.9219618795707438E-4</v>
      </c>
      <c r="AA8" s="175">
        <f t="shared" si="3"/>
        <v>2.8635226419793287E-4</v>
      </c>
    </row>
    <row r="9" spans="1:27">
      <c r="A9" s="192" t="s">
        <v>210</v>
      </c>
      <c r="H9" s="175">
        <f>'VMT-PHT Savings - Storm Close'!$I$18*'Look Up Data'!I19</f>
        <v>76.439259974246411</v>
      </c>
      <c r="I9" s="175">
        <f t="shared" si="4"/>
        <v>74.910474774761482</v>
      </c>
      <c r="J9" s="175">
        <f t="shared" si="3"/>
        <v>73.412265279266251</v>
      </c>
      <c r="K9" s="175">
        <f t="shared" si="3"/>
        <v>71.944019973680923</v>
      </c>
      <c r="L9" s="175">
        <f t="shared" si="3"/>
        <v>70.505139574207305</v>
      </c>
      <c r="M9" s="175">
        <f t="shared" si="3"/>
        <v>69.095036782723156</v>
      </c>
      <c r="N9" s="175">
        <f t="shared" si="3"/>
        <v>67.713136047068687</v>
      </c>
      <c r="O9" s="175">
        <f t="shared" si="3"/>
        <v>66.358873326127309</v>
      </c>
      <c r="P9" s="175">
        <f t="shared" si="3"/>
        <v>65.031695859604767</v>
      </c>
      <c r="Q9" s="175">
        <f t="shared" si="3"/>
        <v>63.731061942412673</v>
      </c>
      <c r="R9" s="175">
        <f t="shared" si="3"/>
        <v>62.456440703564418</v>
      </c>
      <c r="S9" s="175">
        <f t="shared" si="3"/>
        <v>61.207311889493127</v>
      </c>
      <c r="T9" s="175">
        <f t="shared" si="3"/>
        <v>59.98316565170326</v>
      </c>
      <c r="U9" s="175">
        <f t="shared" si="3"/>
        <v>58.783502338669194</v>
      </c>
      <c r="V9" s="175">
        <f t="shared" si="3"/>
        <v>57.607832291895811</v>
      </c>
      <c r="W9" s="175">
        <f t="shared" si="3"/>
        <v>56.455675646057891</v>
      </c>
      <c r="X9" s="175">
        <f t="shared" si="3"/>
        <v>55.326562133136733</v>
      </c>
      <c r="Y9" s="175">
        <f t="shared" si="3"/>
        <v>54.220030890474</v>
      </c>
      <c r="Z9" s="175">
        <f t="shared" si="3"/>
        <v>53.135630272664521</v>
      </c>
      <c r="AA9" s="175">
        <f t="shared" si="3"/>
        <v>52.072917667211229</v>
      </c>
    </row>
    <row r="10" spans="1:27">
      <c r="A10" s="192" t="s">
        <v>211</v>
      </c>
      <c r="H10" s="175">
        <f>'VMT-PHT Savings - Storm Close'!$I$18*'Look Up Data'!I20</f>
        <v>1.7960166399999999E-3</v>
      </c>
      <c r="I10" s="175">
        <f t="shared" si="4"/>
        <v>1.7600963071999999E-3</v>
      </c>
      <c r="J10" s="175">
        <f t="shared" si="3"/>
        <v>1.7248943810559999E-3</v>
      </c>
      <c r="K10" s="175">
        <f t="shared" si="3"/>
        <v>1.6903964934348798E-3</v>
      </c>
      <c r="L10" s="175">
        <f t="shared" si="3"/>
        <v>1.6565885635661821E-3</v>
      </c>
      <c r="M10" s="175">
        <f t="shared" si="3"/>
        <v>1.6234567922948583E-3</v>
      </c>
      <c r="N10" s="175">
        <f t="shared" si="3"/>
        <v>1.590987656448961E-3</v>
      </c>
      <c r="O10" s="175">
        <f t="shared" si="3"/>
        <v>1.5591679033199817E-3</v>
      </c>
      <c r="P10" s="175">
        <f t="shared" si="3"/>
        <v>1.5279845452535821E-3</v>
      </c>
      <c r="Q10" s="175">
        <f t="shared" si="3"/>
        <v>1.4974248543485104E-3</v>
      </c>
      <c r="R10" s="175">
        <f t="shared" si="3"/>
        <v>1.4674763572615401E-3</v>
      </c>
      <c r="S10" s="175">
        <f t="shared" si="3"/>
        <v>1.4381268301163093E-3</v>
      </c>
      <c r="T10" s="175">
        <f t="shared" si="3"/>
        <v>1.4093642935139831E-3</v>
      </c>
      <c r="U10" s="175">
        <f t="shared" si="3"/>
        <v>1.3811770076437033E-3</v>
      </c>
      <c r="V10" s="175">
        <f t="shared" si="3"/>
        <v>1.3535534674908292E-3</v>
      </c>
      <c r="W10" s="175">
        <f t="shared" si="3"/>
        <v>1.3264823981410127E-3</v>
      </c>
      <c r="X10" s="175">
        <f t="shared" si="3"/>
        <v>1.2999527501781924E-3</v>
      </c>
      <c r="Y10" s="175">
        <f t="shared" si="3"/>
        <v>1.2739536951746286E-3</v>
      </c>
      <c r="Z10" s="175">
        <f t="shared" si="3"/>
        <v>1.248474621271136E-3</v>
      </c>
      <c r="AA10" s="175">
        <f t="shared" si="3"/>
        <v>1.2235051288457131E-3</v>
      </c>
    </row>
    <row r="11" spans="1:27">
      <c r="A11" s="191" t="s">
        <v>212</v>
      </c>
      <c r="H11" s="2"/>
      <c r="I11" s="2"/>
      <c r="J11" s="2"/>
      <c r="K11" s="2"/>
      <c r="L11" s="2"/>
      <c r="M11" s="2"/>
      <c r="N11" s="2"/>
      <c r="O11" s="2"/>
      <c r="P11" s="2"/>
      <c r="Q11" s="2"/>
      <c r="R11" s="2"/>
      <c r="S11" s="2"/>
      <c r="T11" s="2"/>
      <c r="U11" s="2"/>
      <c r="V11" s="2"/>
      <c r="W11" s="2"/>
      <c r="X11" s="2"/>
      <c r="Y11" s="2"/>
      <c r="Z11" s="2"/>
      <c r="AA11" s="2"/>
    </row>
    <row r="12" spans="1:27">
      <c r="A12" s="192" t="s">
        <v>208</v>
      </c>
      <c r="H12" s="2">
        <f>'VMT-PHT Savings - Storm Close'!I$19*('Look Up Data'!I22+'Look Up Data'!I27)/2</f>
        <v>2.5352445888000005E-2</v>
      </c>
      <c r="I12" s="175">
        <f>H12*0.98</f>
        <v>2.4845396970240005E-2</v>
      </c>
      <c r="J12" s="175">
        <f t="shared" ref="J12:AA15" si="5">I12*0.98</f>
        <v>2.4348489030835203E-2</v>
      </c>
      <c r="K12" s="175">
        <f t="shared" si="5"/>
        <v>2.38615192502185E-2</v>
      </c>
      <c r="L12" s="175">
        <f t="shared" si="5"/>
        <v>2.3384288865214129E-2</v>
      </c>
      <c r="M12" s="175">
        <f t="shared" si="5"/>
        <v>2.2916603087909847E-2</v>
      </c>
      <c r="N12" s="175">
        <f t="shared" si="5"/>
        <v>2.2458271026151649E-2</v>
      </c>
      <c r="O12" s="175">
        <f t="shared" si="5"/>
        <v>2.2009105605628614E-2</v>
      </c>
      <c r="P12" s="175">
        <f t="shared" si="5"/>
        <v>2.1568923493516041E-2</v>
      </c>
      <c r="Q12" s="175">
        <f t="shared" si="5"/>
        <v>2.1137545023645718E-2</v>
      </c>
      <c r="R12" s="175">
        <f t="shared" si="5"/>
        <v>2.0714794123172803E-2</v>
      </c>
      <c r="S12" s="175">
        <f t="shared" si="5"/>
        <v>2.0300498240709348E-2</v>
      </c>
      <c r="T12" s="175">
        <f t="shared" si="5"/>
        <v>1.9894488275895163E-2</v>
      </c>
      <c r="U12" s="175">
        <f t="shared" si="5"/>
        <v>1.9496598510377258E-2</v>
      </c>
      <c r="V12" s="175">
        <f t="shared" si="5"/>
        <v>1.9106666540169712E-2</v>
      </c>
      <c r="W12" s="175">
        <f t="shared" si="5"/>
        <v>1.8724533209366317E-2</v>
      </c>
      <c r="X12" s="175">
        <f t="shared" si="5"/>
        <v>1.8350042545178989E-2</v>
      </c>
      <c r="Y12" s="175">
        <f t="shared" si="5"/>
        <v>1.798304169427541E-2</v>
      </c>
      <c r="Z12" s="175">
        <f t="shared" si="5"/>
        <v>1.7623380860389903E-2</v>
      </c>
      <c r="AA12" s="175">
        <f t="shared" si="5"/>
        <v>1.7270913243182105E-2</v>
      </c>
    </row>
    <row r="13" spans="1:27">
      <c r="A13" s="192" t="s">
        <v>209</v>
      </c>
      <c r="H13" s="2">
        <f>'VMT-PHT Savings - Storm Close'!I$19*('Look Up Data'!I23+'Look Up Data'!I28)/2</f>
        <v>4.5904320000000002E-5</v>
      </c>
      <c r="I13" s="175">
        <f t="shared" ref="I13:I15" si="6">H13*0.98</f>
        <v>4.49862336E-5</v>
      </c>
      <c r="J13" s="175">
        <f t="shared" si="5"/>
        <v>4.4086508928000001E-5</v>
      </c>
      <c r="K13" s="175">
        <f t="shared" si="5"/>
        <v>4.3204778749440003E-5</v>
      </c>
      <c r="L13" s="175">
        <f t="shared" si="5"/>
        <v>4.2340683174451205E-5</v>
      </c>
      <c r="M13" s="175">
        <f t="shared" si="5"/>
        <v>4.1493869510962178E-5</v>
      </c>
      <c r="N13" s="175">
        <f t="shared" si="5"/>
        <v>4.0663992120742934E-5</v>
      </c>
      <c r="O13" s="175">
        <f t="shared" si="5"/>
        <v>3.9850712278328075E-5</v>
      </c>
      <c r="P13" s="175">
        <f t="shared" si="5"/>
        <v>3.905369803276151E-5</v>
      </c>
      <c r="Q13" s="175">
        <f t="shared" si="5"/>
        <v>3.8272624072106277E-5</v>
      </c>
      <c r="R13" s="175">
        <f t="shared" si="5"/>
        <v>3.7507171590664148E-5</v>
      </c>
      <c r="S13" s="175">
        <f t="shared" si="5"/>
        <v>3.6757028158850862E-5</v>
      </c>
      <c r="T13" s="175">
        <f t="shared" si="5"/>
        <v>3.6021887595673846E-5</v>
      </c>
      <c r="U13" s="175">
        <f t="shared" si="5"/>
        <v>3.5301449843760366E-5</v>
      </c>
      <c r="V13" s="175">
        <f t="shared" si="5"/>
        <v>3.4595420846885156E-5</v>
      </c>
      <c r="W13" s="175">
        <f t="shared" si="5"/>
        <v>3.390351242994745E-5</v>
      </c>
      <c r="X13" s="175">
        <f t="shared" si="5"/>
        <v>3.3225442181348504E-5</v>
      </c>
      <c r="Y13" s="175">
        <f t="shared" si="5"/>
        <v>3.2560933337721535E-5</v>
      </c>
      <c r="Z13" s="175">
        <f t="shared" si="5"/>
        <v>3.1909714670967102E-5</v>
      </c>
      <c r="AA13" s="175">
        <f t="shared" si="5"/>
        <v>3.127152037754776E-5</v>
      </c>
    </row>
    <row r="14" spans="1:27">
      <c r="A14" s="192" t="s">
        <v>210</v>
      </c>
      <c r="H14" s="2">
        <f>'VMT-PHT Savings - Storm Close'!I$19*('Look Up Data'!I24+'Look Up Data'!I29)/2</f>
        <v>15.484780257833778</v>
      </c>
      <c r="I14" s="175">
        <f t="shared" si="6"/>
        <v>15.175084652677102</v>
      </c>
      <c r="J14" s="175">
        <f t="shared" si="5"/>
        <v>14.871582959623559</v>
      </c>
      <c r="K14" s="175">
        <f t="shared" si="5"/>
        <v>14.574151300431089</v>
      </c>
      <c r="L14" s="175">
        <f t="shared" si="5"/>
        <v>14.282668274422466</v>
      </c>
      <c r="M14" s="175">
        <f t="shared" si="5"/>
        <v>13.997014908934016</v>
      </c>
      <c r="N14" s="175">
        <f t="shared" si="5"/>
        <v>13.717074610755336</v>
      </c>
      <c r="O14" s="175">
        <f t="shared" si="5"/>
        <v>13.442733118540229</v>
      </c>
      <c r="P14" s="175">
        <f t="shared" si="5"/>
        <v>13.173878456169424</v>
      </c>
      <c r="Q14" s="175">
        <f t="shared" si="5"/>
        <v>12.910400887046036</v>
      </c>
      <c r="R14" s="175">
        <f t="shared" si="5"/>
        <v>12.652192869305114</v>
      </c>
      <c r="S14" s="175">
        <f t="shared" si="5"/>
        <v>12.399149011919011</v>
      </c>
      <c r="T14" s="175">
        <f t="shared" si="5"/>
        <v>12.151166031680631</v>
      </c>
      <c r="U14" s="175">
        <f t="shared" si="5"/>
        <v>11.908142711047018</v>
      </c>
      <c r="V14" s="175">
        <f t="shared" si="5"/>
        <v>11.669979856826078</v>
      </c>
      <c r="W14" s="175">
        <f t="shared" si="5"/>
        <v>11.436580259689556</v>
      </c>
      <c r="X14" s="175">
        <f t="shared" si="5"/>
        <v>11.207848654495765</v>
      </c>
      <c r="Y14" s="175">
        <f t="shared" si="5"/>
        <v>10.983691681405849</v>
      </c>
      <c r="Z14" s="175">
        <f t="shared" si="5"/>
        <v>10.764017847777732</v>
      </c>
      <c r="AA14" s="175">
        <f t="shared" si="5"/>
        <v>10.548737490822177</v>
      </c>
    </row>
    <row r="15" spans="1:27" s="176" customFormat="1">
      <c r="A15" s="193" t="s">
        <v>211</v>
      </c>
      <c r="H15" s="177">
        <f>'VMT-PHT Savings - Storm Close'!I$19*('Look Up Data'!I25+'Look Up Data'!I30)/2</f>
        <v>6.0185664000000005E-4</v>
      </c>
      <c r="I15" s="178">
        <f t="shared" si="6"/>
        <v>5.8981950719999999E-4</v>
      </c>
      <c r="J15" s="178">
        <f t="shared" si="5"/>
        <v>5.7802311705599998E-4</v>
      </c>
      <c r="K15" s="178">
        <f t="shared" si="5"/>
        <v>5.6646265471487997E-4</v>
      </c>
      <c r="L15" s="178">
        <f t="shared" si="5"/>
        <v>5.5513340162058236E-4</v>
      </c>
      <c r="M15" s="178">
        <f t="shared" si="5"/>
        <v>5.4403073358817071E-4</v>
      </c>
      <c r="N15" s="178">
        <f t="shared" si="5"/>
        <v>5.3315011891640724E-4</v>
      </c>
      <c r="O15" s="178">
        <f t="shared" si="5"/>
        <v>5.2248711653807907E-4</v>
      </c>
      <c r="P15" s="178">
        <f t="shared" si="5"/>
        <v>5.1203737420731749E-4</v>
      </c>
      <c r="Q15" s="178">
        <f t="shared" si="5"/>
        <v>5.0179662672317118E-4</v>
      </c>
      <c r="R15" s="178">
        <f t="shared" si="5"/>
        <v>4.9176069418870776E-4</v>
      </c>
      <c r="S15" s="178">
        <f t="shared" si="5"/>
        <v>4.8192548030493359E-4</v>
      </c>
      <c r="T15" s="178">
        <f t="shared" si="5"/>
        <v>4.7228697069883494E-4</v>
      </c>
      <c r="U15" s="178">
        <f t="shared" si="5"/>
        <v>4.628412312848582E-4</v>
      </c>
      <c r="V15" s="178">
        <f t="shared" si="5"/>
        <v>4.5358440665916103E-4</v>
      </c>
      <c r="W15" s="178">
        <f t="shared" si="5"/>
        <v>4.445127185259778E-4</v>
      </c>
      <c r="X15" s="178">
        <f t="shared" si="5"/>
        <v>4.3562246415545825E-4</v>
      </c>
      <c r="Y15" s="178">
        <f t="shared" si="5"/>
        <v>4.2691001487234908E-4</v>
      </c>
      <c r="Z15" s="178">
        <f t="shared" si="5"/>
        <v>4.1837181457490211E-4</v>
      </c>
      <c r="AA15" s="178">
        <f t="shared" si="5"/>
        <v>4.1000437828340406E-4</v>
      </c>
    </row>
    <row r="16" spans="1:27" s="181" customFormat="1">
      <c r="A16" s="190" t="s">
        <v>213</v>
      </c>
    </row>
    <row r="17" spans="1:27">
      <c r="A17" s="191" t="s">
        <v>207</v>
      </c>
      <c r="Y17" t="s">
        <v>8</v>
      </c>
    </row>
    <row r="18" spans="1:27">
      <c r="A18" s="192" t="s">
        <v>208</v>
      </c>
      <c r="H18" s="65">
        <f>H7*'Look Up Data'!I51</f>
        <v>685.68667200000004</v>
      </c>
      <c r="I18" s="65">
        <f>I7*'Look Up Data'!J51</f>
        <v>684.19062835200009</v>
      </c>
      <c r="J18" s="65">
        <f>J7*'Look Up Data'!K51</f>
        <v>682.48015178112007</v>
      </c>
      <c r="K18" s="65">
        <f>K7*'Look Up Data'!L51</f>
        <v>680.56441802173447</v>
      </c>
      <c r="L18" s="65">
        <f>L7*'Look Up Data'!M51</f>
        <v>678.45232155201177</v>
      </c>
      <c r="M18" s="65">
        <f>M7*'Look Up Data'!N51</f>
        <v>679.90888585816867</v>
      </c>
      <c r="N18" s="65">
        <f>N7*'Look Up Data'!O51</f>
        <v>666.31070814100531</v>
      </c>
      <c r="O18" s="65">
        <f>O7*'Look Up Data'!P51</f>
        <v>652.98449397818524</v>
      </c>
      <c r="P18" s="65">
        <f>P7*'Look Up Data'!Q51</f>
        <v>639.92480409862162</v>
      </c>
      <c r="Q18" s="65">
        <f>Q7*'Look Up Data'!R51</f>
        <v>627.12630801664909</v>
      </c>
      <c r="R18" s="65">
        <f>R7*'Look Up Data'!S51</f>
        <v>614.58378185631614</v>
      </c>
      <c r="S18" s="65">
        <f>S7*'Look Up Data'!T51</f>
        <v>602.2921062191898</v>
      </c>
      <c r="T18" s="65">
        <f>T7*'Look Up Data'!U51</f>
        <v>590.24626409480595</v>
      </c>
      <c r="U18" s="65">
        <f>U7*'Look Up Data'!V51</f>
        <v>578.44133881290986</v>
      </c>
      <c r="V18" s="65">
        <f>V7*'Look Up Data'!W51</f>
        <v>566.87251203665153</v>
      </c>
      <c r="W18" s="65">
        <f>W7*'Look Up Data'!X51</f>
        <v>555.53506179591852</v>
      </c>
      <c r="X18" s="65">
        <f>X7*'Look Up Data'!Y51</f>
        <v>544.4243605600002</v>
      </c>
      <c r="Y18" s="65">
        <f>Y7*'Look Up Data'!Z51</f>
        <v>533.53587334880012</v>
      </c>
      <c r="Z18" s="65">
        <f>Z7*'Look Up Data'!AA51</f>
        <v>522.86515588182408</v>
      </c>
      <c r="AA18" s="65">
        <f>AA7*'Look Up Data'!AB51</f>
        <v>512.40785276418762</v>
      </c>
    </row>
    <row r="19" spans="1:27">
      <c r="A19" s="192" t="s">
        <v>209</v>
      </c>
      <c r="H19" s="65">
        <f>H8*'Look Up Data'!I52</f>
        <v>18.873459967999999</v>
      </c>
      <c r="I19" s="65">
        <f>I8*'Look Up Data'!J52</f>
        <v>18.825540715519999</v>
      </c>
      <c r="J19" s="65">
        <f>J8*'Look Up Data'!K52</f>
        <v>18.771988849151995</v>
      </c>
      <c r="K19" s="65">
        <f>K8*'Look Up Data'!L52</f>
        <v>18.713048841152506</v>
      </c>
      <c r="L19" s="65">
        <f>L8*'Look Up Data'!M52</f>
        <v>18.687728859633822</v>
      </c>
      <c r="M19" s="65">
        <f>M8*'Look Up Data'!N52</f>
        <v>18.655936457839424</v>
      </c>
      <c r="N19" s="65">
        <f>N8*'Look Up Data'!O52</f>
        <v>18.282817728682634</v>
      </c>
      <c r="O19" s="65">
        <f>O8*'Look Up Data'!P52</f>
        <v>17.917161374108982</v>
      </c>
      <c r="P19" s="65">
        <f>P8*'Look Up Data'!Q52</f>
        <v>17.558818146626802</v>
      </c>
      <c r="Q19" s="65">
        <f>Q8*'Look Up Data'!R52</f>
        <v>17.207641783694264</v>
      </c>
      <c r="R19" s="65">
        <f>R8*'Look Up Data'!S52</f>
        <v>16.863488948020382</v>
      </c>
      <c r="S19" s="65">
        <f>S8*'Look Up Data'!T52</f>
        <v>16.526219169059974</v>
      </c>
      <c r="T19" s="65">
        <f>T8*'Look Up Data'!U52</f>
        <v>16.195694785678775</v>
      </c>
      <c r="U19" s="65">
        <f>U8*'Look Up Data'!V52</f>
        <v>15.871780889965196</v>
      </c>
      <c r="V19" s="65">
        <f>V8*'Look Up Data'!W52</f>
        <v>15.554345272165893</v>
      </c>
      <c r="W19" s="65">
        <f>W8*'Look Up Data'!X52</f>
        <v>15.243258366722573</v>
      </c>
      <c r="X19" s="65">
        <f>X8*'Look Up Data'!Y52</f>
        <v>14.938393199388123</v>
      </c>
      <c r="Y19" s="65">
        <f>Y8*'Look Up Data'!Z52</f>
        <v>14.639625335400359</v>
      </c>
      <c r="Z19" s="65">
        <f>Z8*'Look Up Data'!AA52</f>
        <v>14.346832828692351</v>
      </c>
      <c r="AA19" s="65">
        <f>AA8*'Look Up Data'!AB52</f>
        <v>14.059896172118505</v>
      </c>
    </row>
    <row r="20" spans="1:27">
      <c r="A20" s="192" t="s">
        <v>210</v>
      </c>
      <c r="H20" s="65">
        <f>H9*'Look Up Data'!I53</f>
        <v>4280.5985585577992</v>
      </c>
      <c r="I20" s="65">
        <f>I9*'Look Up Data'!J53</f>
        <v>4269.8970621614044</v>
      </c>
      <c r="J20" s="65">
        <f>J9*'Look Up Data'!K53</f>
        <v>4257.9113861974429</v>
      </c>
      <c r="K20" s="65">
        <f>K9*'Look Up Data'!L53</f>
        <v>4316.6411984208553</v>
      </c>
      <c r="L20" s="65">
        <f>L9*'Look Up Data'!M53</f>
        <v>4300.8135140266459</v>
      </c>
      <c r="M20" s="65">
        <f>M9*'Look Up Data'!N53</f>
        <v>4283.8922805288357</v>
      </c>
      <c r="N20" s="65">
        <f>N9*'Look Up Data'!O53</f>
        <v>4265.9275709653275</v>
      </c>
      <c r="O20" s="65">
        <f>O9*'Look Up Data'!P53</f>
        <v>4246.9678928721478</v>
      </c>
      <c r="P20" s="65">
        <f>P9*'Look Up Data'!Q53</f>
        <v>4227.06023087431</v>
      </c>
      <c r="Q20" s="65">
        <f>Q9*'Look Up Data'!R53</f>
        <v>4206.2500881992364</v>
      </c>
      <c r="R20" s="65">
        <f>R9*'Look Up Data'!S53</f>
        <v>4184.5815271388165</v>
      </c>
      <c r="S20" s="65">
        <f>S9*'Look Up Data'!T53</f>
        <v>4223.3045203750262</v>
      </c>
      <c r="T20" s="65">
        <f>T9*'Look Up Data'!U53</f>
        <v>4198.821595619228</v>
      </c>
      <c r="U20" s="65">
        <f>U9*'Look Up Data'!V53</f>
        <v>4173.6286660455125</v>
      </c>
      <c r="V20" s="65">
        <f>V9*'Look Up Data'!W53</f>
        <v>4147.7639250164984</v>
      </c>
      <c r="W20" s="65">
        <f>W9*'Look Up Data'!X53</f>
        <v>4121.2643221622257</v>
      </c>
      <c r="X20" s="65">
        <f>X9*'Look Up Data'!Y53</f>
        <v>4094.165597852118</v>
      </c>
      <c r="Y20" s="65">
        <f>Y9*'Look Up Data'!Z53</f>
        <v>4066.5023167855502</v>
      </c>
      <c r="Z20" s="65">
        <f>Z9*'Look Up Data'!AA53</f>
        <v>4091.4435309951682</v>
      </c>
      <c r="AA20" s="65">
        <f>AA9*'Look Up Data'!AB53</f>
        <v>4061.6875780424757</v>
      </c>
    </row>
    <row r="21" spans="1:27">
      <c r="A21" s="192" t="s">
        <v>211</v>
      </c>
      <c r="H21" s="65">
        <f>H10*'Look Up Data'!I54</f>
        <v>1439.8665402879999</v>
      </c>
      <c r="I21" s="65">
        <f>I10*'Look Up Data'!J54</f>
        <v>1433.5984422143999</v>
      </c>
      <c r="J21" s="65">
        <f>J10*'Look Up Data'!K54</f>
        <v>1427.1776108857343</v>
      </c>
      <c r="K21" s="65">
        <f>K10*'Look Up Data'!L54</f>
        <v>1420.9472923813601</v>
      </c>
      <c r="L21" s="65">
        <f>L10*'Look Up Data'!M54</f>
        <v>1414.7266332855195</v>
      </c>
      <c r="M21" s="65">
        <f>M10*'Look Up Data'!N54</f>
        <v>1408.5111129950192</v>
      </c>
      <c r="N21" s="65">
        <f>N10*'Look Up Data'!O54</f>
        <v>1380.3408907351186</v>
      </c>
      <c r="O21" s="65">
        <f>O10*'Look Up Data'!P54</f>
        <v>1352.7340729204161</v>
      </c>
      <c r="P21" s="65">
        <f>P10*'Look Up Data'!Q54</f>
        <v>1325.6793914620077</v>
      </c>
      <c r="Q21" s="65">
        <f>Q10*'Look Up Data'!R54</f>
        <v>1299.1658036327676</v>
      </c>
      <c r="R21" s="65">
        <f>R10*'Look Up Data'!S54</f>
        <v>1273.1824875601121</v>
      </c>
      <c r="S21" s="65">
        <f>S10*'Look Up Data'!T54</f>
        <v>1247.7188378089099</v>
      </c>
      <c r="T21" s="65">
        <f>T10*'Look Up Data'!U54</f>
        <v>1222.7644610527318</v>
      </c>
      <c r="U21" s="65">
        <f>U10*'Look Up Data'!V54</f>
        <v>1198.3091718316771</v>
      </c>
      <c r="V21" s="65">
        <f>V10*'Look Up Data'!W54</f>
        <v>1174.3429883950434</v>
      </c>
      <c r="W21" s="65">
        <f>W10*'Look Up Data'!X54</f>
        <v>1150.8561286271427</v>
      </c>
      <c r="X21" s="65">
        <f>X10*'Look Up Data'!Y54</f>
        <v>1127.8390060545996</v>
      </c>
      <c r="Y21" s="65">
        <f>Y10*'Look Up Data'!Z54</f>
        <v>1105.2822259335078</v>
      </c>
      <c r="Z21" s="65">
        <f>Z10*'Look Up Data'!AA54</f>
        <v>1083.1765814148375</v>
      </c>
      <c r="AA21" s="65">
        <f>AA10*'Look Up Data'!AB54</f>
        <v>1061.5130497865407</v>
      </c>
    </row>
    <row r="22" spans="1:27">
      <c r="A22" s="191" t="s">
        <v>212</v>
      </c>
      <c r="H22" s="65"/>
      <c r="I22" s="65"/>
      <c r="J22" s="65"/>
      <c r="K22" s="65"/>
      <c r="L22" s="65"/>
      <c r="M22" s="65"/>
      <c r="N22" s="65"/>
      <c r="O22" s="65"/>
      <c r="P22" s="65"/>
      <c r="Q22" s="65"/>
      <c r="R22" s="65"/>
      <c r="S22" s="65"/>
      <c r="T22" s="65"/>
      <c r="U22" s="65"/>
      <c r="V22" s="65"/>
      <c r="W22" s="65"/>
      <c r="X22" s="65"/>
      <c r="Y22" s="65"/>
      <c r="Z22" s="65"/>
      <c r="AA22" s="65"/>
    </row>
    <row r="23" spans="1:27">
      <c r="A23" s="192" t="s">
        <v>208</v>
      </c>
      <c r="H23" s="65">
        <f>H12*'Look Up Data'!J51</f>
        <v>425.92109091840007</v>
      </c>
      <c r="I23" s="65">
        <f>I12*'Look Up Data'!K51</f>
        <v>424.85628819110411</v>
      </c>
      <c r="J23" s="65">
        <f>J12*'Look Up Data'!L51</f>
        <v>423.66370913653253</v>
      </c>
      <c r="K23" s="65">
        <f>K12*'Look Up Data'!M51</f>
        <v>422.34889072886745</v>
      </c>
      <c r="L23" s="65">
        <f>L12*'Look Up Data'!N51</f>
        <v>423.25562846037576</v>
      </c>
      <c r="M23" s="65">
        <f>M12*'Look Up Data'!O51</f>
        <v>414.79051589116824</v>
      </c>
      <c r="N23" s="65">
        <f>N12*'Look Up Data'!P51</f>
        <v>406.49470557334485</v>
      </c>
      <c r="O23" s="65">
        <f>O12*'Look Up Data'!Q51</f>
        <v>398.36481146187793</v>
      </c>
      <c r="P23" s="65">
        <f>P12*'Look Up Data'!R51</f>
        <v>390.39751523264033</v>
      </c>
      <c r="Q23" s="65">
        <f>Q12*'Look Up Data'!S51</f>
        <v>382.58956492798751</v>
      </c>
      <c r="R23" s="65">
        <f>R12*'Look Up Data'!T51</f>
        <v>374.93777362942774</v>
      </c>
      <c r="S23" s="65">
        <f>S12*'Look Up Data'!U51</f>
        <v>367.43901815683921</v>
      </c>
      <c r="T23" s="65">
        <f>T12*'Look Up Data'!V51</f>
        <v>360.09023779370244</v>
      </c>
      <c r="U23" s="65">
        <f>U12*'Look Up Data'!W51</f>
        <v>352.88843303782835</v>
      </c>
      <c r="V23" s="65">
        <f>V12*'Look Up Data'!X51</f>
        <v>345.8306643770718</v>
      </c>
      <c r="W23" s="65">
        <f>W12*'Look Up Data'!Y51</f>
        <v>338.91405108953035</v>
      </c>
      <c r="X23" s="65">
        <f>X12*'Look Up Data'!Z51</f>
        <v>332.13577006773971</v>
      </c>
      <c r="Y23" s="65">
        <f>Y12*'Look Up Data'!AA51</f>
        <v>325.49305466638492</v>
      </c>
      <c r="Z23" s="65">
        <f>Z12*'Look Up Data'!AB51</f>
        <v>318.98319357305724</v>
      </c>
      <c r="AA23" s="65">
        <f>AA12*'Look Up Data'!AC51</f>
        <v>312.60352970159613</v>
      </c>
    </row>
    <row r="24" spans="1:27">
      <c r="A24" s="192" t="s">
        <v>209</v>
      </c>
      <c r="H24" s="65">
        <f>H13*'Look Up Data'!J52</f>
        <v>2.0978274240000001</v>
      </c>
      <c r="I24" s="65">
        <f>I13*'Look Up Data'!K52</f>
        <v>2.0918598623999998</v>
      </c>
      <c r="J24" s="65">
        <f>J13*'Look Up Data'!L52</f>
        <v>2.0852918722944001</v>
      </c>
      <c r="K24" s="65">
        <f>K13*'Look Up Data'!M52</f>
        <v>2.0824703357230083</v>
      </c>
      <c r="L24" s="65">
        <f>L13*'Look Up Data'!N52</f>
        <v>2.0789275438655541</v>
      </c>
      <c r="M24" s="65">
        <f>M13*'Look Up Data'!O52</f>
        <v>2.0373489929882429</v>
      </c>
      <c r="N24" s="65">
        <f>N13*'Look Up Data'!P52</f>
        <v>1.9966020131284781</v>
      </c>
      <c r="O24" s="65">
        <f>O13*'Look Up Data'!Q52</f>
        <v>1.9566699728659085</v>
      </c>
      <c r="P24" s="65">
        <f>P13*'Look Up Data'!R52</f>
        <v>1.9175365734085901</v>
      </c>
      <c r="Q24" s="65">
        <f>Q13*'Look Up Data'!S52</f>
        <v>1.8791858419404182</v>
      </c>
      <c r="R24" s="65">
        <f>R13*'Look Up Data'!T52</f>
        <v>1.8416021251016097</v>
      </c>
      <c r="S24" s="65">
        <f>S13*'Look Up Data'!U52</f>
        <v>1.8047700825995774</v>
      </c>
      <c r="T24" s="65">
        <f>T13*'Look Up Data'!V52</f>
        <v>1.7686746809475857</v>
      </c>
      <c r="U24" s="65">
        <f>U13*'Look Up Data'!W52</f>
        <v>1.7333011873286339</v>
      </c>
      <c r="V24" s="65">
        <f>V13*'Look Up Data'!X52</f>
        <v>1.6986351635820611</v>
      </c>
      <c r="W24" s="65">
        <f>W13*'Look Up Data'!Y52</f>
        <v>1.6646624603104199</v>
      </c>
      <c r="X24" s="65">
        <f>X13*'Look Up Data'!Z52</f>
        <v>1.6313692111042115</v>
      </c>
      <c r="Y24" s="65">
        <f>Y13*'Look Up Data'!AA52</f>
        <v>1.5987418268821274</v>
      </c>
      <c r="Z24" s="65">
        <f>Z13*'Look Up Data'!AB52</f>
        <v>1.5667669903444847</v>
      </c>
      <c r="AA24" s="65">
        <f>AA13*'Look Up Data'!AC52</f>
        <v>1.5354316505375951</v>
      </c>
    </row>
    <row r="25" spans="1:27">
      <c r="A25" s="192" t="s">
        <v>210</v>
      </c>
      <c r="H25" s="65">
        <f>H14*'Look Up Data'!J53</f>
        <v>882.63247469652538</v>
      </c>
      <c r="I25" s="65">
        <f>I14*'Look Up Data'!K53</f>
        <v>880.15490985527185</v>
      </c>
      <c r="J25" s="65">
        <f>J14*'Look Up Data'!L53</f>
        <v>892.29497757741353</v>
      </c>
      <c r="K25" s="65">
        <f>K14*'Look Up Data'!M53</f>
        <v>889.02322932629636</v>
      </c>
      <c r="L25" s="65">
        <f>L14*'Look Up Data'!N53</f>
        <v>885.52543301419291</v>
      </c>
      <c r="M25" s="65">
        <f>M14*'Look Up Data'!O53</f>
        <v>881.811939262843</v>
      </c>
      <c r="N25" s="65">
        <f>N14*'Look Up Data'!P53</f>
        <v>877.89277508834152</v>
      </c>
      <c r="O25" s="65">
        <f>O14*'Look Up Data'!Q53</f>
        <v>873.77765270511486</v>
      </c>
      <c r="P25" s="65">
        <f>P14*'Look Up Data'!R53</f>
        <v>869.47597810718196</v>
      </c>
      <c r="Q25" s="65">
        <f>Q14*'Look Up Data'!S53</f>
        <v>864.99685943208442</v>
      </c>
      <c r="R25" s="65">
        <f>R14*'Look Up Data'!T53</f>
        <v>873.00130798205294</v>
      </c>
      <c r="S25" s="65">
        <f>S14*'Look Up Data'!U53</f>
        <v>867.94043083433075</v>
      </c>
      <c r="T25" s="65">
        <f>T14*'Look Up Data'!V53</f>
        <v>862.73278824932481</v>
      </c>
      <c r="U25" s="65">
        <f>U14*'Look Up Data'!W53</f>
        <v>857.38627519538534</v>
      </c>
      <c r="V25" s="65">
        <f>V14*'Look Up Data'!X53</f>
        <v>851.9085295483037</v>
      </c>
      <c r="W25" s="65">
        <f>W14*'Look Up Data'!Y53</f>
        <v>846.30693921702721</v>
      </c>
      <c r="X25" s="65">
        <f>X14*'Look Up Data'!Z53</f>
        <v>840.58864908718238</v>
      </c>
      <c r="Y25" s="65">
        <f>Y14*'Look Up Data'!AA53</f>
        <v>845.74425946825045</v>
      </c>
      <c r="Z25" s="65">
        <f>Z14*'Look Up Data'!AB53</f>
        <v>839.59339212666305</v>
      </c>
      <c r="AA25" s="65">
        <f>AA14*'Look Up Data'!AC53</f>
        <v>833.35026177495195</v>
      </c>
    </row>
    <row r="26" spans="1:27">
      <c r="A26" s="192" t="s">
        <v>211</v>
      </c>
      <c r="H26" s="65">
        <f>H15*'Look Up Data'!J54</f>
        <v>490.21223328000002</v>
      </c>
      <c r="I26" s="65">
        <f>I15*'Look Up Data'!K54</f>
        <v>488.01666025727997</v>
      </c>
      <c r="J26" s="65">
        <f>J15*'Look Up Data'!L54</f>
        <v>485.88623219727356</v>
      </c>
      <c r="K26" s="65">
        <f>K15*'Look Up Data'!M54</f>
        <v>483.7591071265075</v>
      </c>
      <c r="L26" s="65">
        <f>L15*'Look Up Data'!N54</f>
        <v>481.63373924601723</v>
      </c>
      <c r="M26" s="65">
        <f>M15*'Look Up Data'!O54</f>
        <v>472.00106446109692</v>
      </c>
      <c r="N26" s="65">
        <f>N15*'Look Up Data'!P54</f>
        <v>462.56104317187493</v>
      </c>
      <c r="O26" s="65">
        <f>O15*'Look Up Data'!Q54</f>
        <v>453.30982230843739</v>
      </c>
      <c r="P26" s="65">
        <f>P15*'Look Up Data'!R54</f>
        <v>444.24362586226863</v>
      </c>
      <c r="Q26" s="65">
        <f>Q15*'Look Up Data'!S54</f>
        <v>435.35875334502333</v>
      </c>
      <c r="R26" s="65">
        <f>R15*'Look Up Data'!T54</f>
        <v>426.65157827812283</v>
      </c>
      <c r="S26" s="65">
        <f>S15*'Look Up Data'!U54</f>
        <v>418.11854671256037</v>
      </c>
      <c r="T26" s="65">
        <f>T15*'Look Up Data'!V54</f>
        <v>409.75617577830917</v>
      </c>
      <c r="U26" s="65">
        <f>U15*'Look Up Data'!W54</f>
        <v>401.56105226274298</v>
      </c>
      <c r="V26" s="65">
        <f>V15*'Look Up Data'!X54</f>
        <v>393.52983121748809</v>
      </c>
      <c r="W26" s="65">
        <f>W15*'Look Up Data'!Y54</f>
        <v>385.65923459313836</v>
      </c>
      <c r="X26" s="65">
        <f>X15*'Look Up Data'!Z54</f>
        <v>377.94604990127556</v>
      </c>
      <c r="Y26" s="65">
        <f>Y15*'Look Up Data'!AA54</f>
        <v>370.38712890325007</v>
      </c>
      <c r="Z26" s="65">
        <f>Z15*'Look Up Data'!AB54</f>
        <v>362.97938632518509</v>
      </c>
      <c r="AA26" s="65">
        <f>AA15*'Look Up Data'!AC54</f>
        <v>355.71979859868134</v>
      </c>
    </row>
    <row r="27" spans="1:27" s="176" customFormat="1">
      <c r="A27" s="207"/>
    </row>
  </sheetData>
  <pageMargins left="0.7" right="0.7" top="0.75" bottom="0.75" header="0.3" footer="0.3"/>
  <pageSetup paperSize="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1929F-4C6D-4D83-B7EC-B0934686FF42}">
  <sheetPr>
    <tabColor rgb="FFFFC000"/>
  </sheetPr>
  <dimension ref="A1:AV80"/>
  <sheetViews>
    <sheetView zoomScale="75" zoomScaleNormal="75" workbookViewId="0">
      <pane xSplit="1" topLeftCell="B1" activePane="topRight" state="frozen"/>
      <selection activeCell="A12" sqref="A12"/>
      <selection pane="topRight" activeCell="A2" sqref="A2"/>
    </sheetView>
  </sheetViews>
  <sheetFormatPr defaultColWidth="8.81640625" defaultRowHeight="14.5"/>
  <cols>
    <col min="1" max="1" width="45.453125" customWidth="1"/>
    <col min="2" max="3" width="22.81640625" bestFit="1" customWidth="1"/>
    <col min="4" max="5" width="18" bestFit="1" customWidth="1"/>
    <col min="6" max="9" width="13.54296875" bestFit="1" customWidth="1"/>
    <col min="10" max="47" width="12.1796875" bestFit="1" customWidth="1"/>
    <col min="48" max="48" width="9.1796875" bestFit="1" customWidth="1"/>
    <col min="49" max="51" width="10.54296875" customWidth="1"/>
  </cols>
  <sheetData>
    <row r="1" spans="1:42" ht="18.5">
      <c r="A1" s="4" t="s">
        <v>221</v>
      </c>
      <c r="C1" t="s">
        <v>222</v>
      </c>
    </row>
    <row r="2" spans="1:42">
      <c r="A2" t="s">
        <v>223</v>
      </c>
      <c r="B2">
        <v>7.0000000000000007E-2</v>
      </c>
      <c r="C2" s="12" t="s">
        <v>224</v>
      </c>
    </row>
    <row r="3" spans="1:42">
      <c r="A3" t="s">
        <v>225</v>
      </c>
      <c r="B3">
        <v>0.03</v>
      </c>
      <c r="C3" s="12" t="s">
        <v>224</v>
      </c>
    </row>
    <row r="4" spans="1:42" hidden="1">
      <c r="A4" t="s">
        <v>226</v>
      </c>
      <c r="B4">
        <v>300</v>
      </c>
      <c r="C4" s="12" t="s">
        <v>224</v>
      </c>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row>
    <row r="5" spans="1:42">
      <c r="A5" t="s">
        <v>227</v>
      </c>
      <c r="B5">
        <v>1.67</v>
      </c>
      <c r="C5" s="12" t="s">
        <v>224</v>
      </c>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row>
    <row r="6" spans="1:42">
      <c r="A6" t="s">
        <v>226</v>
      </c>
      <c r="B6">
        <v>365</v>
      </c>
      <c r="C6" s="171">
        <v>365</v>
      </c>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42">
      <c r="A7" t="s">
        <v>228</v>
      </c>
      <c r="B7">
        <f>1/50</f>
        <v>0.02</v>
      </c>
      <c r="C7" s="172"/>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row>
    <row r="8" spans="1:42">
      <c r="A8" t="s">
        <v>229</v>
      </c>
      <c r="B8" s="11">
        <v>0.45</v>
      </c>
      <c r="C8" s="12" t="s">
        <v>224</v>
      </c>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c r="A9" t="s">
        <v>230</v>
      </c>
      <c r="B9" s="11">
        <v>0.94</v>
      </c>
      <c r="C9" s="12" t="s">
        <v>224</v>
      </c>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row>
    <row r="10" spans="1:42">
      <c r="A10" s="35" t="s">
        <v>231</v>
      </c>
      <c r="B10" s="11">
        <f>2.49-0.184-0.2</f>
        <v>2.1059999999999999</v>
      </c>
      <c r="C10" t="s">
        <v>232</v>
      </c>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row>
    <row r="11" spans="1:42">
      <c r="A11" s="35" t="s">
        <v>233</v>
      </c>
      <c r="B11" s="11">
        <v>2</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row>
    <row r="12" spans="1:42">
      <c r="A12" s="136" t="s">
        <v>234</v>
      </c>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row>
    <row r="13" spans="1:42">
      <c r="A13" s="137" t="s">
        <v>235</v>
      </c>
      <c r="B13" s="5">
        <v>0.05</v>
      </c>
      <c r="C13" s="83" t="s">
        <v>236</v>
      </c>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row>
    <row r="14" spans="1:42" ht="15" thickBot="1">
      <c r="B14" s="19"/>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row>
    <row r="15" spans="1:42">
      <c r="A15" s="170" t="s">
        <v>237</v>
      </c>
      <c r="B15" s="158"/>
      <c r="C15" s="55"/>
      <c r="D15" s="55"/>
      <c r="E15" s="55"/>
      <c r="F15" s="159"/>
      <c r="G15" s="159"/>
      <c r="H15" s="159"/>
      <c r="I15" s="160">
        <v>2025</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row>
    <row r="16" spans="1:42">
      <c r="A16" s="161" t="s">
        <v>132</v>
      </c>
      <c r="B16" s="19"/>
      <c r="F16" s="15"/>
      <c r="G16" s="15"/>
      <c r="H16" s="15"/>
      <c r="I16" s="162"/>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1:42">
      <c r="A17" s="163" t="s">
        <v>208</v>
      </c>
      <c r="B17" t="s">
        <v>238</v>
      </c>
      <c r="C17" t="s">
        <v>239</v>
      </c>
      <c r="D17" s="1" t="s">
        <v>240</v>
      </c>
      <c r="E17" s="36"/>
      <c r="F17" s="36"/>
      <c r="G17" s="36"/>
      <c r="H17" s="36"/>
      <c r="I17" s="164">
        <f>E78</f>
        <v>2.1749999999999998E-7</v>
      </c>
      <c r="J17" s="36"/>
      <c r="K17" s="36"/>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row>
    <row r="18" spans="1:42">
      <c r="A18" s="163" t="s">
        <v>209</v>
      </c>
      <c r="B18" t="s">
        <v>238</v>
      </c>
      <c r="C18" t="s">
        <v>239</v>
      </c>
      <c r="D18" s="1" t="s">
        <v>240</v>
      </c>
      <c r="E18" s="36"/>
      <c r="F18" s="36"/>
      <c r="G18" s="36"/>
      <c r="H18" s="36"/>
      <c r="I18" s="164">
        <f>C78</f>
        <v>2.1999999999999998E-9</v>
      </c>
      <c r="J18" s="36"/>
      <c r="K18" s="36"/>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1:42">
      <c r="A19" s="163" t="s">
        <v>210</v>
      </c>
      <c r="B19" t="s">
        <v>238</v>
      </c>
      <c r="C19" t="s">
        <v>239</v>
      </c>
      <c r="D19" s="1" t="s">
        <v>240</v>
      </c>
      <c r="E19" s="36"/>
      <c r="F19" s="36"/>
      <c r="G19" s="36"/>
      <c r="H19" s="36"/>
      <c r="I19" s="164">
        <f>F78</f>
        <v>4.0006814400000003E-4</v>
      </c>
      <c r="J19" s="36"/>
      <c r="K19" s="36"/>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2">
      <c r="A20" s="163" t="s">
        <v>211</v>
      </c>
      <c r="B20" t="s">
        <v>238</v>
      </c>
      <c r="C20" t="s">
        <v>239</v>
      </c>
      <c r="D20" s="1" t="s">
        <v>240</v>
      </c>
      <c r="E20" s="36"/>
      <c r="F20" s="36"/>
      <c r="G20" s="36"/>
      <c r="H20" s="36"/>
      <c r="I20" s="164">
        <f>B78</f>
        <v>9.3999999999999998E-9</v>
      </c>
      <c r="J20" s="36"/>
      <c r="K20" s="36"/>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1:42">
      <c r="A21" s="161" t="s">
        <v>137</v>
      </c>
      <c r="B21" s="38"/>
      <c r="C21" s="38"/>
      <c r="D21" s="39"/>
      <c r="E21" s="47"/>
      <c r="F21" s="47"/>
      <c r="G21" s="47"/>
      <c r="H21" s="47"/>
      <c r="I21" s="165"/>
      <c r="J21" s="36"/>
      <c r="K21" s="36"/>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row>
    <row r="22" spans="1:42">
      <c r="A22" s="163" t="s">
        <v>208</v>
      </c>
      <c r="B22" t="s">
        <v>238</v>
      </c>
      <c r="C22" t="s">
        <v>239</v>
      </c>
      <c r="D22" s="1" t="s">
        <v>241</v>
      </c>
      <c r="E22" s="36"/>
      <c r="F22" s="36"/>
      <c r="G22" s="36"/>
      <c r="H22" s="36"/>
      <c r="I22" s="164">
        <f>E79</f>
        <v>1.0682E-6</v>
      </c>
      <c r="J22" s="36"/>
      <c r="K22" s="36"/>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2">
      <c r="A23" s="163" t="s">
        <v>209</v>
      </c>
      <c r="B23" t="s">
        <v>238</v>
      </c>
      <c r="C23" t="s">
        <v>239</v>
      </c>
      <c r="D23" s="1" t="s">
        <v>241</v>
      </c>
      <c r="E23" s="36"/>
      <c r="F23" s="36"/>
      <c r="G23" s="36"/>
      <c r="H23" s="36"/>
      <c r="I23" s="164">
        <f>C79</f>
        <v>3.4999999999999999E-9</v>
      </c>
      <c r="J23" s="36"/>
      <c r="K23" s="36"/>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row>
    <row r="24" spans="1:42">
      <c r="A24" s="163" t="s">
        <v>210</v>
      </c>
      <c r="B24" t="s">
        <v>238</v>
      </c>
      <c r="C24" t="s">
        <v>239</v>
      </c>
      <c r="D24" s="1" t="s">
        <v>241</v>
      </c>
      <c r="E24" s="36"/>
      <c r="F24" s="36"/>
      <c r="G24" s="36"/>
      <c r="H24" s="36"/>
      <c r="I24" s="164">
        <f>F79</f>
        <v>1.3564215167999997E-3</v>
      </c>
      <c r="J24" s="36"/>
      <c r="K24" s="36"/>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row>
    <row r="25" spans="1:42">
      <c r="A25" s="163" t="s">
        <v>211</v>
      </c>
      <c r="B25" t="s">
        <v>238</v>
      </c>
      <c r="C25" t="s">
        <v>239</v>
      </c>
      <c r="D25" s="1" t="s">
        <v>241</v>
      </c>
      <c r="E25" s="36"/>
      <c r="F25" s="36"/>
      <c r="G25" s="36"/>
      <c r="H25" s="36"/>
      <c r="I25" s="164">
        <f>B79</f>
        <v>3.4099999999999994E-8</v>
      </c>
      <c r="J25" s="36"/>
      <c r="K25" s="36"/>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row>
    <row r="26" spans="1:42">
      <c r="A26" s="161" t="s">
        <v>138</v>
      </c>
      <c r="B26" s="38"/>
      <c r="C26" s="38"/>
      <c r="D26" s="39"/>
      <c r="E26" s="47"/>
      <c r="F26" s="47"/>
      <c r="G26" s="47"/>
      <c r="H26" s="47"/>
      <c r="I26" s="165"/>
      <c r="J26" s="36"/>
      <c r="K26" s="36"/>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row>
    <row r="27" spans="1:42">
      <c r="A27" s="163" t="s">
        <v>208</v>
      </c>
      <c r="B27" t="s">
        <v>238</v>
      </c>
      <c r="C27" t="s">
        <v>239</v>
      </c>
      <c r="D27" s="1" t="s">
        <v>242</v>
      </c>
      <c r="E27" s="36"/>
      <c r="F27" s="36"/>
      <c r="G27" s="36"/>
      <c r="H27" s="36"/>
      <c r="I27" s="164">
        <f>E80</f>
        <v>3.9024000000000001E-6</v>
      </c>
      <c r="J27" s="36"/>
      <c r="K27" s="36"/>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row>
    <row r="28" spans="1:42">
      <c r="A28" s="163" t="s">
        <v>209</v>
      </c>
      <c r="B28" t="s">
        <v>238</v>
      </c>
      <c r="C28" t="s">
        <v>239</v>
      </c>
      <c r="D28" s="1" t="s">
        <v>242</v>
      </c>
      <c r="E28" s="36"/>
      <c r="F28" s="36"/>
      <c r="G28" s="36"/>
      <c r="H28" s="36"/>
      <c r="I28" s="164">
        <f>C80</f>
        <v>5.4999999999999996E-9</v>
      </c>
      <c r="J28" s="36"/>
      <c r="K28" s="36"/>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row>
    <row r="29" spans="1:42">
      <c r="A29" s="163" t="s">
        <v>210</v>
      </c>
      <c r="B29" t="s">
        <v>238</v>
      </c>
      <c r="C29" t="s">
        <v>239</v>
      </c>
      <c r="D29" s="1" t="s">
        <v>242</v>
      </c>
      <c r="E29" s="36"/>
      <c r="F29" s="36"/>
      <c r="G29" s="36"/>
      <c r="H29" s="36"/>
      <c r="I29" s="164">
        <f>F80</f>
        <v>1.6795241702399998E-3</v>
      </c>
      <c r="J29" s="36"/>
      <c r="K29" s="36"/>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row>
    <row r="30" spans="1:42" ht="15" thickBot="1">
      <c r="A30" s="166" t="s">
        <v>211</v>
      </c>
      <c r="B30" s="100" t="s">
        <v>238</v>
      </c>
      <c r="C30" s="100" t="s">
        <v>239</v>
      </c>
      <c r="D30" s="167" t="s">
        <v>242</v>
      </c>
      <c r="E30" s="168"/>
      <c r="F30" s="168"/>
      <c r="G30" s="168"/>
      <c r="H30" s="168"/>
      <c r="I30" s="169">
        <f>B80</f>
        <v>8.3900000000000004E-8</v>
      </c>
      <c r="J30" s="36"/>
      <c r="K30" s="36"/>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row>
    <row r="31" spans="1:42">
      <c r="B31" s="19"/>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row>
    <row r="32" spans="1:42" ht="15" hidden="1" thickBot="1">
      <c r="A32" t="s">
        <v>243</v>
      </c>
    </row>
    <row r="33" spans="1:48" ht="30" hidden="1" customHeight="1">
      <c r="A33" s="37" t="s">
        <v>132</v>
      </c>
      <c r="B33" s="38" t="s">
        <v>222</v>
      </c>
      <c r="C33" s="38" t="s">
        <v>244</v>
      </c>
      <c r="D33" s="38" t="s">
        <v>245</v>
      </c>
      <c r="E33" s="38">
        <v>2021</v>
      </c>
      <c r="F33" s="38">
        <f t="shared" ref="F33:I33" si="0">E33+1</f>
        <v>2022</v>
      </c>
      <c r="G33" s="38">
        <f t="shared" si="0"/>
        <v>2023</v>
      </c>
      <c r="H33" s="38">
        <f t="shared" si="0"/>
        <v>2024</v>
      </c>
      <c r="I33" s="38">
        <f t="shared" si="0"/>
        <v>2025</v>
      </c>
      <c r="K33" s="48" t="s">
        <v>246</v>
      </c>
      <c r="L33" s="54" t="s">
        <v>247</v>
      </c>
      <c r="M33" s="55"/>
      <c r="N33" s="56"/>
    </row>
    <row r="34" spans="1:48" hidden="1">
      <c r="A34" s="1" t="s">
        <v>208</v>
      </c>
      <c r="B34" t="s">
        <v>238</v>
      </c>
      <c r="C34" t="s">
        <v>248</v>
      </c>
      <c r="D34" s="1" t="s">
        <v>240</v>
      </c>
      <c r="E34" s="36">
        <v>8.5450060466600447E-3</v>
      </c>
      <c r="F34" s="36">
        <v>7.6511092891687008E-3</v>
      </c>
      <c r="G34" s="36">
        <v>6.8653120412397999E-3</v>
      </c>
      <c r="H34" s="36">
        <v>5.8059735779865994E-3</v>
      </c>
      <c r="I34" s="36">
        <v>5.1281335448992351E-3</v>
      </c>
      <c r="K34" s="36">
        <f>(E34-I34)/4</f>
        <v>8.542181254402024E-4</v>
      </c>
      <c r="L34" s="57">
        <f>1-((I34/E34)^0.25)</f>
        <v>0.11983977626253994</v>
      </c>
      <c r="M34" s="58">
        <f>I34/E34</f>
        <v>0.60013223125847293</v>
      </c>
      <c r="N34" s="59">
        <f>(1-L34)^4</f>
        <v>0.60013223125847281</v>
      </c>
      <c r="O34" s="14"/>
      <c r="P34" s="53"/>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row>
    <row r="35" spans="1:48" hidden="1">
      <c r="A35" s="1" t="s">
        <v>209</v>
      </c>
      <c r="B35" t="s">
        <v>238</v>
      </c>
      <c r="C35" t="s">
        <v>248</v>
      </c>
      <c r="D35" s="1" t="s">
        <v>240</v>
      </c>
      <c r="E35" s="36">
        <v>7.2132926660796009E-5</v>
      </c>
      <c r="F35" s="36">
        <v>7.0433727530917151E-5</v>
      </c>
      <c r="G35" s="36">
        <v>6.8766260104465349E-5</v>
      </c>
      <c r="H35" s="36">
        <v>6.7192586141458398E-5</v>
      </c>
      <c r="I35" s="36">
        <v>6.5667366300210453E-5</v>
      </c>
      <c r="K35" s="36">
        <f t="shared" ref="K35:K47" si="1">(E35-I35)/4</f>
        <v>1.616390090146389E-6</v>
      </c>
      <c r="L35" s="57">
        <f t="shared" ref="L35:L37" si="2">1-((I35/E35)^0.25)</f>
        <v>2.3203687761114922E-2</v>
      </c>
      <c r="M35" s="58">
        <f t="shared" ref="M35:M37" si="3">I35/E35</f>
        <v>0.91036603310177955</v>
      </c>
      <c r="N35" s="59">
        <f t="shared" ref="N35:N37" si="4">(1-L35)^4</f>
        <v>0.91036603310177966</v>
      </c>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row>
    <row r="36" spans="1:48" hidden="1">
      <c r="A36" s="1" t="s">
        <v>210</v>
      </c>
      <c r="B36" t="s">
        <v>238</v>
      </c>
      <c r="C36" t="s">
        <v>248</v>
      </c>
      <c r="D36" s="1" t="s">
        <v>240</v>
      </c>
      <c r="E36" s="36">
        <v>12.037928675379451</v>
      </c>
      <c r="F36" s="36">
        <v>11.759562571592529</v>
      </c>
      <c r="G36" s="36">
        <v>11.486911543557891</v>
      </c>
      <c r="H36" s="36">
        <v>11.228309927087855</v>
      </c>
      <c r="I36" s="36">
        <v>10.978736079207595</v>
      </c>
      <c r="K36" s="36">
        <f t="shared" si="1"/>
        <v>0.26479814904296406</v>
      </c>
      <c r="L36" s="57">
        <f t="shared" si="2"/>
        <v>2.2762453174597019E-2</v>
      </c>
      <c r="M36" s="58">
        <f t="shared" si="3"/>
        <v>0.91201205583331224</v>
      </c>
      <c r="N36" s="59">
        <f t="shared" si="4"/>
        <v>0.91201205583331235</v>
      </c>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row>
    <row r="37" spans="1:48" hidden="1">
      <c r="A37" s="1" t="s">
        <v>211</v>
      </c>
      <c r="B37" t="s">
        <v>238</v>
      </c>
      <c r="C37" t="s">
        <v>248</v>
      </c>
      <c r="D37" s="1" t="s">
        <v>240</v>
      </c>
      <c r="E37" s="36">
        <v>3.0632565713118853E-4</v>
      </c>
      <c r="F37" s="36">
        <v>2.9959116902102101E-4</v>
      </c>
      <c r="G37" s="36">
        <v>2.9424032121831299E-4</v>
      </c>
      <c r="H37" s="36">
        <v>2.8992620044270603E-4</v>
      </c>
      <c r="I37" s="36">
        <v>2.829435071876085E-4</v>
      </c>
      <c r="K37" s="36">
        <f t="shared" si="1"/>
        <v>5.8455374858950069E-6</v>
      </c>
      <c r="L37" s="57">
        <f t="shared" si="2"/>
        <v>1.9654658045603068E-2</v>
      </c>
      <c r="M37" s="58">
        <f t="shared" si="3"/>
        <v>0.92366897973039763</v>
      </c>
      <c r="N37" s="59">
        <f t="shared" si="4"/>
        <v>0.9236689797303973</v>
      </c>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row>
    <row r="38" spans="1:48" hidden="1">
      <c r="A38" s="37" t="s">
        <v>137</v>
      </c>
      <c r="B38" s="38"/>
      <c r="C38" s="38"/>
      <c r="D38" s="39"/>
      <c r="E38" s="47"/>
      <c r="F38" s="47"/>
      <c r="G38" s="47"/>
      <c r="H38" s="47"/>
      <c r="I38" s="47"/>
      <c r="K38" s="36"/>
      <c r="L38" s="60"/>
      <c r="M38" s="58"/>
      <c r="N38" s="59"/>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row>
    <row r="39" spans="1:48" hidden="1">
      <c r="A39" s="1" t="s">
        <v>208</v>
      </c>
      <c r="B39" t="s">
        <v>238</v>
      </c>
      <c r="C39" t="s">
        <v>248</v>
      </c>
      <c r="D39" s="1" t="s">
        <v>241</v>
      </c>
      <c r="E39" s="36">
        <v>3.4463585429905769E-2</v>
      </c>
      <c r="F39" s="36">
        <v>3.1572070532242535E-2</v>
      </c>
      <c r="G39" s="36">
        <v>2.9019750254825966E-2</v>
      </c>
      <c r="H39" s="36">
        <v>2.7160774592576754E-2</v>
      </c>
      <c r="I39" s="36">
        <v>2.5496414369442097E-2</v>
      </c>
      <c r="K39" s="36">
        <f t="shared" si="1"/>
        <v>2.2417927651159179E-3</v>
      </c>
      <c r="L39" s="57">
        <f>1-((I39/E39)^0.25)</f>
        <v>7.2573154722788691E-2</v>
      </c>
      <c r="M39" s="58">
        <f>I39/E39</f>
        <v>0.73980736627935373</v>
      </c>
      <c r="N39" s="59">
        <f>(1-L39)^4</f>
        <v>0.73980736627935362</v>
      </c>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row>
    <row r="40" spans="1:48" hidden="1">
      <c r="A40" s="1" t="s">
        <v>209</v>
      </c>
      <c r="B40" t="s">
        <v>238</v>
      </c>
      <c r="C40" t="s">
        <v>248</v>
      </c>
      <c r="D40" s="1" t="s">
        <v>241</v>
      </c>
      <c r="E40" s="36">
        <v>1.0167331237615703E-4</v>
      </c>
      <c r="F40" s="36">
        <v>1.001949873501705E-4</v>
      </c>
      <c r="G40" s="36">
        <v>9.8684556941726128E-5</v>
      </c>
      <c r="H40" s="36">
        <v>9.706183439254594E-5</v>
      </c>
      <c r="I40" s="36">
        <v>9.5575135860508111E-5</v>
      </c>
      <c r="K40" s="36">
        <f t="shared" si="1"/>
        <v>1.5245441289122303E-6</v>
      </c>
      <c r="L40" s="57">
        <f t="shared" ref="L40:L42" si="5">1-((I40/E40)^0.25)</f>
        <v>1.5344099155383262E-2</v>
      </c>
      <c r="M40" s="58">
        <f t="shared" ref="M40:M42" si="6">I40/E40</f>
        <v>0.94002185654099946</v>
      </c>
      <c r="N40" s="59">
        <f t="shared" ref="N40:N42" si="7">(1-L40)^4</f>
        <v>0.94002185654099935</v>
      </c>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row>
    <row r="41" spans="1:48" hidden="1">
      <c r="A41" s="1" t="s">
        <v>210</v>
      </c>
      <c r="B41" t="s">
        <v>238</v>
      </c>
      <c r="C41" t="s">
        <v>248</v>
      </c>
      <c r="D41" s="1" t="s">
        <v>241</v>
      </c>
      <c r="E41" s="36">
        <v>23.361559574991535</v>
      </c>
      <c r="F41" s="36">
        <v>23.023153573541567</v>
      </c>
      <c r="G41" s="36">
        <v>22.677212438268267</v>
      </c>
      <c r="H41" s="36">
        <v>22.313964601471767</v>
      </c>
      <c r="I41" s="36">
        <v>21.96827626278403</v>
      </c>
      <c r="K41" s="36">
        <f t="shared" si="1"/>
        <v>0.34832082805187614</v>
      </c>
      <c r="L41" s="57">
        <f t="shared" si="5"/>
        <v>1.5255560177574345E-2</v>
      </c>
      <c r="M41" s="58">
        <f t="shared" si="6"/>
        <v>0.9403600043167063</v>
      </c>
      <c r="N41" s="59">
        <f t="shared" si="7"/>
        <v>0.9403600043167063</v>
      </c>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row>
    <row r="42" spans="1:48" hidden="1">
      <c r="A42" s="1" t="s">
        <v>211</v>
      </c>
      <c r="B42" t="s">
        <v>238</v>
      </c>
      <c r="C42" t="s">
        <v>248</v>
      </c>
      <c r="D42" s="1" t="s">
        <v>241</v>
      </c>
      <c r="E42" s="36">
        <v>1.1573209875234117E-3</v>
      </c>
      <c r="F42" s="36">
        <v>1.019083501418952E-3</v>
      </c>
      <c r="G42" s="36">
        <v>9.1323582477745302E-4</v>
      </c>
      <c r="H42" s="36">
        <v>8.7119567033948234E-4</v>
      </c>
      <c r="I42" s="36">
        <v>7.7832435653827964E-4</v>
      </c>
      <c r="K42" s="36">
        <f t="shared" si="1"/>
        <v>9.4749157746283006E-5</v>
      </c>
      <c r="L42" s="57">
        <f t="shared" si="5"/>
        <v>9.4420259278590657E-2</v>
      </c>
      <c r="M42" s="58">
        <f t="shared" si="6"/>
        <v>0.67252245913542186</v>
      </c>
      <c r="N42" s="59">
        <f t="shared" si="7"/>
        <v>0.67252245913542186</v>
      </c>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row>
    <row r="43" spans="1:48" hidden="1">
      <c r="A43" s="37" t="s">
        <v>138</v>
      </c>
      <c r="B43" s="38"/>
      <c r="C43" s="38"/>
      <c r="D43" s="39"/>
      <c r="E43" s="47"/>
      <c r="F43" s="47"/>
      <c r="G43" s="47"/>
      <c r="H43" s="47"/>
      <c r="I43" s="47"/>
      <c r="K43" s="36"/>
      <c r="L43" s="60"/>
      <c r="M43" s="58"/>
      <c r="N43" s="59"/>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row>
    <row r="44" spans="1:48" hidden="1">
      <c r="A44" s="1" t="s">
        <v>208</v>
      </c>
      <c r="B44" t="s">
        <v>238</v>
      </c>
      <c r="C44" t="s">
        <v>248</v>
      </c>
      <c r="D44" s="1" t="s">
        <v>242</v>
      </c>
      <c r="E44" s="36">
        <v>0.16987695171033151</v>
      </c>
      <c r="F44" s="36">
        <v>0.15683592590047502</v>
      </c>
      <c r="G44" s="36">
        <v>0.1462970413405105</v>
      </c>
      <c r="H44" s="36">
        <v>0.13760244045116049</v>
      </c>
      <c r="I44" s="36">
        <v>0.13028352121936951</v>
      </c>
      <c r="K44" s="36">
        <f t="shared" si="1"/>
        <v>9.8983576227405015E-3</v>
      </c>
      <c r="L44" s="57">
        <f>1-((I44/E44)^0.25)</f>
        <v>6.4187682725352246E-2</v>
      </c>
      <c r="M44" s="58">
        <f>I44/E44</f>
        <v>0.7669287676030625</v>
      </c>
      <c r="N44" s="59">
        <f>(1-L44)^4</f>
        <v>0.7669287676030625</v>
      </c>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row>
    <row r="45" spans="1:48" hidden="1">
      <c r="A45" s="1" t="s">
        <v>209</v>
      </c>
      <c r="B45" t="s">
        <v>238</v>
      </c>
      <c r="C45" t="s">
        <v>248</v>
      </c>
      <c r="D45" s="1" t="s">
        <v>242</v>
      </c>
      <c r="E45" s="36">
        <v>2.16900499084816E-4</v>
      </c>
      <c r="F45" s="36">
        <v>2.1278563151579051E-4</v>
      </c>
      <c r="G45" s="36">
        <v>2.0902428547408251E-4</v>
      </c>
      <c r="H45" s="36">
        <v>2.0455478043755E-4</v>
      </c>
      <c r="I45" s="36">
        <v>2.00433613181854E-4</v>
      </c>
      <c r="K45" s="36">
        <f t="shared" si="1"/>
        <v>4.1167214757404982E-6</v>
      </c>
      <c r="L45" s="57">
        <f t="shared" ref="L45:L47" si="8">1-((I45/E45)^0.25)</f>
        <v>1.9545371549401613E-2</v>
      </c>
      <c r="M45" s="58">
        <f t="shared" ref="M45:M47" si="9">I45/E45</f>
        <v>0.92408092202442171</v>
      </c>
      <c r="N45" s="59">
        <f t="shared" ref="N45:N47" si="10">(1-L45)^4</f>
        <v>0.92408092202442171</v>
      </c>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row>
    <row r="46" spans="1:48" hidden="1">
      <c r="A46" s="1" t="s">
        <v>210</v>
      </c>
      <c r="B46" t="s">
        <v>238</v>
      </c>
      <c r="C46" t="s">
        <v>248</v>
      </c>
      <c r="D46" s="1" t="s">
        <v>242</v>
      </c>
      <c r="E46" s="36">
        <v>64.371869643100041</v>
      </c>
      <c r="F46" s="36">
        <v>63.228150536820401</v>
      </c>
      <c r="G46" s="36">
        <v>62.165453853429256</v>
      </c>
      <c r="H46" s="36">
        <v>60.886592066537048</v>
      </c>
      <c r="I46" s="36">
        <v>59.703327654803843</v>
      </c>
      <c r="K46" s="36">
        <f t="shared" si="1"/>
        <v>1.1671354970740495</v>
      </c>
      <c r="L46" s="57">
        <f t="shared" si="8"/>
        <v>1.8646210863304202E-2</v>
      </c>
      <c r="M46" s="58">
        <f t="shared" si="9"/>
        <v>0.92747543275998956</v>
      </c>
      <c r="N46" s="59">
        <f t="shared" si="10"/>
        <v>0.92747543275998967</v>
      </c>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row>
    <row r="47" spans="1:48" ht="15" hidden="1" thickBot="1">
      <c r="A47" s="1" t="s">
        <v>211</v>
      </c>
      <c r="B47" t="s">
        <v>238</v>
      </c>
      <c r="C47" t="s">
        <v>248</v>
      </c>
      <c r="D47" s="1" t="s">
        <v>242</v>
      </c>
      <c r="E47" s="36">
        <v>4.0229070464997954E-3</v>
      </c>
      <c r="F47" s="36">
        <v>3.5063855597423049E-3</v>
      </c>
      <c r="G47" s="36">
        <v>3.1250962260919151E-3</v>
      </c>
      <c r="H47" s="36">
        <v>2.8001477516435801E-3</v>
      </c>
      <c r="I47" s="36">
        <v>2.5334269742567353E-3</v>
      </c>
      <c r="K47" s="36">
        <f t="shared" si="1"/>
        <v>3.7237001806076503E-4</v>
      </c>
      <c r="L47" s="61">
        <f t="shared" si="8"/>
        <v>0.10917561208385518</v>
      </c>
      <c r="M47" s="62">
        <f t="shared" si="9"/>
        <v>0.62975031363476075</v>
      </c>
      <c r="N47" s="63">
        <f t="shared" si="10"/>
        <v>0.62975031363476075</v>
      </c>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row>
    <row r="48" spans="1:48" hidden="1">
      <c r="A48" s="1"/>
      <c r="D48" s="1"/>
      <c r="E48" s="36"/>
      <c r="F48" s="36"/>
      <c r="G48" s="36"/>
      <c r="H48" s="36"/>
      <c r="I48" s="36"/>
      <c r="K48" s="36"/>
      <c r="L48" s="157"/>
      <c r="M48" s="58"/>
      <c r="N48" s="58"/>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row>
    <row r="49" spans="1:48">
      <c r="A49" s="1"/>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row>
    <row r="50" spans="1:48">
      <c r="A50" s="16" t="s">
        <v>249</v>
      </c>
      <c r="B50" t="s">
        <v>222</v>
      </c>
      <c r="C50" t="s">
        <v>244</v>
      </c>
      <c r="E50">
        <v>2021</v>
      </c>
      <c r="F50">
        <f>E50+1</f>
        <v>2022</v>
      </c>
      <c r="G50">
        <f t="shared" ref="G50" si="11">F50+1</f>
        <v>2023</v>
      </c>
      <c r="H50">
        <f t="shared" ref="H50" si="12">G50+1</f>
        <v>2024</v>
      </c>
      <c r="I50">
        <f t="shared" ref="I50" si="13">H50+1</f>
        <v>2025</v>
      </c>
      <c r="J50">
        <f t="shared" ref="J50" si="14">I50+1</f>
        <v>2026</v>
      </c>
      <c r="K50">
        <f t="shared" ref="K50" si="15">J50+1</f>
        <v>2027</v>
      </c>
      <c r="L50">
        <f t="shared" ref="L50" si="16">K50+1</f>
        <v>2028</v>
      </c>
      <c r="M50">
        <f t="shared" ref="M50" si="17">L50+1</f>
        <v>2029</v>
      </c>
      <c r="N50">
        <f t="shared" ref="N50" si="18">M50+1</f>
        <v>2030</v>
      </c>
      <c r="O50">
        <f t="shared" ref="O50" si="19">N50+1</f>
        <v>2031</v>
      </c>
      <c r="P50">
        <f t="shared" ref="P50" si="20">O50+1</f>
        <v>2032</v>
      </c>
      <c r="Q50">
        <f t="shared" ref="Q50" si="21">P50+1</f>
        <v>2033</v>
      </c>
      <c r="R50">
        <f t="shared" ref="R50" si="22">Q50+1</f>
        <v>2034</v>
      </c>
      <c r="S50">
        <f t="shared" ref="S50" si="23">R50+1</f>
        <v>2035</v>
      </c>
      <c r="T50">
        <f t="shared" ref="T50" si="24">S50+1</f>
        <v>2036</v>
      </c>
      <c r="U50">
        <f t="shared" ref="U50" si="25">T50+1</f>
        <v>2037</v>
      </c>
      <c r="V50">
        <f t="shared" ref="V50" si="26">U50+1</f>
        <v>2038</v>
      </c>
      <c r="W50">
        <f t="shared" ref="W50" si="27">V50+1</f>
        <v>2039</v>
      </c>
      <c r="X50">
        <f t="shared" ref="X50" si="28">W50+1</f>
        <v>2040</v>
      </c>
      <c r="Y50">
        <f t="shared" ref="Y50" si="29">X50+1</f>
        <v>2041</v>
      </c>
      <c r="Z50">
        <f t="shared" ref="Z50" si="30">Y50+1</f>
        <v>2042</v>
      </c>
      <c r="AA50">
        <f t="shared" ref="AA50" si="31">Z50+1</f>
        <v>2043</v>
      </c>
      <c r="AB50">
        <f t="shared" ref="AB50" si="32">AA50+1</f>
        <v>2044</v>
      </c>
      <c r="AC50">
        <f t="shared" ref="AC50" si="33">AB50+1</f>
        <v>2045</v>
      </c>
      <c r="AD50">
        <f t="shared" ref="AD50" si="34">AC50+1</f>
        <v>2046</v>
      </c>
      <c r="AE50">
        <f t="shared" ref="AE50" si="35">AD50+1</f>
        <v>2047</v>
      </c>
      <c r="AF50">
        <f t="shared" ref="AF50" si="36">AE50+1</f>
        <v>2048</v>
      </c>
      <c r="AG50">
        <f t="shared" ref="AG50" si="37">AF50+1</f>
        <v>2049</v>
      </c>
      <c r="AH50">
        <f t="shared" ref="AH50" si="38">AG50+1</f>
        <v>2050</v>
      </c>
    </row>
    <row r="51" spans="1:48">
      <c r="A51" s="1" t="s">
        <v>250</v>
      </c>
      <c r="B51" s="12" t="s">
        <v>251</v>
      </c>
      <c r="C51" t="s">
        <v>252</v>
      </c>
      <c r="E51" s="173">
        <v>15600</v>
      </c>
      <c r="F51" s="173">
        <v>15800</v>
      </c>
      <c r="G51" s="173">
        <v>16000</v>
      </c>
      <c r="H51" s="173">
        <v>16200</v>
      </c>
      <c r="I51" s="173">
        <v>16500</v>
      </c>
      <c r="J51" s="173">
        <v>16800</v>
      </c>
      <c r="K51" s="173">
        <v>17100</v>
      </c>
      <c r="L51" s="173">
        <v>17400</v>
      </c>
      <c r="M51" s="173">
        <v>17700</v>
      </c>
      <c r="N51" s="173">
        <v>18100</v>
      </c>
      <c r="O51" s="173">
        <v>18100</v>
      </c>
      <c r="P51" s="173">
        <v>18100</v>
      </c>
      <c r="Q51" s="173">
        <v>18100</v>
      </c>
      <c r="R51" s="173">
        <v>18100</v>
      </c>
      <c r="S51" s="173">
        <v>18100</v>
      </c>
      <c r="T51" s="173">
        <v>18100</v>
      </c>
      <c r="U51" s="173">
        <v>18100</v>
      </c>
      <c r="V51" s="173">
        <v>18100</v>
      </c>
      <c r="W51" s="173">
        <v>18100</v>
      </c>
      <c r="X51" s="173">
        <v>18100</v>
      </c>
      <c r="Y51" s="173">
        <v>18100</v>
      </c>
      <c r="Z51" s="173">
        <v>18100</v>
      </c>
      <c r="AA51" s="173">
        <v>18100</v>
      </c>
      <c r="AB51" s="173">
        <v>18100</v>
      </c>
      <c r="AC51" s="173">
        <v>18100</v>
      </c>
      <c r="AD51" s="173">
        <v>18100</v>
      </c>
      <c r="AE51" s="173">
        <v>18100</v>
      </c>
      <c r="AF51" s="173">
        <v>18100</v>
      </c>
      <c r="AG51" s="173">
        <v>18100</v>
      </c>
      <c r="AH51" s="173">
        <v>18100</v>
      </c>
      <c r="AI51" s="14"/>
      <c r="AJ51" s="14"/>
      <c r="AK51" s="14"/>
      <c r="AL51" s="14"/>
      <c r="AM51" s="14"/>
      <c r="AN51" s="14"/>
      <c r="AO51" s="14"/>
      <c r="AP51" s="14"/>
      <c r="AQ51" s="14"/>
      <c r="AR51" s="14"/>
      <c r="AS51" s="14"/>
      <c r="AT51" s="14"/>
      <c r="AU51" s="14"/>
      <c r="AV51" s="14"/>
    </row>
    <row r="52" spans="1:48">
      <c r="A52" s="1" t="s">
        <v>253</v>
      </c>
      <c r="B52" s="12" t="s">
        <v>251</v>
      </c>
      <c r="C52" t="s">
        <v>252</v>
      </c>
      <c r="E52" s="173">
        <v>41500</v>
      </c>
      <c r="F52" s="173">
        <v>42300</v>
      </c>
      <c r="G52" s="173">
        <v>43100</v>
      </c>
      <c r="H52" s="173">
        <v>44000</v>
      </c>
      <c r="I52" s="173">
        <v>44900</v>
      </c>
      <c r="J52" s="173">
        <v>45700</v>
      </c>
      <c r="K52" s="173">
        <v>46500</v>
      </c>
      <c r="L52" s="173">
        <v>47300</v>
      </c>
      <c r="M52" s="173">
        <v>48200</v>
      </c>
      <c r="N52" s="173">
        <v>49100</v>
      </c>
      <c r="O52" s="173">
        <v>49100</v>
      </c>
      <c r="P52" s="173">
        <v>49100</v>
      </c>
      <c r="Q52" s="173">
        <v>49100</v>
      </c>
      <c r="R52" s="173">
        <v>49100</v>
      </c>
      <c r="S52" s="173">
        <v>49100</v>
      </c>
      <c r="T52" s="173">
        <v>49100</v>
      </c>
      <c r="U52" s="173">
        <v>49100</v>
      </c>
      <c r="V52" s="173">
        <v>49100</v>
      </c>
      <c r="W52" s="173">
        <v>49100</v>
      </c>
      <c r="X52" s="173">
        <v>49100</v>
      </c>
      <c r="Y52" s="173">
        <v>49100</v>
      </c>
      <c r="Z52" s="173">
        <v>49100</v>
      </c>
      <c r="AA52" s="173">
        <v>49100</v>
      </c>
      <c r="AB52" s="173">
        <v>49100</v>
      </c>
      <c r="AC52" s="173">
        <v>49100</v>
      </c>
      <c r="AD52" s="173">
        <v>49100</v>
      </c>
      <c r="AE52" s="173">
        <v>49100</v>
      </c>
      <c r="AF52" s="173">
        <v>49100</v>
      </c>
      <c r="AG52" s="173">
        <v>49100</v>
      </c>
      <c r="AH52" s="173">
        <v>49100</v>
      </c>
      <c r="AI52" s="14"/>
      <c r="AJ52" s="14"/>
      <c r="AK52" s="14"/>
      <c r="AL52" s="14"/>
      <c r="AM52" s="14"/>
      <c r="AN52" s="14"/>
      <c r="AO52" s="14"/>
      <c r="AP52" s="14"/>
      <c r="AQ52" s="14"/>
      <c r="AR52" s="14"/>
      <c r="AS52" s="14"/>
      <c r="AT52" s="14"/>
      <c r="AU52" s="14"/>
      <c r="AV52" s="14"/>
    </row>
    <row r="53" spans="1:48" ht="16.5">
      <c r="A53" s="1" t="s">
        <v>254</v>
      </c>
      <c r="B53" s="12" t="s">
        <v>251</v>
      </c>
      <c r="C53" t="s">
        <v>252</v>
      </c>
      <c r="E53" s="173">
        <v>52</v>
      </c>
      <c r="F53" s="173">
        <v>53</v>
      </c>
      <c r="G53" s="173">
        <v>54</v>
      </c>
      <c r="H53" s="173">
        <v>55</v>
      </c>
      <c r="I53" s="173">
        <v>56</v>
      </c>
      <c r="J53" s="173">
        <v>57</v>
      </c>
      <c r="K53" s="173">
        <v>58</v>
      </c>
      <c r="L53" s="173">
        <v>60</v>
      </c>
      <c r="M53" s="173">
        <v>61</v>
      </c>
      <c r="N53" s="173">
        <v>62</v>
      </c>
      <c r="O53" s="173">
        <v>63</v>
      </c>
      <c r="P53" s="173">
        <v>64</v>
      </c>
      <c r="Q53" s="173">
        <v>65</v>
      </c>
      <c r="R53" s="173">
        <v>66</v>
      </c>
      <c r="S53" s="173">
        <v>67</v>
      </c>
      <c r="T53" s="173">
        <v>69</v>
      </c>
      <c r="U53" s="173">
        <v>70</v>
      </c>
      <c r="V53" s="173">
        <v>71</v>
      </c>
      <c r="W53" s="173">
        <v>72</v>
      </c>
      <c r="X53" s="173">
        <v>73</v>
      </c>
      <c r="Y53" s="173">
        <v>74</v>
      </c>
      <c r="Z53" s="173">
        <v>75</v>
      </c>
      <c r="AA53" s="173">
        <v>77</v>
      </c>
      <c r="AB53" s="173">
        <v>78</v>
      </c>
      <c r="AC53" s="173">
        <v>79</v>
      </c>
      <c r="AD53" s="173">
        <v>80</v>
      </c>
      <c r="AE53" s="173">
        <v>81</v>
      </c>
      <c r="AF53" s="173">
        <v>82</v>
      </c>
      <c r="AG53" s="173">
        <v>84</v>
      </c>
      <c r="AH53" s="173">
        <v>85</v>
      </c>
      <c r="AI53" s="14"/>
      <c r="AJ53" s="14"/>
      <c r="AK53" s="14"/>
      <c r="AL53" s="14"/>
      <c r="AM53" s="14"/>
      <c r="AN53" s="14"/>
      <c r="AO53" s="14"/>
      <c r="AP53" s="14"/>
      <c r="AQ53" s="14"/>
      <c r="AR53" s="14"/>
      <c r="AS53" s="14"/>
      <c r="AT53" s="14"/>
      <c r="AU53" s="14"/>
      <c r="AV53" s="14"/>
    </row>
    <row r="54" spans="1:48">
      <c r="A54" s="1" t="s">
        <v>211</v>
      </c>
      <c r="B54" s="12" t="s">
        <v>251</v>
      </c>
      <c r="C54" t="s">
        <v>252</v>
      </c>
      <c r="E54" s="173">
        <v>748600</v>
      </c>
      <c r="F54" s="173">
        <v>761600</v>
      </c>
      <c r="G54" s="173">
        <v>774700</v>
      </c>
      <c r="H54" s="173">
        <v>788100</v>
      </c>
      <c r="I54" s="173">
        <v>801700</v>
      </c>
      <c r="J54" s="173">
        <v>814500</v>
      </c>
      <c r="K54" s="173">
        <v>827400</v>
      </c>
      <c r="L54" s="173">
        <v>840600</v>
      </c>
      <c r="M54" s="173">
        <v>854000</v>
      </c>
      <c r="N54" s="173">
        <v>867600</v>
      </c>
      <c r="O54" s="173">
        <v>867600</v>
      </c>
      <c r="P54" s="173">
        <v>867600</v>
      </c>
      <c r="Q54" s="173">
        <v>867600</v>
      </c>
      <c r="R54" s="173">
        <v>867600</v>
      </c>
      <c r="S54" s="173">
        <v>867600</v>
      </c>
      <c r="T54" s="173">
        <v>867600</v>
      </c>
      <c r="U54" s="173">
        <v>867600</v>
      </c>
      <c r="V54" s="173">
        <v>867600</v>
      </c>
      <c r="W54" s="173">
        <v>867600</v>
      </c>
      <c r="X54" s="173">
        <v>867600</v>
      </c>
      <c r="Y54" s="173">
        <v>867600</v>
      </c>
      <c r="Z54" s="173">
        <v>867600</v>
      </c>
      <c r="AA54" s="173">
        <v>867600</v>
      </c>
      <c r="AB54" s="173">
        <v>867600</v>
      </c>
      <c r="AC54" s="173">
        <v>867600</v>
      </c>
      <c r="AD54" s="173">
        <v>867600</v>
      </c>
      <c r="AE54" s="173">
        <v>867600</v>
      </c>
      <c r="AF54" s="173">
        <v>867600</v>
      </c>
      <c r="AG54" s="173">
        <v>867600</v>
      </c>
      <c r="AH54" s="173">
        <v>867600</v>
      </c>
      <c r="AI54" s="14"/>
      <c r="AJ54" s="14"/>
      <c r="AK54" s="14"/>
      <c r="AL54" s="14"/>
      <c r="AM54" s="14"/>
      <c r="AN54" s="14"/>
      <c r="AO54" s="14"/>
      <c r="AP54" s="14"/>
      <c r="AQ54" s="14"/>
      <c r="AR54" s="14"/>
      <c r="AS54" s="14"/>
      <c r="AT54" s="14"/>
      <c r="AU54" s="14"/>
      <c r="AV54" s="14"/>
    </row>
    <row r="55" spans="1:48">
      <c r="A55" s="1"/>
    </row>
    <row r="56" spans="1:48">
      <c r="A56" s="1"/>
    </row>
    <row r="57" spans="1:48">
      <c r="A57" s="18" t="s">
        <v>255</v>
      </c>
      <c r="B57" t="s">
        <v>222</v>
      </c>
      <c r="C57" t="s">
        <v>244</v>
      </c>
      <c r="E57">
        <v>2021</v>
      </c>
      <c r="F57">
        <f>E57+1</f>
        <v>2022</v>
      </c>
      <c r="G57">
        <f t="shared" ref="G57:AJ57" si="39">F57+1</f>
        <v>2023</v>
      </c>
      <c r="H57">
        <f t="shared" si="39"/>
        <v>2024</v>
      </c>
      <c r="I57">
        <f t="shared" si="39"/>
        <v>2025</v>
      </c>
      <c r="J57">
        <f t="shared" si="39"/>
        <v>2026</v>
      </c>
      <c r="K57">
        <f t="shared" si="39"/>
        <v>2027</v>
      </c>
      <c r="L57">
        <f t="shared" si="39"/>
        <v>2028</v>
      </c>
      <c r="M57">
        <f t="shared" si="39"/>
        <v>2029</v>
      </c>
      <c r="N57">
        <f t="shared" si="39"/>
        <v>2030</v>
      </c>
      <c r="O57">
        <f t="shared" si="39"/>
        <v>2031</v>
      </c>
      <c r="P57">
        <f t="shared" si="39"/>
        <v>2032</v>
      </c>
      <c r="Q57">
        <f t="shared" si="39"/>
        <v>2033</v>
      </c>
      <c r="R57">
        <f t="shared" si="39"/>
        <v>2034</v>
      </c>
      <c r="S57">
        <f t="shared" si="39"/>
        <v>2035</v>
      </c>
      <c r="T57">
        <f t="shared" si="39"/>
        <v>2036</v>
      </c>
      <c r="U57">
        <f t="shared" si="39"/>
        <v>2037</v>
      </c>
      <c r="V57">
        <f t="shared" si="39"/>
        <v>2038</v>
      </c>
      <c r="W57">
        <f t="shared" si="39"/>
        <v>2039</v>
      </c>
      <c r="X57">
        <f t="shared" si="39"/>
        <v>2040</v>
      </c>
      <c r="Y57">
        <f t="shared" si="39"/>
        <v>2041</v>
      </c>
      <c r="Z57">
        <f t="shared" si="39"/>
        <v>2042</v>
      </c>
      <c r="AA57">
        <f t="shared" si="39"/>
        <v>2043</v>
      </c>
      <c r="AB57">
        <f t="shared" si="39"/>
        <v>2044</v>
      </c>
      <c r="AC57">
        <f t="shared" si="39"/>
        <v>2045</v>
      </c>
      <c r="AD57">
        <f t="shared" si="39"/>
        <v>2046</v>
      </c>
      <c r="AE57">
        <f t="shared" si="39"/>
        <v>2047</v>
      </c>
      <c r="AF57">
        <f t="shared" si="39"/>
        <v>2048</v>
      </c>
      <c r="AG57">
        <f t="shared" si="39"/>
        <v>2049</v>
      </c>
      <c r="AH57">
        <f t="shared" si="39"/>
        <v>2050</v>
      </c>
      <c r="AI57">
        <f t="shared" si="39"/>
        <v>2051</v>
      </c>
      <c r="AJ57">
        <f t="shared" si="39"/>
        <v>2052</v>
      </c>
    </row>
    <row r="58" spans="1:48">
      <c r="A58" s="1" t="s">
        <v>256</v>
      </c>
      <c r="B58" s="12" t="s">
        <v>251</v>
      </c>
      <c r="C58" t="s">
        <v>257</v>
      </c>
      <c r="D58" s="25"/>
      <c r="E58" s="25">
        <v>3900</v>
      </c>
      <c r="F58" s="25">
        <f>E58</f>
        <v>3900</v>
      </c>
      <c r="G58" s="25">
        <f t="shared" ref="G58:AJ58" si="40">F58</f>
        <v>3900</v>
      </c>
      <c r="H58" s="25">
        <f t="shared" si="40"/>
        <v>3900</v>
      </c>
      <c r="I58" s="25">
        <f t="shared" si="40"/>
        <v>3900</v>
      </c>
      <c r="J58" s="25">
        <f t="shared" si="40"/>
        <v>3900</v>
      </c>
      <c r="K58" s="25">
        <f t="shared" si="40"/>
        <v>3900</v>
      </c>
      <c r="L58" s="25">
        <f t="shared" si="40"/>
        <v>3900</v>
      </c>
      <c r="M58" s="25">
        <f t="shared" si="40"/>
        <v>3900</v>
      </c>
      <c r="N58" s="25">
        <f t="shared" si="40"/>
        <v>3900</v>
      </c>
      <c r="O58" s="25">
        <f t="shared" si="40"/>
        <v>3900</v>
      </c>
      <c r="P58" s="25">
        <f t="shared" si="40"/>
        <v>3900</v>
      </c>
      <c r="Q58" s="25">
        <f t="shared" si="40"/>
        <v>3900</v>
      </c>
      <c r="R58" s="25">
        <f t="shared" si="40"/>
        <v>3900</v>
      </c>
      <c r="S58" s="25">
        <f t="shared" si="40"/>
        <v>3900</v>
      </c>
      <c r="T58" s="25">
        <f t="shared" si="40"/>
        <v>3900</v>
      </c>
      <c r="U58" s="25">
        <f t="shared" si="40"/>
        <v>3900</v>
      </c>
      <c r="V58" s="25">
        <f t="shared" si="40"/>
        <v>3900</v>
      </c>
      <c r="W58" s="25">
        <f t="shared" si="40"/>
        <v>3900</v>
      </c>
      <c r="X58" s="25">
        <f t="shared" si="40"/>
        <v>3900</v>
      </c>
      <c r="Y58" s="25">
        <f t="shared" si="40"/>
        <v>3900</v>
      </c>
      <c r="Z58" s="25">
        <f t="shared" si="40"/>
        <v>3900</v>
      </c>
      <c r="AA58" s="25">
        <f t="shared" si="40"/>
        <v>3900</v>
      </c>
      <c r="AB58" s="25">
        <f t="shared" si="40"/>
        <v>3900</v>
      </c>
      <c r="AC58" s="25">
        <f t="shared" si="40"/>
        <v>3900</v>
      </c>
      <c r="AD58" s="25">
        <f t="shared" si="40"/>
        <v>3900</v>
      </c>
      <c r="AE58" s="25">
        <f t="shared" si="40"/>
        <v>3900</v>
      </c>
      <c r="AF58" s="25">
        <f t="shared" si="40"/>
        <v>3900</v>
      </c>
      <c r="AG58" s="25">
        <f t="shared" si="40"/>
        <v>3900</v>
      </c>
      <c r="AH58" s="25">
        <f t="shared" si="40"/>
        <v>3900</v>
      </c>
      <c r="AI58" s="25">
        <f t="shared" si="40"/>
        <v>3900</v>
      </c>
      <c r="AJ58" s="25">
        <f t="shared" si="40"/>
        <v>3900</v>
      </c>
      <c r="AK58" s="25"/>
      <c r="AL58" s="25"/>
      <c r="AM58" s="25"/>
      <c r="AN58" s="25"/>
      <c r="AO58" s="25"/>
      <c r="AP58" s="25"/>
      <c r="AQ58" s="25"/>
      <c r="AR58" s="25"/>
      <c r="AS58" s="25"/>
      <c r="AT58" s="25"/>
      <c r="AU58" s="25"/>
    </row>
    <row r="59" spans="1:48">
      <c r="A59" s="1" t="s">
        <v>258</v>
      </c>
      <c r="B59" s="12" t="s">
        <v>251</v>
      </c>
      <c r="C59" t="s">
        <v>257</v>
      </c>
      <c r="D59" s="25"/>
      <c r="E59" s="25">
        <v>77200</v>
      </c>
      <c r="F59" s="25">
        <f>E59</f>
        <v>77200</v>
      </c>
      <c r="G59" s="25">
        <f t="shared" ref="G59:AJ59" si="41">F59</f>
        <v>77200</v>
      </c>
      <c r="H59" s="25">
        <f t="shared" si="41"/>
        <v>77200</v>
      </c>
      <c r="I59" s="25">
        <f t="shared" si="41"/>
        <v>77200</v>
      </c>
      <c r="J59" s="25">
        <f t="shared" si="41"/>
        <v>77200</v>
      </c>
      <c r="K59" s="25">
        <f t="shared" si="41"/>
        <v>77200</v>
      </c>
      <c r="L59" s="25">
        <f t="shared" si="41"/>
        <v>77200</v>
      </c>
      <c r="M59" s="25">
        <f t="shared" si="41"/>
        <v>77200</v>
      </c>
      <c r="N59" s="25">
        <f t="shared" si="41"/>
        <v>77200</v>
      </c>
      <c r="O59" s="25">
        <f t="shared" si="41"/>
        <v>77200</v>
      </c>
      <c r="P59" s="25">
        <f t="shared" si="41"/>
        <v>77200</v>
      </c>
      <c r="Q59" s="25">
        <f t="shared" si="41"/>
        <v>77200</v>
      </c>
      <c r="R59" s="25">
        <f t="shared" si="41"/>
        <v>77200</v>
      </c>
      <c r="S59" s="25">
        <f t="shared" si="41"/>
        <v>77200</v>
      </c>
      <c r="T59" s="25">
        <f t="shared" si="41"/>
        <v>77200</v>
      </c>
      <c r="U59" s="25">
        <f t="shared" si="41"/>
        <v>77200</v>
      </c>
      <c r="V59" s="25">
        <f t="shared" si="41"/>
        <v>77200</v>
      </c>
      <c r="W59" s="25">
        <f t="shared" si="41"/>
        <v>77200</v>
      </c>
      <c r="X59" s="25">
        <f t="shared" si="41"/>
        <v>77200</v>
      </c>
      <c r="Y59" s="25">
        <f t="shared" si="41"/>
        <v>77200</v>
      </c>
      <c r="Z59" s="25">
        <f t="shared" si="41"/>
        <v>77200</v>
      </c>
      <c r="AA59" s="25">
        <f t="shared" si="41"/>
        <v>77200</v>
      </c>
      <c r="AB59" s="25">
        <f t="shared" si="41"/>
        <v>77200</v>
      </c>
      <c r="AC59" s="25">
        <f t="shared" si="41"/>
        <v>77200</v>
      </c>
      <c r="AD59" s="25">
        <f t="shared" si="41"/>
        <v>77200</v>
      </c>
      <c r="AE59" s="25">
        <f t="shared" si="41"/>
        <v>77200</v>
      </c>
      <c r="AF59" s="25">
        <f t="shared" si="41"/>
        <v>77200</v>
      </c>
      <c r="AG59" s="25">
        <f t="shared" si="41"/>
        <v>77200</v>
      </c>
      <c r="AH59" s="25">
        <f t="shared" si="41"/>
        <v>77200</v>
      </c>
      <c r="AI59" s="25">
        <f t="shared" si="41"/>
        <v>77200</v>
      </c>
      <c r="AJ59" s="25">
        <f t="shared" si="41"/>
        <v>77200</v>
      </c>
      <c r="AK59" s="25"/>
      <c r="AL59" s="25"/>
      <c r="AM59" s="25"/>
      <c r="AN59" s="25"/>
      <c r="AO59" s="25"/>
      <c r="AP59" s="25"/>
      <c r="AQ59" s="25"/>
      <c r="AR59" s="25"/>
      <c r="AS59" s="25"/>
      <c r="AT59" s="25"/>
      <c r="AU59" s="25"/>
    </row>
    <row r="60" spans="1:48">
      <c r="A60" s="1" t="s">
        <v>259</v>
      </c>
      <c r="B60" s="12" t="s">
        <v>251</v>
      </c>
      <c r="C60" t="s">
        <v>257</v>
      </c>
      <c r="D60" s="25"/>
      <c r="E60" s="25">
        <v>151100</v>
      </c>
      <c r="F60" s="25">
        <f>E60</f>
        <v>151100</v>
      </c>
      <c r="G60" s="25">
        <f t="shared" ref="G60:AJ60" si="42">F60</f>
        <v>151100</v>
      </c>
      <c r="H60" s="25">
        <f t="shared" si="42"/>
        <v>151100</v>
      </c>
      <c r="I60" s="25">
        <f t="shared" si="42"/>
        <v>151100</v>
      </c>
      <c r="J60" s="25">
        <f t="shared" si="42"/>
        <v>151100</v>
      </c>
      <c r="K60" s="25">
        <f t="shared" si="42"/>
        <v>151100</v>
      </c>
      <c r="L60" s="25">
        <f t="shared" si="42"/>
        <v>151100</v>
      </c>
      <c r="M60" s="25">
        <f t="shared" si="42"/>
        <v>151100</v>
      </c>
      <c r="N60" s="25">
        <f t="shared" si="42"/>
        <v>151100</v>
      </c>
      <c r="O60" s="25">
        <f t="shared" si="42"/>
        <v>151100</v>
      </c>
      <c r="P60" s="25">
        <f t="shared" si="42"/>
        <v>151100</v>
      </c>
      <c r="Q60" s="25">
        <f t="shared" si="42"/>
        <v>151100</v>
      </c>
      <c r="R60" s="25">
        <f t="shared" si="42"/>
        <v>151100</v>
      </c>
      <c r="S60" s="25">
        <f t="shared" si="42"/>
        <v>151100</v>
      </c>
      <c r="T60" s="25">
        <f t="shared" si="42"/>
        <v>151100</v>
      </c>
      <c r="U60" s="25">
        <f t="shared" si="42"/>
        <v>151100</v>
      </c>
      <c r="V60" s="25">
        <f t="shared" si="42"/>
        <v>151100</v>
      </c>
      <c r="W60" s="25">
        <f t="shared" si="42"/>
        <v>151100</v>
      </c>
      <c r="X60" s="25">
        <f t="shared" si="42"/>
        <v>151100</v>
      </c>
      <c r="Y60" s="25">
        <f t="shared" si="42"/>
        <v>151100</v>
      </c>
      <c r="Z60" s="25">
        <f t="shared" si="42"/>
        <v>151100</v>
      </c>
      <c r="AA60" s="25">
        <f t="shared" si="42"/>
        <v>151100</v>
      </c>
      <c r="AB60" s="25">
        <f t="shared" si="42"/>
        <v>151100</v>
      </c>
      <c r="AC60" s="25">
        <f t="shared" si="42"/>
        <v>151100</v>
      </c>
      <c r="AD60" s="25">
        <f t="shared" si="42"/>
        <v>151100</v>
      </c>
      <c r="AE60" s="25">
        <f t="shared" si="42"/>
        <v>151100</v>
      </c>
      <c r="AF60" s="25">
        <f t="shared" si="42"/>
        <v>151100</v>
      </c>
      <c r="AG60" s="25">
        <f t="shared" si="42"/>
        <v>151100</v>
      </c>
      <c r="AH60" s="25">
        <f t="shared" si="42"/>
        <v>151100</v>
      </c>
      <c r="AI60" s="25">
        <f t="shared" si="42"/>
        <v>151100</v>
      </c>
      <c r="AJ60" s="25">
        <f t="shared" si="42"/>
        <v>151100</v>
      </c>
      <c r="AK60" s="25"/>
      <c r="AL60" s="25"/>
      <c r="AM60" s="25"/>
      <c r="AN60" s="25"/>
      <c r="AO60" s="25"/>
      <c r="AP60" s="25"/>
      <c r="AQ60" s="25"/>
      <c r="AR60" s="25"/>
      <c r="AS60" s="25"/>
      <c r="AT60" s="25"/>
      <c r="AU60" s="25"/>
    </row>
    <row r="61" spans="1:48">
      <c r="A61" s="1" t="s">
        <v>260</v>
      </c>
      <c r="B61" s="12" t="s">
        <v>251</v>
      </c>
      <c r="C61" t="s">
        <v>257</v>
      </c>
      <c r="D61" s="25"/>
      <c r="E61" s="25">
        <v>554800</v>
      </c>
      <c r="F61" s="25">
        <f>E61</f>
        <v>554800</v>
      </c>
      <c r="G61" s="25">
        <f t="shared" ref="G61:AJ61" si="43">F61</f>
        <v>554800</v>
      </c>
      <c r="H61" s="25">
        <f t="shared" si="43"/>
        <v>554800</v>
      </c>
      <c r="I61" s="25">
        <f t="shared" si="43"/>
        <v>554800</v>
      </c>
      <c r="J61" s="25">
        <f t="shared" si="43"/>
        <v>554800</v>
      </c>
      <c r="K61" s="25">
        <f t="shared" si="43"/>
        <v>554800</v>
      </c>
      <c r="L61" s="25">
        <f t="shared" si="43"/>
        <v>554800</v>
      </c>
      <c r="M61" s="25">
        <f t="shared" si="43"/>
        <v>554800</v>
      </c>
      <c r="N61" s="25">
        <f t="shared" si="43"/>
        <v>554800</v>
      </c>
      <c r="O61" s="25">
        <f t="shared" si="43"/>
        <v>554800</v>
      </c>
      <c r="P61" s="25">
        <f t="shared" si="43"/>
        <v>554800</v>
      </c>
      <c r="Q61" s="25">
        <f t="shared" si="43"/>
        <v>554800</v>
      </c>
      <c r="R61" s="25">
        <f t="shared" si="43"/>
        <v>554800</v>
      </c>
      <c r="S61" s="25">
        <f t="shared" si="43"/>
        <v>554800</v>
      </c>
      <c r="T61" s="25">
        <f t="shared" si="43"/>
        <v>554800</v>
      </c>
      <c r="U61" s="25">
        <f t="shared" si="43"/>
        <v>554800</v>
      </c>
      <c r="V61" s="25">
        <f t="shared" si="43"/>
        <v>554800</v>
      </c>
      <c r="W61" s="25">
        <f t="shared" si="43"/>
        <v>554800</v>
      </c>
      <c r="X61" s="25">
        <f t="shared" si="43"/>
        <v>554800</v>
      </c>
      <c r="Y61" s="25">
        <f t="shared" si="43"/>
        <v>554800</v>
      </c>
      <c r="Z61" s="25">
        <f t="shared" si="43"/>
        <v>554800</v>
      </c>
      <c r="AA61" s="25">
        <f t="shared" si="43"/>
        <v>554800</v>
      </c>
      <c r="AB61" s="25">
        <f t="shared" si="43"/>
        <v>554800</v>
      </c>
      <c r="AC61" s="25">
        <f t="shared" si="43"/>
        <v>554800</v>
      </c>
      <c r="AD61" s="25">
        <f t="shared" si="43"/>
        <v>554800</v>
      </c>
      <c r="AE61" s="25">
        <f t="shared" si="43"/>
        <v>554800</v>
      </c>
      <c r="AF61" s="25">
        <f t="shared" si="43"/>
        <v>554800</v>
      </c>
      <c r="AG61" s="25">
        <f t="shared" si="43"/>
        <v>554800</v>
      </c>
      <c r="AH61" s="25">
        <f t="shared" si="43"/>
        <v>554800</v>
      </c>
      <c r="AI61" s="25">
        <f t="shared" si="43"/>
        <v>554800</v>
      </c>
      <c r="AJ61" s="25">
        <f t="shared" si="43"/>
        <v>554800</v>
      </c>
      <c r="AK61" s="25"/>
      <c r="AL61" s="25"/>
      <c r="AM61" s="25"/>
      <c r="AN61" s="25"/>
      <c r="AO61" s="25"/>
      <c r="AP61" s="25"/>
      <c r="AQ61" s="25"/>
      <c r="AR61" s="25"/>
      <c r="AS61" s="25"/>
      <c r="AT61" s="25"/>
      <c r="AU61" s="25"/>
    </row>
    <row r="62" spans="1:48">
      <c r="A62" s="1" t="s">
        <v>261</v>
      </c>
      <c r="B62" s="12" t="s">
        <v>251</v>
      </c>
      <c r="C62" t="s">
        <v>257</v>
      </c>
      <c r="D62" s="25"/>
      <c r="E62" s="25">
        <v>11600000</v>
      </c>
      <c r="F62" s="25">
        <v>11600000</v>
      </c>
      <c r="G62" s="25">
        <v>11600000</v>
      </c>
      <c r="H62" s="25">
        <v>11600000</v>
      </c>
      <c r="I62" s="25">
        <v>11600000</v>
      </c>
      <c r="J62" s="25">
        <v>11600000</v>
      </c>
      <c r="K62" s="25">
        <v>11600000</v>
      </c>
      <c r="L62" s="25">
        <v>11600000</v>
      </c>
      <c r="M62" s="25">
        <v>11600000</v>
      </c>
      <c r="N62" s="25">
        <v>11600000</v>
      </c>
      <c r="O62" s="25">
        <v>11600000</v>
      </c>
      <c r="P62" s="25">
        <v>11600000</v>
      </c>
      <c r="Q62" s="25">
        <v>11600000</v>
      </c>
      <c r="R62" s="25">
        <v>11600000</v>
      </c>
      <c r="S62" s="25">
        <v>11600000</v>
      </c>
      <c r="T62" s="25">
        <v>11600000</v>
      </c>
      <c r="U62" s="25">
        <v>11600000</v>
      </c>
      <c r="V62" s="25">
        <v>11600000</v>
      </c>
      <c r="W62" s="25">
        <v>11600000</v>
      </c>
      <c r="X62" s="25">
        <v>11600000</v>
      </c>
      <c r="Y62" s="25">
        <v>11600000</v>
      </c>
      <c r="Z62" s="25">
        <v>11600000</v>
      </c>
      <c r="AA62" s="25">
        <v>11600000</v>
      </c>
      <c r="AB62" s="25">
        <v>11600000</v>
      </c>
      <c r="AC62" s="25">
        <v>11600000</v>
      </c>
      <c r="AD62" s="25">
        <v>11600000</v>
      </c>
      <c r="AE62" s="25">
        <v>11600000</v>
      </c>
      <c r="AF62" s="25">
        <v>11600000</v>
      </c>
      <c r="AG62" s="25">
        <v>11600000</v>
      </c>
      <c r="AH62" s="25">
        <v>11600000</v>
      </c>
      <c r="AI62" s="25">
        <v>11600000</v>
      </c>
      <c r="AJ62" s="25">
        <v>11600000</v>
      </c>
      <c r="AK62" s="25"/>
      <c r="AL62" s="25"/>
      <c r="AM62" s="25"/>
      <c r="AN62" s="25"/>
      <c r="AO62" s="25"/>
      <c r="AP62" s="25"/>
      <c r="AQ62" s="25"/>
      <c r="AR62" s="25"/>
      <c r="AS62" s="25"/>
      <c r="AT62" s="25"/>
      <c r="AU62" s="25"/>
    </row>
    <row r="64" spans="1:48">
      <c r="A64" s="18" t="s">
        <v>262</v>
      </c>
      <c r="E64">
        <v>2021</v>
      </c>
      <c r="F64">
        <f>E64+1</f>
        <v>2022</v>
      </c>
      <c r="G64">
        <f t="shared" ref="G64" si="44">F64+1</f>
        <v>2023</v>
      </c>
      <c r="H64">
        <f t="shared" ref="H64" si="45">G64+1</f>
        <v>2024</v>
      </c>
      <c r="I64">
        <f t="shared" ref="I64" si="46">H64+1</f>
        <v>2025</v>
      </c>
      <c r="J64">
        <f t="shared" ref="J64" si="47">I64+1</f>
        <v>2026</v>
      </c>
      <c r="K64">
        <f t="shared" ref="K64" si="48">J64+1</f>
        <v>2027</v>
      </c>
      <c r="L64">
        <f t="shared" ref="L64" si="49">K64+1</f>
        <v>2028</v>
      </c>
      <c r="M64">
        <f t="shared" ref="M64" si="50">L64+1</f>
        <v>2029</v>
      </c>
      <c r="N64">
        <f t="shared" ref="N64" si="51">M64+1</f>
        <v>2030</v>
      </c>
      <c r="O64">
        <f t="shared" ref="O64" si="52">N64+1</f>
        <v>2031</v>
      </c>
      <c r="P64">
        <f t="shared" ref="P64" si="53">O64+1</f>
        <v>2032</v>
      </c>
      <c r="Q64">
        <f t="shared" ref="Q64" si="54">P64+1</f>
        <v>2033</v>
      </c>
      <c r="R64">
        <f t="shared" ref="R64" si="55">Q64+1</f>
        <v>2034</v>
      </c>
      <c r="S64">
        <f t="shared" ref="S64" si="56">R64+1</f>
        <v>2035</v>
      </c>
      <c r="T64">
        <f t="shared" ref="T64" si="57">S64+1</f>
        <v>2036</v>
      </c>
      <c r="U64">
        <f t="shared" ref="U64" si="58">T64+1</f>
        <v>2037</v>
      </c>
      <c r="V64">
        <f t="shared" ref="V64" si="59">U64+1</f>
        <v>2038</v>
      </c>
      <c r="W64">
        <f t="shared" ref="W64" si="60">V64+1</f>
        <v>2039</v>
      </c>
      <c r="X64">
        <f t="shared" ref="X64" si="61">W64+1</f>
        <v>2040</v>
      </c>
      <c r="Y64">
        <f t="shared" ref="Y64" si="62">X64+1</f>
        <v>2041</v>
      </c>
      <c r="Z64">
        <f t="shared" ref="Z64" si="63">Y64+1</f>
        <v>2042</v>
      </c>
      <c r="AA64">
        <f t="shared" ref="AA64" si="64">Z64+1</f>
        <v>2043</v>
      </c>
      <c r="AB64">
        <f t="shared" ref="AB64" si="65">AA64+1</f>
        <v>2044</v>
      </c>
      <c r="AC64">
        <f t="shared" ref="AC64" si="66">AB64+1</f>
        <v>2045</v>
      </c>
      <c r="AD64">
        <f t="shared" ref="AD64" si="67">AC64+1</f>
        <v>2046</v>
      </c>
      <c r="AE64">
        <f t="shared" ref="AE64" si="68">AD64+1</f>
        <v>2047</v>
      </c>
      <c r="AF64">
        <f t="shared" ref="AF64" si="69">AE64+1</f>
        <v>2048</v>
      </c>
      <c r="AG64">
        <f t="shared" ref="AG64" si="70">AF64+1</f>
        <v>2049</v>
      </c>
      <c r="AH64">
        <f t="shared" ref="AH64" si="71">AG64+1</f>
        <v>2050</v>
      </c>
      <c r="AI64">
        <f t="shared" ref="AI64" si="72">AH64+1</f>
        <v>2051</v>
      </c>
      <c r="AJ64">
        <f t="shared" ref="AJ64" si="73">AI64+1</f>
        <v>2052</v>
      </c>
    </row>
    <row r="65" spans="1:48">
      <c r="A65" s="1" t="s">
        <v>263</v>
      </c>
      <c r="B65" s="12" t="s">
        <v>251</v>
      </c>
      <c r="D65" s="6"/>
      <c r="E65" s="6">
        <v>17.8</v>
      </c>
      <c r="F65" s="6">
        <f>E65</f>
        <v>17.8</v>
      </c>
      <c r="G65" s="6">
        <f t="shared" ref="G65:AV66" si="74">F65</f>
        <v>17.8</v>
      </c>
      <c r="H65" s="6">
        <f t="shared" si="74"/>
        <v>17.8</v>
      </c>
      <c r="I65" s="6">
        <f t="shared" si="74"/>
        <v>17.8</v>
      </c>
      <c r="J65" s="6">
        <f t="shared" si="74"/>
        <v>17.8</v>
      </c>
      <c r="K65" s="6">
        <f t="shared" si="74"/>
        <v>17.8</v>
      </c>
      <c r="L65" s="6">
        <f t="shared" si="74"/>
        <v>17.8</v>
      </c>
      <c r="M65" s="6">
        <f t="shared" si="74"/>
        <v>17.8</v>
      </c>
      <c r="N65" s="6">
        <f t="shared" si="74"/>
        <v>17.8</v>
      </c>
      <c r="O65" s="6">
        <f t="shared" si="74"/>
        <v>17.8</v>
      </c>
      <c r="P65" s="6">
        <f t="shared" si="74"/>
        <v>17.8</v>
      </c>
      <c r="Q65" s="6">
        <f t="shared" si="74"/>
        <v>17.8</v>
      </c>
      <c r="R65" s="6">
        <f t="shared" si="74"/>
        <v>17.8</v>
      </c>
      <c r="S65" s="6">
        <f t="shared" si="74"/>
        <v>17.8</v>
      </c>
      <c r="T65" s="6">
        <f t="shared" si="74"/>
        <v>17.8</v>
      </c>
      <c r="U65" s="6">
        <f t="shared" si="74"/>
        <v>17.8</v>
      </c>
      <c r="V65" s="6">
        <f t="shared" si="74"/>
        <v>17.8</v>
      </c>
      <c r="W65" s="6">
        <f t="shared" si="74"/>
        <v>17.8</v>
      </c>
      <c r="X65" s="6">
        <f t="shared" si="74"/>
        <v>17.8</v>
      </c>
      <c r="Y65" s="6">
        <f t="shared" si="74"/>
        <v>17.8</v>
      </c>
      <c r="Z65" s="6">
        <f t="shared" si="74"/>
        <v>17.8</v>
      </c>
      <c r="AA65" s="6">
        <f t="shared" si="74"/>
        <v>17.8</v>
      </c>
      <c r="AB65" s="6">
        <f t="shared" si="74"/>
        <v>17.8</v>
      </c>
      <c r="AC65" s="6">
        <f t="shared" si="74"/>
        <v>17.8</v>
      </c>
      <c r="AD65" s="6">
        <f t="shared" si="74"/>
        <v>17.8</v>
      </c>
      <c r="AE65" s="6">
        <f t="shared" si="74"/>
        <v>17.8</v>
      </c>
      <c r="AF65" s="6">
        <f t="shared" si="74"/>
        <v>17.8</v>
      </c>
      <c r="AG65" s="6">
        <f t="shared" si="74"/>
        <v>17.8</v>
      </c>
      <c r="AH65" s="6">
        <f t="shared" si="74"/>
        <v>17.8</v>
      </c>
      <c r="AI65" s="6">
        <f t="shared" si="74"/>
        <v>17.8</v>
      </c>
      <c r="AJ65" s="6">
        <f t="shared" si="74"/>
        <v>17.8</v>
      </c>
      <c r="AK65" s="6"/>
      <c r="AL65" s="6"/>
      <c r="AM65" s="6"/>
      <c r="AN65" s="6"/>
      <c r="AO65" s="6"/>
      <c r="AP65" s="6"/>
      <c r="AQ65" s="6"/>
      <c r="AR65" s="6"/>
      <c r="AS65" s="6"/>
      <c r="AT65" s="6"/>
      <c r="AU65" s="6"/>
      <c r="AV65" s="6">
        <f t="shared" si="74"/>
        <v>0</v>
      </c>
    </row>
    <row r="66" spans="1:48">
      <c r="A66" s="1" t="s">
        <v>264</v>
      </c>
      <c r="B66" s="12" t="s">
        <v>251</v>
      </c>
      <c r="D66" s="6"/>
      <c r="E66" s="6">
        <v>32</v>
      </c>
      <c r="F66" s="6">
        <f>E66</f>
        <v>32</v>
      </c>
      <c r="G66" s="6">
        <f t="shared" ref="G66:T66" si="75">F66</f>
        <v>32</v>
      </c>
      <c r="H66" s="6">
        <f t="shared" si="75"/>
        <v>32</v>
      </c>
      <c r="I66" s="6">
        <f t="shared" si="75"/>
        <v>32</v>
      </c>
      <c r="J66" s="6">
        <f t="shared" si="75"/>
        <v>32</v>
      </c>
      <c r="K66" s="6">
        <f t="shared" si="75"/>
        <v>32</v>
      </c>
      <c r="L66" s="6">
        <f t="shared" si="75"/>
        <v>32</v>
      </c>
      <c r="M66" s="6">
        <f t="shared" si="75"/>
        <v>32</v>
      </c>
      <c r="N66" s="6">
        <f t="shared" si="75"/>
        <v>32</v>
      </c>
      <c r="O66" s="6">
        <f t="shared" si="75"/>
        <v>32</v>
      </c>
      <c r="P66" s="6">
        <f t="shared" si="75"/>
        <v>32</v>
      </c>
      <c r="Q66" s="6">
        <f t="shared" si="75"/>
        <v>32</v>
      </c>
      <c r="R66" s="6">
        <f t="shared" si="75"/>
        <v>32</v>
      </c>
      <c r="S66" s="6">
        <f t="shared" si="75"/>
        <v>32</v>
      </c>
      <c r="T66" s="6">
        <f t="shared" si="75"/>
        <v>32</v>
      </c>
      <c r="U66" s="6">
        <f t="shared" si="74"/>
        <v>32</v>
      </c>
      <c r="V66" s="6">
        <f t="shared" si="74"/>
        <v>32</v>
      </c>
      <c r="W66" s="6">
        <f t="shared" si="74"/>
        <v>32</v>
      </c>
      <c r="X66" s="6">
        <f t="shared" si="74"/>
        <v>32</v>
      </c>
      <c r="Y66" s="6">
        <f t="shared" si="74"/>
        <v>32</v>
      </c>
      <c r="Z66" s="6">
        <f t="shared" si="74"/>
        <v>32</v>
      </c>
      <c r="AA66" s="6">
        <f t="shared" si="74"/>
        <v>32</v>
      </c>
      <c r="AB66" s="6">
        <f t="shared" si="74"/>
        <v>32</v>
      </c>
      <c r="AC66" s="6">
        <f t="shared" si="74"/>
        <v>32</v>
      </c>
      <c r="AD66" s="6">
        <f t="shared" si="74"/>
        <v>32</v>
      </c>
      <c r="AE66" s="6">
        <f t="shared" si="74"/>
        <v>32</v>
      </c>
      <c r="AF66" s="6">
        <f t="shared" si="74"/>
        <v>32</v>
      </c>
      <c r="AG66" s="6">
        <f t="shared" si="74"/>
        <v>32</v>
      </c>
      <c r="AH66" s="6">
        <f t="shared" si="74"/>
        <v>32</v>
      </c>
      <c r="AI66" s="6">
        <f t="shared" si="74"/>
        <v>32</v>
      </c>
      <c r="AJ66" s="6">
        <f t="shared" si="74"/>
        <v>32</v>
      </c>
      <c r="AK66" s="6"/>
      <c r="AL66" s="6"/>
      <c r="AM66" s="6"/>
      <c r="AN66" s="6"/>
      <c r="AO66" s="6"/>
      <c r="AP66" s="6"/>
      <c r="AQ66" s="6"/>
      <c r="AR66" s="6"/>
      <c r="AS66" s="6"/>
      <c r="AT66" s="6"/>
      <c r="AU66" s="6"/>
      <c r="AV66" s="6">
        <f t="shared" si="74"/>
        <v>0</v>
      </c>
    </row>
    <row r="67" spans="1:48">
      <c r="A67" s="1"/>
      <c r="B67" s="12"/>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row>
    <row r="68" spans="1:48">
      <c r="A68" s="1" t="s">
        <v>265</v>
      </c>
      <c r="B68" s="12" t="s">
        <v>251</v>
      </c>
      <c r="D68" s="138"/>
      <c r="E68" s="138">
        <f>B9</f>
        <v>0.94</v>
      </c>
      <c r="F68" s="138">
        <v>0.93</v>
      </c>
      <c r="G68" s="138">
        <v>0.93</v>
      </c>
      <c r="H68" s="138">
        <v>0.93</v>
      </c>
      <c r="I68" s="138">
        <v>0.93</v>
      </c>
      <c r="J68" s="138">
        <v>0.93</v>
      </c>
      <c r="K68" s="138">
        <v>0.93</v>
      </c>
      <c r="L68" s="138">
        <v>0.93</v>
      </c>
      <c r="M68" s="138">
        <v>0.93</v>
      </c>
      <c r="N68" s="138">
        <v>0.93</v>
      </c>
      <c r="O68" s="138">
        <v>0.93</v>
      </c>
      <c r="P68" s="138">
        <v>0.93</v>
      </c>
      <c r="Q68" s="138">
        <v>0.93</v>
      </c>
      <c r="R68" s="138">
        <v>0.93</v>
      </c>
      <c r="S68" s="138">
        <v>0.93</v>
      </c>
      <c r="T68" s="138">
        <v>0.93</v>
      </c>
      <c r="U68" s="138">
        <v>0.93</v>
      </c>
      <c r="V68" s="138">
        <v>0.93</v>
      </c>
      <c r="W68" s="138">
        <v>0.93</v>
      </c>
      <c r="X68" s="138">
        <v>0.93</v>
      </c>
      <c r="Y68" s="138">
        <v>0.93</v>
      </c>
      <c r="Z68" s="138">
        <v>0.93</v>
      </c>
      <c r="AA68" s="138">
        <v>0.93</v>
      </c>
      <c r="AB68" s="138">
        <v>0.93</v>
      </c>
      <c r="AC68" s="138">
        <v>0.93</v>
      </c>
      <c r="AD68" s="138">
        <v>0.93</v>
      </c>
      <c r="AE68" s="138">
        <v>0.93</v>
      </c>
      <c r="AF68" s="138">
        <v>0.93</v>
      </c>
      <c r="AG68" s="138">
        <v>0.93</v>
      </c>
      <c r="AH68" s="138">
        <v>0.93</v>
      </c>
      <c r="AI68" s="138">
        <v>0.93</v>
      </c>
      <c r="AJ68" s="138">
        <v>0.93</v>
      </c>
    </row>
    <row r="69" spans="1:48">
      <c r="A69" s="16" t="s">
        <v>266</v>
      </c>
    </row>
    <row r="70" spans="1:48">
      <c r="A70" s="74">
        <f>(113.083/112.664)^2</f>
        <v>1.0074518770025025</v>
      </c>
      <c r="B70" s="78"/>
    </row>
    <row r="76" spans="1:48" ht="15" thickBot="1">
      <c r="A76" s="16" t="s">
        <v>267</v>
      </c>
    </row>
    <row r="77" spans="1:48" ht="15" thickBot="1">
      <c r="A77" s="195" t="s">
        <v>268</v>
      </c>
      <c r="B77" s="196" t="s">
        <v>107</v>
      </c>
      <c r="C77" s="196" t="s">
        <v>106</v>
      </c>
      <c r="D77" s="196" t="s">
        <v>269</v>
      </c>
      <c r="E77" s="196" t="s">
        <v>105</v>
      </c>
      <c r="F77" s="197" t="s">
        <v>23</v>
      </c>
    </row>
    <row r="78" spans="1:48">
      <c r="A78" s="79" t="s">
        <v>132</v>
      </c>
      <c r="B78" s="198">
        <v>9.3999999999999998E-9</v>
      </c>
      <c r="C78" s="198">
        <v>2.1999999999999998E-9</v>
      </c>
      <c r="D78" s="198">
        <v>2.23E-7</v>
      </c>
      <c r="E78" s="198">
        <v>2.1749999999999998E-7</v>
      </c>
      <c r="F78" s="199">
        <v>4.0006814400000003E-4</v>
      </c>
    </row>
    <row r="79" spans="1:48">
      <c r="A79" s="200" t="s">
        <v>137</v>
      </c>
      <c r="B79" s="201">
        <v>3.4099999999999994E-8</v>
      </c>
      <c r="C79" s="201">
        <v>3.4999999999999999E-9</v>
      </c>
      <c r="D79" s="201">
        <v>2.6029999999999997E-7</v>
      </c>
      <c r="E79" s="201">
        <v>1.0682E-6</v>
      </c>
      <c r="F79" s="202">
        <v>1.3564215167999997E-3</v>
      </c>
    </row>
    <row r="80" spans="1:48" ht="15" thickBot="1">
      <c r="A80" s="84" t="s">
        <v>138</v>
      </c>
      <c r="B80" s="203">
        <v>8.3900000000000004E-8</v>
      </c>
      <c r="C80" s="203">
        <v>5.4999999999999996E-9</v>
      </c>
      <c r="D80" s="203">
        <v>1.825E-7</v>
      </c>
      <c r="E80" s="203">
        <v>3.9024000000000001E-6</v>
      </c>
      <c r="F80" s="204">
        <v>1.6795241702399998E-3</v>
      </c>
    </row>
  </sheetData>
  <phoneticPr fontId="12" type="noConversion"/>
  <pageMargins left="0.7" right="0.7" top="0.75" bottom="0.75" header="0.3" footer="0.3"/>
  <pageSetup paperSize="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6CCC-855B-4F77-8948-5C6EEB6C5C79}">
  <sheetPr>
    <tabColor rgb="FFFFC000"/>
  </sheetPr>
  <dimension ref="A1:D8"/>
  <sheetViews>
    <sheetView tabSelected="1" zoomScale="75" zoomScaleNormal="75" workbookViewId="0">
      <selection activeCell="M21" sqref="M21"/>
    </sheetView>
  </sheetViews>
  <sheetFormatPr defaultRowHeight="14.5"/>
  <cols>
    <col min="1" max="1" width="23.7265625" bestFit="1" customWidth="1"/>
    <col min="2" max="2" width="25.7265625" customWidth="1"/>
    <col min="3" max="3" width="13.81640625" customWidth="1"/>
  </cols>
  <sheetData>
    <row r="1" spans="1:4">
      <c r="A1" s="16" t="s">
        <v>214</v>
      </c>
    </row>
    <row r="2" spans="1:4">
      <c r="A2" t="s">
        <v>215</v>
      </c>
      <c r="B2" t="s">
        <v>216</v>
      </c>
      <c r="C2" t="s">
        <v>217</v>
      </c>
      <c r="D2" t="s">
        <v>68</v>
      </c>
    </row>
    <row r="3" spans="1:4">
      <c r="A3" s="261" t="s">
        <v>208</v>
      </c>
      <c r="B3" s="2">
        <f>SUM('Structurally Deficient Impact'!B35:U35)</f>
        <v>11.952181551106333</v>
      </c>
      <c r="C3" s="2">
        <f>SUM('Emission Benefits - Storm Close'!H7:AA7,'Emission Benefits - Storm Close'!H12:AA12)</f>
        <v>1.1120044656252261</v>
      </c>
      <c r="D3" s="263">
        <f>SUM(B3:C3)</f>
        <v>13.06418601673156</v>
      </c>
    </row>
    <row r="4" spans="1:4">
      <c r="A4" s="261" t="s">
        <v>209</v>
      </c>
      <c r="B4" s="2">
        <f>SUM('Structurally Deficient Impact'!B36:U36)</f>
        <v>1.6845274326333756E-2</v>
      </c>
      <c r="C4" s="2">
        <f>SUM('Emission Benefits - Storm Close'!H8:AA8,'Emission Benefits - Storm Close'!H13:AA13)</f>
        <v>7.7488665558014362E-3</v>
      </c>
      <c r="D4" s="263">
        <f t="shared" ref="D4:D6" si="0">SUM(B4:C4)</f>
        <v>2.4594140882135192E-2</v>
      </c>
    </row>
    <row r="5" spans="1:4">
      <c r="A5" s="261" t="s">
        <v>210</v>
      </c>
      <c r="B5" s="2">
        <f>SUM('Structurally Deficient Impact'!B37:U37)</f>
        <v>5144.0082518910676</v>
      </c>
      <c r="C5" s="2">
        <f>SUM('Emission Benefits - Storm Close'!H9:AA9,'Emission Benefits - Storm Close'!H14:AA14)</f>
        <v>1527.7409088603711</v>
      </c>
      <c r="D5" s="263">
        <f t="shared" si="0"/>
        <v>6671.7491607514385</v>
      </c>
    </row>
    <row r="6" spans="1:4">
      <c r="A6" s="261" t="s">
        <v>211</v>
      </c>
      <c r="B6" s="2">
        <f>SUM('Structurally Deficient Impact'!B38:U38)</f>
        <v>0.25696700290534585</v>
      </c>
      <c r="C6" s="2">
        <f>SUM('Emission Benefits - Storm Close'!H10:AA10,'Emission Benefits - Storm Close'!H15:AA15)</f>
        <v>3.9851698150673194E-2</v>
      </c>
      <c r="D6" s="263">
        <f t="shared" si="0"/>
        <v>0.29681870105601904</v>
      </c>
    </row>
    <row r="7" spans="1:4">
      <c r="B7" s="2"/>
      <c r="C7" s="2"/>
      <c r="D7" s="2"/>
    </row>
    <row r="8" spans="1:4">
      <c r="B8" s="262"/>
    </row>
  </sheetData>
  <pageMargins left="0.7" right="0.7" top="0.75" bottom="0.75" header="0.3" footer="0.3"/>
  <pageSetup paperSize="3"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F5B8F-AE7B-4BD4-8F55-B390F241D608}">
  <sheetPr>
    <tabColor theme="4" tint="0.59999389629810485"/>
  </sheetPr>
  <dimension ref="A1:AA19"/>
  <sheetViews>
    <sheetView zoomScale="77" zoomScaleNormal="77" workbookViewId="0">
      <selection activeCell="A29" sqref="A29"/>
    </sheetView>
  </sheetViews>
  <sheetFormatPr defaultRowHeight="14.5"/>
  <cols>
    <col min="1" max="1" width="50.54296875" customWidth="1"/>
    <col min="2" max="2" width="15.54296875" customWidth="1"/>
    <col min="3" max="27" width="12.54296875" customWidth="1"/>
  </cols>
  <sheetData>
    <row r="1" spans="1:27">
      <c r="A1" s="17" t="s">
        <v>1</v>
      </c>
      <c r="B1" s="17"/>
      <c r="C1">
        <v>2019</v>
      </c>
      <c r="D1">
        <f>C1+1</f>
        <v>2020</v>
      </c>
      <c r="E1">
        <f t="shared" ref="E1:T2" si="0">D1+1</f>
        <v>2021</v>
      </c>
      <c r="F1">
        <f t="shared" si="0"/>
        <v>2022</v>
      </c>
      <c r="G1">
        <f t="shared" si="0"/>
        <v>2023</v>
      </c>
      <c r="H1">
        <f t="shared" si="0"/>
        <v>2024</v>
      </c>
      <c r="I1">
        <f t="shared" si="0"/>
        <v>2025</v>
      </c>
      <c r="J1">
        <f t="shared" si="0"/>
        <v>2026</v>
      </c>
      <c r="K1">
        <f t="shared" si="0"/>
        <v>2027</v>
      </c>
      <c r="L1">
        <f t="shared" si="0"/>
        <v>2028</v>
      </c>
      <c r="M1">
        <f t="shared" si="0"/>
        <v>2029</v>
      </c>
      <c r="N1">
        <f t="shared" si="0"/>
        <v>2030</v>
      </c>
      <c r="O1">
        <f t="shared" si="0"/>
        <v>2031</v>
      </c>
      <c r="P1">
        <f t="shared" si="0"/>
        <v>2032</v>
      </c>
      <c r="Q1">
        <f t="shared" si="0"/>
        <v>2033</v>
      </c>
      <c r="R1">
        <f t="shared" si="0"/>
        <v>2034</v>
      </c>
      <c r="S1">
        <f t="shared" si="0"/>
        <v>2035</v>
      </c>
      <c r="T1">
        <f t="shared" si="0"/>
        <v>2036</v>
      </c>
      <c r="U1">
        <f t="shared" ref="U1:AA2" si="1">T1+1</f>
        <v>2037</v>
      </c>
      <c r="V1">
        <f t="shared" si="1"/>
        <v>2038</v>
      </c>
      <c r="W1">
        <f t="shared" si="1"/>
        <v>2039</v>
      </c>
      <c r="X1">
        <f t="shared" si="1"/>
        <v>2040</v>
      </c>
      <c r="Y1">
        <f t="shared" si="1"/>
        <v>2041</v>
      </c>
      <c r="Z1">
        <f t="shared" si="1"/>
        <v>2042</v>
      </c>
      <c r="AA1">
        <f t="shared" si="1"/>
        <v>2043</v>
      </c>
    </row>
    <row r="2" spans="1:27">
      <c r="A2" s="34" t="s">
        <v>54</v>
      </c>
      <c r="B2" s="34"/>
      <c r="C2" t="s">
        <v>4</v>
      </c>
      <c r="D2" t="s">
        <v>4</v>
      </c>
      <c r="E2" t="s">
        <v>4</v>
      </c>
      <c r="F2" t="s">
        <v>4</v>
      </c>
      <c r="G2" t="s">
        <v>4</v>
      </c>
      <c r="H2">
        <v>1</v>
      </c>
      <c r="I2">
        <f t="shared" si="0"/>
        <v>2</v>
      </c>
      <c r="J2">
        <f t="shared" si="0"/>
        <v>3</v>
      </c>
      <c r="K2">
        <f>J2+1</f>
        <v>4</v>
      </c>
      <c r="L2">
        <f t="shared" si="0"/>
        <v>5</v>
      </c>
      <c r="M2">
        <f t="shared" si="0"/>
        <v>6</v>
      </c>
      <c r="N2">
        <f t="shared" si="0"/>
        <v>7</v>
      </c>
      <c r="O2">
        <f t="shared" si="0"/>
        <v>8</v>
      </c>
      <c r="P2">
        <f t="shared" si="0"/>
        <v>9</v>
      </c>
      <c r="Q2">
        <f t="shared" si="0"/>
        <v>10</v>
      </c>
      <c r="R2">
        <f t="shared" si="0"/>
        <v>11</v>
      </c>
      <c r="S2">
        <f t="shared" si="0"/>
        <v>12</v>
      </c>
      <c r="T2">
        <f t="shared" si="0"/>
        <v>13</v>
      </c>
      <c r="U2">
        <f t="shared" si="1"/>
        <v>14</v>
      </c>
      <c r="V2">
        <f t="shared" si="1"/>
        <v>15</v>
      </c>
      <c r="W2">
        <f t="shared" si="1"/>
        <v>16</v>
      </c>
      <c r="X2">
        <f t="shared" si="1"/>
        <v>17</v>
      </c>
      <c r="Y2">
        <f t="shared" si="1"/>
        <v>18</v>
      </c>
      <c r="Z2">
        <f t="shared" si="1"/>
        <v>19</v>
      </c>
      <c r="AA2">
        <f t="shared" si="1"/>
        <v>20</v>
      </c>
    </row>
    <row r="3" spans="1:27">
      <c r="A3" s="34" t="s">
        <v>5</v>
      </c>
      <c r="B3" s="34"/>
      <c r="C3">
        <v>0</v>
      </c>
      <c r="D3">
        <v>1</v>
      </c>
      <c r="E3">
        <f t="shared" ref="E3:AA3" si="2">D3+1</f>
        <v>2</v>
      </c>
      <c r="F3">
        <f t="shared" si="2"/>
        <v>3</v>
      </c>
      <c r="G3">
        <f t="shared" si="2"/>
        <v>4</v>
      </c>
      <c r="H3">
        <f t="shared" si="2"/>
        <v>5</v>
      </c>
      <c r="I3">
        <f t="shared" si="2"/>
        <v>6</v>
      </c>
      <c r="J3">
        <f t="shared" si="2"/>
        <v>7</v>
      </c>
      <c r="K3">
        <f t="shared" si="2"/>
        <v>8</v>
      </c>
      <c r="L3">
        <f t="shared" si="2"/>
        <v>9</v>
      </c>
      <c r="M3">
        <f t="shared" si="2"/>
        <v>10</v>
      </c>
      <c r="N3">
        <f t="shared" si="2"/>
        <v>11</v>
      </c>
      <c r="O3">
        <f t="shared" si="2"/>
        <v>12</v>
      </c>
      <c r="P3">
        <f t="shared" si="2"/>
        <v>13</v>
      </c>
      <c r="Q3">
        <f t="shared" si="2"/>
        <v>14</v>
      </c>
      <c r="R3">
        <f t="shared" si="2"/>
        <v>15</v>
      </c>
      <c r="S3">
        <f t="shared" si="2"/>
        <v>16</v>
      </c>
      <c r="T3">
        <f t="shared" si="2"/>
        <v>17</v>
      </c>
      <c r="U3">
        <f t="shared" si="2"/>
        <v>18</v>
      </c>
      <c r="V3">
        <f t="shared" si="2"/>
        <v>19</v>
      </c>
      <c r="W3">
        <f t="shared" si="2"/>
        <v>20</v>
      </c>
      <c r="X3">
        <f t="shared" si="2"/>
        <v>21</v>
      </c>
      <c r="Y3">
        <f t="shared" si="2"/>
        <v>22</v>
      </c>
      <c r="Z3">
        <f t="shared" si="2"/>
        <v>23</v>
      </c>
      <c r="AA3">
        <f t="shared" si="2"/>
        <v>24</v>
      </c>
    </row>
    <row r="4" spans="1:27">
      <c r="A4" s="34" t="s">
        <v>55</v>
      </c>
      <c r="B4" s="34"/>
      <c r="C4" s="3">
        <f>(1+0.02)^C3</f>
        <v>1</v>
      </c>
      <c r="D4" s="3">
        <f t="shared" ref="D4:AA4" si="3">(1+0.02)^D3</f>
        <v>1.02</v>
      </c>
      <c r="E4" s="3">
        <f t="shared" si="3"/>
        <v>1.0404</v>
      </c>
      <c r="F4" s="3">
        <f t="shared" si="3"/>
        <v>1.0612079999999999</v>
      </c>
      <c r="G4" s="3">
        <f t="shared" si="3"/>
        <v>1.08243216</v>
      </c>
      <c r="H4" s="3">
        <f t="shared" si="3"/>
        <v>1.1040808032</v>
      </c>
      <c r="I4" s="3">
        <f t="shared" si="3"/>
        <v>1.1261624192640001</v>
      </c>
      <c r="J4" s="3">
        <f t="shared" si="3"/>
        <v>1.1486856676492798</v>
      </c>
      <c r="K4" s="3">
        <f t="shared" si="3"/>
        <v>1.1716593810022655</v>
      </c>
      <c r="L4" s="3">
        <f t="shared" si="3"/>
        <v>1.1950925686223108</v>
      </c>
      <c r="M4" s="3">
        <f t="shared" si="3"/>
        <v>1.2189944199947571</v>
      </c>
      <c r="N4" s="3">
        <f t="shared" si="3"/>
        <v>1.243374308394652</v>
      </c>
      <c r="O4" s="3">
        <f t="shared" si="3"/>
        <v>1.2682417945625453</v>
      </c>
      <c r="P4" s="3">
        <f t="shared" si="3"/>
        <v>1.2936066304537961</v>
      </c>
      <c r="Q4" s="3">
        <f t="shared" si="3"/>
        <v>1.3194787630628722</v>
      </c>
      <c r="R4" s="3">
        <f t="shared" si="3"/>
        <v>1.3458683383241292</v>
      </c>
      <c r="S4" s="3">
        <f t="shared" si="3"/>
        <v>1.372785705090612</v>
      </c>
      <c r="T4" s="3">
        <f t="shared" si="3"/>
        <v>1.4002414191924244</v>
      </c>
      <c r="U4" s="3">
        <f t="shared" si="3"/>
        <v>1.4282462475762727</v>
      </c>
      <c r="V4" s="3">
        <f t="shared" si="3"/>
        <v>1.4568111725277981</v>
      </c>
      <c r="W4" s="3">
        <f t="shared" si="3"/>
        <v>1.4859473959783542</v>
      </c>
      <c r="X4" s="3">
        <f t="shared" si="3"/>
        <v>1.5156663438979212</v>
      </c>
      <c r="Y4" s="3">
        <f t="shared" si="3"/>
        <v>1.5459796707758797</v>
      </c>
      <c r="Z4" s="3">
        <f t="shared" si="3"/>
        <v>1.576899264191397</v>
      </c>
      <c r="AA4" s="3">
        <f t="shared" si="3"/>
        <v>1.608437249475225</v>
      </c>
    </row>
    <row r="5" spans="1:27">
      <c r="C5" s="3"/>
      <c r="D5" s="3"/>
      <c r="E5" s="3"/>
      <c r="F5" s="3"/>
      <c r="G5" s="3"/>
      <c r="H5" s="3"/>
      <c r="I5" s="3"/>
      <c r="J5" s="3"/>
      <c r="K5" s="3"/>
      <c r="L5" s="3"/>
      <c r="M5" s="3"/>
      <c r="N5" s="3"/>
      <c r="O5" s="3"/>
      <c r="P5" s="3"/>
      <c r="Q5" s="3"/>
      <c r="R5" s="3"/>
      <c r="S5" s="3"/>
      <c r="T5" s="3"/>
      <c r="U5" s="3"/>
      <c r="V5" s="3"/>
      <c r="W5" s="3"/>
      <c r="X5" s="3"/>
      <c r="Y5" s="3"/>
      <c r="Z5" s="3"/>
      <c r="AA5" s="3"/>
    </row>
    <row r="6" spans="1:27">
      <c r="A6" s="17" t="s">
        <v>9</v>
      </c>
      <c r="B6" s="77" t="s">
        <v>10</v>
      </c>
    </row>
    <row r="7" spans="1:27">
      <c r="A7" t="s">
        <v>56</v>
      </c>
      <c r="B7" s="70">
        <f>SUM(C7:AA7)</f>
        <v>5366468.9054240985</v>
      </c>
      <c r="C7" s="66"/>
      <c r="D7" s="66"/>
      <c r="E7" s="66"/>
      <c r="F7" s="66">
        <f>Costs!G9</f>
        <v>759729.49690571532</v>
      </c>
      <c r="G7" s="66">
        <f>Costs!H9</f>
        <v>0</v>
      </c>
      <c r="H7" s="66">
        <f>Costs!I9</f>
        <v>4606739.4085183833</v>
      </c>
      <c r="I7" s="66">
        <f>Costs!J9</f>
        <v>0</v>
      </c>
      <c r="J7" s="66">
        <f>Costs!K9</f>
        <v>0</v>
      </c>
      <c r="K7" s="66">
        <f>Costs!L9</f>
        <v>0</v>
      </c>
      <c r="L7" s="66">
        <f>Costs!M9</f>
        <v>0</v>
      </c>
      <c r="M7" s="66">
        <f>Costs!N9</f>
        <v>0</v>
      </c>
      <c r="N7" s="66">
        <f>Costs!O9</f>
        <v>0</v>
      </c>
      <c r="O7" s="66">
        <f>Costs!P9</f>
        <v>0</v>
      </c>
      <c r="P7" s="66">
        <f>Costs!Q9</f>
        <v>0</v>
      </c>
      <c r="Q7" s="66">
        <f>Costs!R9</f>
        <v>0</v>
      </c>
      <c r="R7" s="66">
        <f>Costs!S9</f>
        <v>0</v>
      </c>
      <c r="S7" s="66">
        <f>Costs!T9</f>
        <v>0</v>
      </c>
      <c r="T7" s="66">
        <f>Costs!U9</f>
        <v>0</v>
      </c>
      <c r="U7" s="66">
        <f>Costs!V9</f>
        <v>0</v>
      </c>
      <c r="V7" s="66">
        <f>Costs!W9</f>
        <v>0</v>
      </c>
      <c r="W7" s="66">
        <f>Costs!X9</f>
        <v>0</v>
      </c>
      <c r="X7" s="66">
        <f>Costs!Y9</f>
        <v>0</v>
      </c>
      <c r="Y7" s="66">
        <f>Costs!Z9</f>
        <v>0</v>
      </c>
      <c r="Z7" s="66">
        <f>Costs!AA9</f>
        <v>0</v>
      </c>
      <c r="AA7" s="66">
        <f>Costs!AB9</f>
        <v>0</v>
      </c>
    </row>
    <row r="8" spans="1:27">
      <c r="A8" t="s">
        <v>57</v>
      </c>
      <c r="B8" s="70">
        <f>SUM(C8:AA8)</f>
        <v>0</v>
      </c>
      <c r="C8" s="23"/>
      <c r="D8" s="23"/>
      <c r="E8" s="23"/>
      <c r="F8" s="23"/>
      <c r="G8" s="23"/>
      <c r="H8" s="66">
        <f>Costs!I11</f>
        <v>0</v>
      </c>
      <c r="I8" s="66">
        <f>Costs!J11</f>
        <v>0</v>
      </c>
      <c r="J8" s="66">
        <f>Costs!K11</f>
        <v>0</v>
      </c>
      <c r="K8" s="66">
        <f>Costs!L11</f>
        <v>0</v>
      </c>
      <c r="L8" s="66">
        <f>Costs!M11</f>
        <v>0</v>
      </c>
      <c r="M8" s="66">
        <f>Costs!N11</f>
        <v>0</v>
      </c>
      <c r="N8" s="66">
        <f>Costs!O11</f>
        <v>0</v>
      </c>
      <c r="O8" s="66">
        <f>Costs!P11</f>
        <v>0</v>
      </c>
      <c r="P8" s="66">
        <f>Costs!Q11</f>
        <v>0</v>
      </c>
      <c r="Q8" s="66">
        <f>Costs!R11</f>
        <v>0</v>
      </c>
      <c r="R8" s="66">
        <f>Costs!S11</f>
        <v>0</v>
      </c>
      <c r="S8" s="66">
        <f>Costs!T11</f>
        <v>0</v>
      </c>
      <c r="T8" s="66">
        <f>Costs!U11</f>
        <v>0</v>
      </c>
      <c r="U8" s="66">
        <f>Costs!V11</f>
        <v>0</v>
      </c>
      <c r="V8" s="66">
        <f>Costs!W11</f>
        <v>0</v>
      </c>
      <c r="W8" s="66">
        <f>Costs!X11</f>
        <v>0</v>
      </c>
      <c r="X8" s="66">
        <f>Costs!Y11</f>
        <v>0</v>
      </c>
      <c r="Y8" s="66">
        <f>Costs!Z11</f>
        <v>0</v>
      </c>
      <c r="Z8" s="66">
        <f>Costs!AA11</f>
        <v>0</v>
      </c>
      <c r="AA8" s="66">
        <f>Costs!AB11</f>
        <v>0</v>
      </c>
    </row>
    <row r="9" spans="1:27">
      <c r="A9" s="16" t="s">
        <v>58</v>
      </c>
      <c r="B9" s="71">
        <f>SUM(B7:B8)</f>
        <v>5366468.9054240985</v>
      </c>
      <c r="C9" s="23"/>
      <c r="D9" s="23"/>
      <c r="E9" s="23"/>
      <c r="F9" s="71">
        <f t="shared" ref="F9:AA9" si="4">SUM(F7:F8)</f>
        <v>759729.49690571532</v>
      </c>
      <c r="G9" s="71">
        <f t="shared" si="4"/>
        <v>0</v>
      </c>
      <c r="H9" s="71">
        <f t="shared" si="4"/>
        <v>4606739.4085183833</v>
      </c>
      <c r="I9" s="71">
        <f t="shared" si="4"/>
        <v>0</v>
      </c>
      <c r="J9" s="71">
        <f t="shared" si="4"/>
        <v>0</v>
      </c>
      <c r="K9" s="71">
        <f t="shared" si="4"/>
        <v>0</v>
      </c>
      <c r="L9" s="71">
        <f t="shared" si="4"/>
        <v>0</v>
      </c>
      <c r="M9" s="71">
        <f t="shared" si="4"/>
        <v>0</v>
      </c>
      <c r="N9" s="71">
        <f t="shared" si="4"/>
        <v>0</v>
      </c>
      <c r="O9" s="71">
        <f t="shared" si="4"/>
        <v>0</v>
      </c>
      <c r="P9" s="71">
        <f t="shared" si="4"/>
        <v>0</v>
      </c>
      <c r="Q9" s="71">
        <f t="shared" si="4"/>
        <v>0</v>
      </c>
      <c r="R9" s="71">
        <f t="shared" si="4"/>
        <v>0</v>
      </c>
      <c r="S9" s="71">
        <f t="shared" si="4"/>
        <v>0</v>
      </c>
      <c r="T9" s="71">
        <f t="shared" si="4"/>
        <v>0</v>
      </c>
      <c r="U9" s="71">
        <f t="shared" si="4"/>
        <v>0</v>
      </c>
      <c r="V9" s="71">
        <f t="shared" si="4"/>
        <v>0</v>
      </c>
      <c r="W9" s="71">
        <f t="shared" si="4"/>
        <v>0</v>
      </c>
      <c r="X9" s="71">
        <f t="shared" si="4"/>
        <v>0</v>
      </c>
      <c r="Y9" s="71">
        <f t="shared" si="4"/>
        <v>0</v>
      </c>
      <c r="Z9" s="71">
        <f t="shared" si="4"/>
        <v>0</v>
      </c>
      <c r="AA9" s="71">
        <f t="shared" si="4"/>
        <v>0</v>
      </c>
    </row>
    <row r="10" spans="1:27">
      <c r="B10" s="71"/>
      <c r="C10" s="23"/>
      <c r="D10" s="23"/>
      <c r="E10" s="23"/>
      <c r="F10" s="23"/>
      <c r="G10" s="23"/>
      <c r="H10" s="23"/>
      <c r="I10" s="23"/>
      <c r="J10" s="23"/>
      <c r="K10" s="23"/>
      <c r="L10" s="23"/>
      <c r="M10" s="23"/>
      <c r="N10" s="23"/>
      <c r="O10" s="23"/>
      <c r="P10" s="23"/>
      <c r="Q10" s="23"/>
      <c r="R10" s="23"/>
      <c r="S10" s="23"/>
      <c r="T10" s="23"/>
      <c r="U10" s="23"/>
      <c r="V10" s="23"/>
      <c r="W10" s="23"/>
      <c r="X10" s="23"/>
      <c r="Y10" s="23"/>
      <c r="Z10" s="23"/>
      <c r="AA10" s="23"/>
    </row>
    <row r="11" spans="1:27">
      <c r="A11" s="17" t="s">
        <v>14</v>
      </c>
      <c r="B11" s="72"/>
    </row>
    <row r="12" spans="1:27">
      <c r="A12" t="s">
        <v>59</v>
      </c>
      <c r="B12" s="72"/>
      <c r="E12" s="83"/>
    </row>
    <row r="13" spans="1:27">
      <c r="A13" s="1" t="s">
        <v>60</v>
      </c>
      <c r="B13" s="70">
        <f>SUM(C13:AA13)</f>
        <v>86769.995018778674</v>
      </c>
      <c r="H13" s="139">
        <f t="shared" ref="H13:AA13" si="5">5744/H4</f>
        <v>5202.5177716630369</v>
      </c>
      <c r="I13" s="139">
        <f t="shared" si="5"/>
        <v>5100.5076192774868</v>
      </c>
      <c r="J13" s="139">
        <f t="shared" si="5"/>
        <v>5000.4976659583217</v>
      </c>
      <c r="K13" s="139">
        <f t="shared" si="5"/>
        <v>4902.4486921160014</v>
      </c>
      <c r="L13" s="139">
        <f t="shared" si="5"/>
        <v>4806.3222471725503</v>
      </c>
      <c r="M13" s="139">
        <f t="shared" si="5"/>
        <v>4712.0806344828916</v>
      </c>
      <c r="N13" s="139">
        <f t="shared" si="5"/>
        <v>4619.6868965518561</v>
      </c>
      <c r="O13" s="139">
        <f t="shared" si="5"/>
        <v>4529.1048005410339</v>
      </c>
      <c r="P13" s="139">
        <f t="shared" si="5"/>
        <v>4440.2988240598379</v>
      </c>
      <c r="Q13" s="139">
        <f t="shared" si="5"/>
        <v>4353.2341412351343</v>
      </c>
      <c r="R13" s="139">
        <f t="shared" si="5"/>
        <v>4267.8766090540548</v>
      </c>
      <c r="S13" s="139">
        <f t="shared" si="5"/>
        <v>4184.1927539745629</v>
      </c>
      <c r="T13" s="139">
        <f t="shared" si="5"/>
        <v>4102.1497587985905</v>
      </c>
      <c r="U13" s="139">
        <f t="shared" si="5"/>
        <v>4021.7154498025402</v>
      </c>
      <c r="V13" s="139">
        <f t="shared" si="5"/>
        <v>3942.8582841201378</v>
      </c>
      <c r="W13" s="139">
        <f t="shared" si="5"/>
        <v>3865.5473373726836</v>
      </c>
      <c r="X13" s="139">
        <f t="shared" si="5"/>
        <v>3789.7522915418472</v>
      </c>
      <c r="Y13" s="139">
        <f t="shared" si="5"/>
        <v>3715.4434230802417</v>
      </c>
      <c r="Z13" s="139">
        <f t="shared" si="5"/>
        <v>3642.59159125514</v>
      </c>
      <c r="AA13" s="139">
        <f t="shared" si="5"/>
        <v>3571.1682267207252</v>
      </c>
    </row>
    <row r="14" spans="1:27">
      <c r="A14" s="80" t="s">
        <v>61</v>
      </c>
      <c r="B14" s="70" t="e">
        <f>SUM(C14:AA14)</f>
        <v>#REF!</v>
      </c>
      <c r="H14" s="139" t="e">
        <f>#REF!/H4</f>
        <v>#REF!</v>
      </c>
      <c r="I14" s="139" t="e">
        <f>#REF!/I4</f>
        <v>#REF!</v>
      </c>
      <c r="J14" s="139" t="e">
        <f>#REF!/J4</f>
        <v>#REF!</v>
      </c>
      <c r="K14" s="139" t="e">
        <f>#REF!/K4</f>
        <v>#REF!</v>
      </c>
      <c r="L14" s="139" t="e">
        <f>#REF!/L4</f>
        <v>#REF!</v>
      </c>
      <c r="M14" s="139" t="e">
        <f>#REF!/M4</f>
        <v>#REF!</v>
      </c>
      <c r="N14" s="139" t="e">
        <f>#REF!/N4</f>
        <v>#REF!</v>
      </c>
      <c r="O14" s="139" t="e">
        <f>#REF!/O4</f>
        <v>#REF!</v>
      </c>
      <c r="P14" s="139" t="e">
        <f>#REF!/P4</f>
        <v>#REF!</v>
      </c>
      <c r="Q14" s="139" t="e">
        <f>#REF!/Q4</f>
        <v>#REF!</v>
      </c>
      <c r="R14" s="139" t="e">
        <f>#REF!/R4</f>
        <v>#REF!</v>
      </c>
      <c r="S14" s="139" t="e">
        <f>#REF!/S4</f>
        <v>#REF!</v>
      </c>
      <c r="T14" s="139" t="e">
        <f>#REF!/T4</f>
        <v>#REF!</v>
      </c>
      <c r="U14" s="139" t="e">
        <f>#REF!/U4</f>
        <v>#REF!</v>
      </c>
      <c r="V14" s="139" t="e">
        <f>#REF!/V4</f>
        <v>#REF!</v>
      </c>
      <c r="W14" s="139" t="e">
        <f>#REF!/W4</f>
        <v>#REF!</v>
      </c>
      <c r="X14" s="139" t="e">
        <f>#REF!/X4</f>
        <v>#REF!</v>
      </c>
      <c r="Y14" s="139" t="e">
        <f>#REF!/Y4</f>
        <v>#REF!</v>
      </c>
      <c r="Z14" s="139" t="e">
        <f>#REF!/Z4</f>
        <v>#REF!</v>
      </c>
      <c r="AA14" s="139" t="e">
        <f>#REF!/AA4</f>
        <v>#REF!</v>
      </c>
    </row>
    <row r="15" spans="1:27">
      <c r="A15" t="s">
        <v>38</v>
      </c>
      <c r="B15" s="71" t="e">
        <f>SUM(C15:AA15)</f>
        <v>#REF!</v>
      </c>
      <c r="H15" s="140" t="e">
        <f>H13+H14</f>
        <v>#REF!</v>
      </c>
      <c r="I15" s="140" t="e">
        <f t="shared" ref="I15:AA15" si="6">I13+I14</f>
        <v>#REF!</v>
      </c>
      <c r="J15" s="140" t="e">
        <f t="shared" si="6"/>
        <v>#REF!</v>
      </c>
      <c r="K15" s="140" t="e">
        <f t="shared" si="6"/>
        <v>#REF!</v>
      </c>
      <c r="L15" s="140" t="e">
        <f t="shared" si="6"/>
        <v>#REF!</v>
      </c>
      <c r="M15" s="140" t="e">
        <f t="shared" si="6"/>
        <v>#REF!</v>
      </c>
      <c r="N15" s="140" t="e">
        <f t="shared" si="6"/>
        <v>#REF!</v>
      </c>
      <c r="O15" s="140" t="e">
        <f t="shared" si="6"/>
        <v>#REF!</v>
      </c>
      <c r="P15" s="140" t="e">
        <f t="shared" si="6"/>
        <v>#REF!</v>
      </c>
      <c r="Q15" s="140" t="e">
        <f t="shared" si="6"/>
        <v>#REF!</v>
      </c>
      <c r="R15" s="140" t="e">
        <f t="shared" si="6"/>
        <v>#REF!</v>
      </c>
      <c r="S15" s="140" t="e">
        <f t="shared" si="6"/>
        <v>#REF!</v>
      </c>
      <c r="T15" s="140" t="e">
        <f t="shared" si="6"/>
        <v>#REF!</v>
      </c>
      <c r="U15" s="140" t="e">
        <f t="shared" si="6"/>
        <v>#REF!</v>
      </c>
      <c r="V15" s="140" t="e">
        <f t="shared" si="6"/>
        <v>#REF!</v>
      </c>
      <c r="W15" s="140" t="e">
        <f t="shared" si="6"/>
        <v>#REF!</v>
      </c>
      <c r="X15" s="140" t="e">
        <f t="shared" si="6"/>
        <v>#REF!</v>
      </c>
      <c r="Y15" s="140" t="e">
        <f t="shared" si="6"/>
        <v>#REF!</v>
      </c>
      <c r="Z15" s="140" t="e">
        <f t="shared" si="6"/>
        <v>#REF!</v>
      </c>
      <c r="AA15" s="140" t="e">
        <f t="shared" si="6"/>
        <v>#REF!</v>
      </c>
    </row>
    <row r="17" spans="1:2">
      <c r="A17" t="s">
        <v>62</v>
      </c>
      <c r="B17" s="1" t="s">
        <v>63</v>
      </c>
    </row>
    <row r="18" spans="1:2">
      <c r="A18" t="s">
        <v>40</v>
      </c>
      <c r="B18" s="2" t="e">
        <f>B15/B9</f>
        <v>#REF!</v>
      </c>
    </row>
    <row r="19" spans="1:2">
      <c r="A19" t="s">
        <v>64</v>
      </c>
      <c r="B19" s="127">
        <v>9.5000000000000001E-2</v>
      </c>
    </row>
  </sheetData>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D602-3F95-4B4C-A3CE-801F28389066}">
  <dimension ref="A1"/>
  <sheetViews>
    <sheetView workbookViewId="0"/>
  </sheetViews>
  <sheetFormatPr defaultColWidth="8.81640625"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6C1F-D5FB-4B32-89EA-66FFF7EED211}">
  <sheetPr>
    <tabColor rgb="FFFF0000"/>
  </sheetPr>
  <dimension ref="A1:AC35"/>
  <sheetViews>
    <sheetView zoomScale="75" zoomScaleNormal="75" workbookViewId="0">
      <pane xSplit="1" topLeftCell="B1" activePane="topRight" state="frozen"/>
      <selection pane="topRight"/>
    </sheetView>
  </sheetViews>
  <sheetFormatPr defaultColWidth="8.81640625" defaultRowHeight="14.5"/>
  <cols>
    <col min="1" max="1" width="45.1796875" customWidth="1"/>
    <col min="2" max="2" width="9.6328125" customWidth="1"/>
    <col min="3" max="3" width="10.7265625" style="247" bestFit="1" customWidth="1"/>
    <col min="4" max="29" width="9.6328125" customWidth="1"/>
  </cols>
  <sheetData>
    <row r="1" spans="1:29" ht="18.5">
      <c r="A1" s="4" t="s">
        <v>65</v>
      </c>
      <c r="B1" s="16"/>
      <c r="C1" s="244"/>
    </row>
    <row r="2" spans="1:29" ht="29">
      <c r="A2" s="1" t="s">
        <v>2</v>
      </c>
      <c r="B2" s="1"/>
      <c r="C2" s="244"/>
      <c r="G2" s="155" t="s">
        <v>66</v>
      </c>
      <c r="I2" s="155" t="s">
        <v>67</v>
      </c>
    </row>
    <row r="3" spans="1:29">
      <c r="A3" s="1" t="s">
        <v>54</v>
      </c>
      <c r="B3" s="1"/>
      <c r="C3" s="245"/>
      <c r="D3" s="147"/>
      <c r="J3">
        <v>1</v>
      </c>
      <c r="K3">
        <f>J3+1</f>
        <v>2</v>
      </c>
      <c r="L3">
        <f t="shared" ref="L3:X3" si="0">K3+1</f>
        <v>3</v>
      </c>
      <c r="M3">
        <f t="shared" si="0"/>
        <v>4</v>
      </c>
      <c r="N3">
        <f t="shared" si="0"/>
        <v>5</v>
      </c>
      <c r="O3">
        <f t="shared" si="0"/>
        <v>6</v>
      </c>
      <c r="P3">
        <f t="shared" si="0"/>
        <v>7</v>
      </c>
      <c r="Q3">
        <f t="shared" si="0"/>
        <v>8</v>
      </c>
      <c r="R3">
        <f t="shared" si="0"/>
        <v>9</v>
      </c>
      <c r="S3">
        <f t="shared" si="0"/>
        <v>10</v>
      </c>
      <c r="T3">
        <f t="shared" si="0"/>
        <v>11</v>
      </c>
      <c r="U3">
        <f t="shared" si="0"/>
        <v>12</v>
      </c>
      <c r="V3">
        <f t="shared" si="0"/>
        <v>13</v>
      </c>
      <c r="W3">
        <f t="shared" si="0"/>
        <v>14</v>
      </c>
      <c r="X3">
        <f t="shared" si="0"/>
        <v>15</v>
      </c>
      <c r="Y3">
        <f t="shared" ref="Y3:AC4" si="1">X3+1</f>
        <v>16</v>
      </c>
      <c r="Z3">
        <f t="shared" si="1"/>
        <v>17</v>
      </c>
      <c r="AA3">
        <f t="shared" si="1"/>
        <v>18</v>
      </c>
      <c r="AB3">
        <f t="shared" si="1"/>
        <v>19</v>
      </c>
      <c r="AC3">
        <f t="shared" si="1"/>
        <v>20</v>
      </c>
    </row>
    <row r="4" spans="1:29">
      <c r="C4" s="246" t="s">
        <v>68</v>
      </c>
      <c r="D4" s="16">
        <v>2020</v>
      </c>
      <c r="E4" s="16">
        <f t="shared" ref="E4:AB4" si="2">D4+1</f>
        <v>2021</v>
      </c>
      <c r="F4" s="16">
        <f>E4+1</f>
        <v>2022</v>
      </c>
      <c r="G4" s="16">
        <f t="shared" si="2"/>
        <v>2023</v>
      </c>
      <c r="H4" s="16">
        <f t="shared" si="2"/>
        <v>2024</v>
      </c>
      <c r="I4" s="16">
        <f t="shared" si="2"/>
        <v>2025</v>
      </c>
      <c r="J4" s="16">
        <f t="shared" si="2"/>
        <v>2026</v>
      </c>
      <c r="K4" s="16">
        <f t="shared" si="2"/>
        <v>2027</v>
      </c>
      <c r="L4" s="16">
        <f t="shared" si="2"/>
        <v>2028</v>
      </c>
      <c r="M4" s="16">
        <f t="shared" si="2"/>
        <v>2029</v>
      </c>
      <c r="N4" s="16">
        <f t="shared" si="2"/>
        <v>2030</v>
      </c>
      <c r="O4" s="16">
        <f t="shared" si="2"/>
        <v>2031</v>
      </c>
      <c r="P4" s="16">
        <f t="shared" si="2"/>
        <v>2032</v>
      </c>
      <c r="Q4" s="16">
        <f t="shared" si="2"/>
        <v>2033</v>
      </c>
      <c r="R4" s="16">
        <f t="shared" si="2"/>
        <v>2034</v>
      </c>
      <c r="S4" s="16">
        <f t="shared" si="2"/>
        <v>2035</v>
      </c>
      <c r="T4" s="16">
        <f t="shared" si="2"/>
        <v>2036</v>
      </c>
      <c r="U4" s="16">
        <f t="shared" si="2"/>
        <v>2037</v>
      </c>
      <c r="V4" s="16">
        <f t="shared" si="2"/>
        <v>2038</v>
      </c>
      <c r="W4" s="16">
        <f t="shared" si="2"/>
        <v>2039</v>
      </c>
      <c r="X4" s="16">
        <f t="shared" si="2"/>
        <v>2040</v>
      </c>
      <c r="Y4" s="16">
        <f t="shared" si="2"/>
        <v>2041</v>
      </c>
      <c r="Z4" s="16">
        <f t="shared" si="2"/>
        <v>2042</v>
      </c>
      <c r="AA4" s="16">
        <f t="shared" si="2"/>
        <v>2043</v>
      </c>
      <c r="AB4" s="16">
        <f t="shared" si="2"/>
        <v>2044</v>
      </c>
      <c r="AC4" s="16">
        <f t="shared" si="1"/>
        <v>2045</v>
      </c>
    </row>
    <row r="5" spans="1:29">
      <c r="A5" s="83"/>
      <c r="B5" s="83"/>
    </row>
    <row r="6" spans="1:29">
      <c r="A6" s="149" t="s">
        <v>69</v>
      </c>
      <c r="B6" s="149"/>
      <c r="C6" s="150"/>
    </row>
    <row r="7" spans="1:29">
      <c r="A7" s="149"/>
      <c r="B7" s="149"/>
      <c r="C7" s="150"/>
    </row>
    <row r="8" spans="1:29">
      <c r="A8" s="149" t="s">
        <v>70</v>
      </c>
      <c r="B8" s="149"/>
      <c r="C8" s="244"/>
    </row>
    <row r="9" spans="1:29">
      <c r="A9" s="83" t="s">
        <v>71</v>
      </c>
      <c r="B9" s="83"/>
      <c r="C9" s="72">
        <f>SUM(I9:K9)</f>
        <v>4606739.4085183833</v>
      </c>
      <c r="G9" s="151">
        <f>(112004+672265+44291)/B30</f>
        <v>759729.49690571532</v>
      </c>
      <c r="H9" s="139"/>
      <c r="I9" s="151">
        <f>(3734805+148855+74696+896353+56022+65359+48014)/B30</f>
        <v>4606739.4085183833</v>
      </c>
      <c r="J9" s="143"/>
      <c r="K9" s="143"/>
    </row>
    <row r="10" spans="1:29">
      <c r="A10" s="83" t="s">
        <v>72</v>
      </c>
      <c r="B10" s="83"/>
      <c r="C10" s="72">
        <f>G9</f>
        <v>759729.49690571532</v>
      </c>
    </row>
    <row r="11" spans="1:29">
      <c r="A11" s="83" t="s">
        <v>73</v>
      </c>
      <c r="B11" s="83"/>
      <c r="C11" s="245">
        <f>SUM('Maintenance Cost Savings'!H9:Z9)</f>
        <v>0</v>
      </c>
      <c r="F11" s="141"/>
      <c r="G11" s="141"/>
      <c r="H11" s="141"/>
      <c r="I11" s="141"/>
      <c r="J11" s="141"/>
      <c r="K11" s="141"/>
      <c r="L11" s="142"/>
      <c r="M11" s="142"/>
      <c r="N11" s="142"/>
      <c r="O11" s="142"/>
      <c r="P11" s="142"/>
      <c r="Q11" s="142"/>
      <c r="R11" s="142"/>
      <c r="S11" s="142"/>
      <c r="T11" s="142"/>
      <c r="U11" s="142"/>
      <c r="V11" s="142"/>
      <c r="W11" s="142"/>
      <c r="X11" s="142"/>
      <c r="Y11" s="142"/>
      <c r="Z11" s="142"/>
      <c r="AA11" s="142"/>
      <c r="AB11" s="142"/>
      <c r="AC11" s="142"/>
    </row>
    <row r="12" spans="1:29">
      <c r="A12" s="83" t="s">
        <v>74</v>
      </c>
      <c r="B12" s="83"/>
      <c r="C12" s="72">
        <f>AC13</f>
        <v>3219881.3432544591</v>
      </c>
      <c r="G12" s="19"/>
      <c r="I12" s="19"/>
      <c r="J12" s="148"/>
      <c r="L12" s="143"/>
      <c r="M12" s="143"/>
      <c r="N12" s="143"/>
      <c r="O12" s="143"/>
      <c r="P12" s="143"/>
      <c r="Q12" s="143"/>
      <c r="R12" s="143"/>
      <c r="S12" s="143"/>
      <c r="T12" s="143"/>
      <c r="U12" s="143"/>
      <c r="V12" s="143"/>
      <c r="W12" s="143"/>
      <c r="X12" s="143"/>
      <c r="Y12" s="143"/>
      <c r="Z12" s="143"/>
      <c r="AA12" s="143"/>
      <c r="AB12" s="143"/>
      <c r="AC12" s="143"/>
    </row>
    <row r="13" spans="1:29">
      <c r="AC13" s="227">
        <f>(G9+I9)*(50-20)/50</f>
        <v>3219881.3432544591</v>
      </c>
    </row>
    <row r="14" spans="1:29">
      <c r="A14" s="237"/>
      <c r="B14" s="237"/>
      <c r="C14" s="248"/>
      <c r="J14" s="148"/>
    </row>
    <row r="15" spans="1:29">
      <c r="A15" s="149" t="s">
        <v>75</v>
      </c>
      <c r="B15" s="149"/>
      <c r="C15" s="249"/>
      <c r="H15" t="s">
        <v>8</v>
      </c>
      <c r="J15" s="148"/>
    </row>
    <row r="16" spans="1:29">
      <c r="A16" s="83" t="s">
        <v>73</v>
      </c>
      <c r="B16" s="83"/>
      <c r="C16" s="245">
        <f>SUM('Maintenance Cost Savings'!H6:AA6)</f>
        <v>0</v>
      </c>
      <c r="F16" s="250"/>
      <c r="G16" s="250"/>
      <c r="H16" s="250"/>
      <c r="I16" s="7"/>
      <c r="J16" s="250"/>
      <c r="K16" s="250"/>
      <c r="L16" s="251"/>
      <c r="M16" s="251"/>
      <c r="N16" s="251"/>
      <c r="O16" s="251"/>
      <c r="P16" s="251"/>
      <c r="Q16" s="251"/>
      <c r="R16" s="251"/>
      <c r="S16" s="251"/>
      <c r="T16" s="251"/>
      <c r="U16" s="251"/>
      <c r="V16" s="251"/>
      <c r="W16" s="251"/>
      <c r="X16" s="251"/>
      <c r="Y16" s="251"/>
      <c r="Z16" s="251"/>
      <c r="AA16" s="251"/>
      <c r="AB16" s="251"/>
      <c r="AC16" s="251"/>
    </row>
    <row r="17" spans="1:29">
      <c r="A17" s="83"/>
      <c r="B17" s="83"/>
      <c r="C17" s="245"/>
      <c r="F17" s="250"/>
      <c r="G17" s="250"/>
      <c r="H17" s="250"/>
      <c r="I17" s="2"/>
      <c r="J17" s="250"/>
      <c r="K17" s="250"/>
      <c r="L17" s="251"/>
      <c r="M17" s="251"/>
      <c r="N17" s="251"/>
      <c r="O17" s="251"/>
      <c r="P17" s="251"/>
      <c r="Q17" s="251"/>
      <c r="R17" s="251"/>
      <c r="S17" s="251"/>
      <c r="T17" s="251"/>
      <c r="U17" s="251"/>
      <c r="V17" s="251"/>
      <c r="W17" s="251"/>
      <c r="X17" s="251"/>
      <c r="Y17" s="251"/>
      <c r="Z17" s="251"/>
      <c r="AA17" s="251"/>
      <c r="AB17" s="251"/>
      <c r="AC17" s="251"/>
    </row>
    <row r="18" spans="1:29">
      <c r="A18" s="83"/>
      <c r="B18" s="83"/>
      <c r="J18" s="148"/>
    </row>
    <row r="19" spans="1:29">
      <c r="A19" s="83"/>
      <c r="B19" s="83"/>
      <c r="G19" s="2"/>
    </row>
    <row r="20" spans="1:29">
      <c r="A20" t="s">
        <v>76</v>
      </c>
      <c r="B20" s="83"/>
    </row>
    <row r="21" spans="1:29">
      <c r="A21" s="83"/>
      <c r="B21" s="83"/>
      <c r="I21" s="264"/>
    </row>
    <row r="22" spans="1:29">
      <c r="A22" s="83"/>
      <c r="B22" s="83"/>
    </row>
    <row r="23" spans="1:29">
      <c r="A23" s="149" t="s">
        <v>77</v>
      </c>
      <c r="B23" s="149"/>
    </row>
    <row r="24" spans="1:29">
      <c r="A24" s="80" t="s">
        <v>78</v>
      </c>
      <c r="B24" s="83"/>
    </row>
    <row r="25" spans="1:29">
      <c r="A25" s="80" t="s">
        <v>79</v>
      </c>
      <c r="B25" s="83"/>
    </row>
    <row r="26" spans="1:29" ht="29">
      <c r="A26" s="80" t="s">
        <v>80</v>
      </c>
      <c r="B26" s="83"/>
    </row>
    <row r="27" spans="1:29" ht="29">
      <c r="A27" s="80" t="s">
        <v>81</v>
      </c>
      <c r="B27" s="83"/>
    </row>
    <row r="28" spans="1:29">
      <c r="A28" s="83"/>
      <c r="B28" s="83"/>
    </row>
    <row r="30" spans="1:29" ht="29">
      <c r="A30" s="80" t="s">
        <v>82</v>
      </c>
      <c r="B30" s="252">
        <f>123.615/113.346</f>
        <v>1.0905986977925997</v>
      </c>
    </row>
    <row r="31" spans="1:29">
      <c r="A31" s="35" t="s">
        <v>83</v>
      </c>
    </row>
    <row r="35" spans="1:1">
      <c r="A35" s="16" t="s">
        <v>84</v>
      </c>
    </row>
  </sheetData>
  <pageMargins left="0.7" right="0.7" top="0.75" bottom="0.75" header="0.3" footer="0.3"/>
  <pageSetup paperSize="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BA48-5D5B-40FE-B082-D54B3DE569DD}">
  <sheetPr>
    <tabColor rgb="FF92D050"/>
  </sheetPr>
  <dimension ref="A1:AA4"/>
  <sheetViews>
    <sheetView workbookViewId="0">
      <selection activeCell="J19" sqref="J19"/>
    </sheetView>
  </sheetViews>
  <sheetFormatPr defaultRowHeight="14.5"/>
  <cols>
    <col min="1" max="1" width="35.54296875" customWidth="1"/>
  </cols>
  <sheetData>
    <row r="1" spans="1:27" ht="15.5">
      <c r="A1" s="81" t="s">
        <v>85</v>
      </c>
    </row>
    <row r="3" spans="1:27">
      <c r="C3" s="16">
        <v>2019</v>
      </c>
      <c r="D3" s="16">
        <f t="shared" ref="D3:AA3" si="0">C3+1</f>
        <v>2020</v>
      </c>
      <c r="E3" s="16">
        <f t="shared" si="0"/>
        <v>2021</v>
      </c>
      <c r="F3" s="16">
        <f t="shared" si="0"/>
        <v>2022</v>
      </c>
      <c r="G3" s="16">
        <f t="shared" si="0"/>
        <v>2023</v>
      </c>
      <c r="H3" s="16">
        <f t="shared" si="0"/>
        <v>2024</v>
      </c>
      <c r="I3" s="16">
        <f t="shared" si="0"/>
        <v>2025</v>
      </c>
      <c r="J3" s="16">
        <f t="shared" si="0"/>
        <v>2026</v>
      </c>
      <c r="K3" s="16">
        <f t="shared" si="0"/>
        <v>2027</v>
      </c>
      <c r="L3" s="16">
        <f t="shared" si="0"/>
        <v>2028</v>
      </c>
      <c r="M3" s="16">
        <f t="shared" si="0"/>
        <v>2029</v>
      </c>
      <c r="N3" s="16">
        <f t="shared" si="0"/>
        <v>2030</v>
      </c>
      <c r="O3" s="16">
        <f t="shared" si="0"/>
        <v>2031</v>
      </c>
      <c r="P3" s="16">
        <f t="shared" si="0"/>
        <v>2032</v>
      </c>
      <c r="Q3" s="16">
        <f t="shared" si="0"/>
        <v>2033</v>
      </c>
      <c r="R3" s="16">
        <f t="shared" si="0"/>
        <v>2034</v>
      </c>
      <c r="S3" s="16">
        <f t="shared" si="0"/>
        <v>2035</v>
      </c>
      <c r="T3" s="16">
        <f t="shared" si="0"/>
        <v>2036</v>
      </c>
      <c r="U3" s="16">
        <f t="shared" si="0"/>
        <v>2037</v>
      </c>
      <c r="V3" s="16">
        <f t="shared" si="0"/>
        <v>2038</v>
      </c>
      <c r="W3" s="16">
        <f t="shared" si="0"/>
        <v>2039</v>
      </c>
      <c r="X3" s="16">
        <f t="shared" si="0"/>
        <v>2040</v>
      </c>
      <c r="Y3" s="16">
        <f t="shared" si="0"/>
        <v>2041</v>
      </c>
      <c r="Z3" s="16">
        <f t="shared" si="0"/>
        <v>2042</v>
      </c>
      <c r="AA3" s="16">
        <f t="shared" si="0"/>
        <v>2043</v>
      </c>
    </row>
    <row r="4" spans="1:27">
      <c r="A4" s="16"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AD31D-37A4-499A-A7AF-B415233758D2}">
  <sheetPr>
    <tabColor theme="9" tint="0.39997558519241921"/>
  </sheetPr>
  <dimension ref="A1:AA18"/>
  <sheetViews>
    <sheetView zoomScale="75" zoomScaleNormal="75" workbookViewId="0"/>
  </sheetViews>
  <sheetFormatPr defaultColWidth="8.7265625" defaultRowHeight="14.5"/>
  <cols>
    <col min="1" max="1" width="39.26953125" customWidth="1"/>
    <col min="2" max="27" width="9.6328125" customWidth="1"/>
  </cols>
  <sheetData>
    <row r="1" spans="1:27" ht="18.5">
      <c r="A1" s="4" t="s">
        <v>87</v>
      </c>
    </row>
    <row r="3" spans="1:27">
      <c r="A3" s="1" t="s">
        <v>54</v>
      </c>
      <c r="B3" s="147"/>
      <c r="H3">
        <v>1</v>
      </c>
      <c r="I3">
        <f>H3+1</f>
        <v>2</v>
      </c>
      <c r="J3">
        <f t="shared" ref="J3:AA4" si="0">I3+1</f>
        <v>3</v>
      </c>
      <c r="K3">
        <f t="shared" si="0"/>
        <v>4</v>
      </c>
      <c r="L3">
        <f t="shared" si="0"/>
        <v>5</v>
      </c>
      <c r="M3">
        <f t="shared" si="0"/>
        <v>6</v>
      </c>
      <c r="N3">
        <f t="shared" si="0"/>
        <v>7</v>
      </c>
      <c r="O3">
        <f t="shared" si="0"/>
        <v>8</v>
      </c>
      <c r="P3">
        <f t="shared" si="0"/>
        <v>9</v>
      </c>
      <c r="Q3">
        <f t="shared" si="0"/>
        <v>10</v>
      </c>
      <c r="R3">
        <f t="shared" si="0"/>
        <v>11</v>
      </c>
      <c r="S3">
        <f t="shared" si="0"/>
        <v>12</v>
      </c>
      <c r="T3">
        <f t="shared" si="0"/>
        <v>13</v>
      </c>
      <c r="U3">
        <f t="shared" si="0"/>
        <v>14</v>
      </c>
      <c r="V3">
        <f t="shared" si="0"/>
        <v>15</v>
      </c>
      <c r="W3">
        <f t="shared" si="0"/>
        <v>16</v>
      </c>
      <c r="X3">
        <f t="shared" si="0"/>
        <v>17</v>
      </c>
      <c r="Y3">
        <f t="shared" si="0"/>
        <v>18</v>
      </c>
      <c r="Z3">
        <f t="shared" si="0"/>
        <v>19</v>
      </c>
      <c r="AA3">
        <f t="shared" si="0"/>
        <v>20</v>
      </c>
    </row>
    <row r="4" spans="1:27">
      <c r="B4">
        <v>2020</v>
      </c>
      <c r="C4">
        <f t="shared" ref="C4:Z4" si="1">B4+1</f>
        <v>2021</v>
      </c>
      <c r="D4">
        <f>C4+1</f>
        <v>2022</v>
      </c>
      <c r="E4">
        <f t="shared" si="1"/>
        <v>2023</v>
      </c>
      <c r="F4">
        <f t="shared" si="1"/>
        <v>2024</v>
      </c>
      <c r="G4">
        <f t="shared" si="1"/>
        <v>2025</v>
      </c>
      <c r="H4">
        <f t="shared" si="1"/>
        <v>2026</v>
      </c>
      <c r="I4">
        <f t="shared" si="1"/>
        <v>2027</v>
      </c>
      <c r="J4">
        <f t="shared" si="1"/>
        <v>2028</v>
      </c>
      <c r="K4">
        <f t="shared" si="1"/>
        <v>2029</v>
      </c>
      <c r="L4">
        <f t="shared" si="1"/>
        <v>2030</v>
      </c>
      <c r="M4">
        <f t="shared" si="1"/>
        <v>2031</v>
      </c>
      <c r="N4">
        <f t="shared" si="1"/>
        <v>2032</v>
      </c>
      <c r="O4">
        <f t="shared" si="1"/>
        <v>2033</v>
      </c>
      <c r="P4">
        <f t="shared" si="1"/>
        <v>2034</v>
      </c>
      <c r="Q4">
        <f t="shared" si="1"/>
        <v>2035</v>
      </c>
      <c r="R4">
        <f t="shared" si="1"/>
        <v>2036</v>
      </c>
      <c r="S4">
        <f t="shared" si="1"/>
        <v>2037</v>
      </c>
      <c r="T4">
        <f t="shared" si="1"/>
        <v>2038</v>
      </c>
      <c r="U4">
        <f t="shared" si="1"/>
        <v>2039</v>
      </c>
      <c r="V4">
        <f t="shared" si="1"/>
        <v>2040</v>
      </c>
      <c r="W4">
        <f t="shared" si="1"/>
        <v>2041</v>
      </c>
      <c r="X4">
        <f t="shared" si="1"/>
        <v>2042</v>
      </c>
      <c r="Y4">
        <f t="shared" si="1"/>
        <v>2043</v>
      </c>
      <c r="Z4">
        <f t="shared" si="1"/>
        <v>2044</v>
      </c>
      <c r="AA4">
        <f t="shared" si="0"/>
        <v>2045</v>
      </c>
    </row>
    <row r="5" spans="1:27" ht="15.5">
      <c r="A5" s="253"/>
      <c r="B5" s="155"/>
    </row>
    <row r="6" spans="1:27">
      <c r="A6" s="16" t="s">
        <v>88</v>
      </c>
      <c r="B6" s="153"/>
      <c r="H6" s="227">
        <v>0</v>
      </c>
      <c r="I6" s="227">
        <v>0</v>
      </c>
      <c r="J6" s="227">
        <v>0</v>
      </c>
      <c r="K6" s="227">
        <v>0</v>
      </c>
      <c r="L6" s="227">
        <v>0</v>
      </c>
      <c r="M6" s="227">
        <v>0</v>
      </c>
      <c r="N6" s="227">
        <v>0</v>
      </c>
      <c r="O6" s="227">
        <v>0</v>
      </c>
      <c r="P6" s="227">
        <v>0</v>
      </c>
      <c r="Q6" s="227">
        <v>0</v>
      </c>
      <c r="R6" s="227">
        <v>0</v>
      </c>
      <c r="S6" s="227">
        <v>0</v>
      </c>
      <c r="T6" s="227">
        <v>0</v>
      </c>
      <c r="U6" s="227">
        <v>0</v>
      </c>
      <c r="V6" s="227">
        <v>0</v>
      </c>
      <c r="W6" s="227">
        <v>0</v>
      </c>
      <c r="X6" s="227">
        <v>0</v>
      </c>
      <c r="Y6" s="227">
        <v>0</v>
      </c>
      <c r="Z6" s="227">
        <v>0</v>
      </c>
      <c r="AA6" s="227">
        <v>0</v>
      </c>
    </row>
    <row r="7" spans="1:27">
      <c r="B7" s="153"/>
    </row>
    <row r="8" spans="1:27">
      <c r="B8" s="153"/>
    </row>
    <row r="9" spans="1:27">
      <c r="A9" s="16" t="s">
        <v>70</v>
      </c>
      <c r="B9" s="154"/>
      <c r="H9" s="227">
        <v>0</v>
      </c>
      <c r="I9" s="227">
        <v>0</v>
      </c>
      <c r="J9" s="227">
        <v>0</v>
      </c>
      <c r="K9" s="227">
        <v>0</v>
      </c>
      <c r="L9" s="227">
        <v>0</v>
      </c>
      <c r="M9" s="227">
        <v>0</v>
      </c>
      <c r="N9" s="227">
        <v>0</v>
      </c>
      <c r="O9" s="227">
        <v>0</v>
      </c>
      <c r="P9" s="227">
        <v>0</v>
      </c>
      <c r="Q9" s="227">
        <v>0</v>
      </c>
      <c r="R9" s="227">
        <v>0</v>
      </c>
      <c r="S9" s="227">
        <v>0</v>
      </c>
      <c r="T9" s="227">
        <v>0</v>
      </c>
      <c r="U9" s="227">
        <v>0</v>
      </c>
      <c r="V9" s="227">
        <v>0</v>
      </c>
      <c r="W9" s="227">
        <v>0</v>
      </c>
      <c r="X9" s="227">
        <v>0</v>
      </c>
      <c r="Y9" s="227">
        <v>0</v>
      </c>
      <c r="Z9" s="227">
        <v>0</v>
      </c>
      <c r="AA9" s="227">
        <v>0</v>
      </c>
    </row>
    <row r="12" spans="1:27">
      <c r="A12" s="16" t="s">
        <v>89</v>
      </c>
      <c r="H12" s="227">
        <f t="shared" ref="H12:AA12" si="2">H6-H9</f>
        <v>0</v>
      </c>
      <c r="I12" s="227">
        <f t="shared" si="2"/>
        <v>0</v>
      </c>
      <c r="J12" s="227">
        <f t="shared" si="2"/>
        <v>0</v>
      </c>
      <c r="K12" s="227">
        <f t="shared" si="2"/>
        <v>0</v>
      </c>
      <c r="L12" s="227">
        <f t="shared" si="2"/>
        <v>0</v>
      </c>
      <c r="M12" s="227">
        <f t="shared" si="2"/>
        <v>0</v>
      </c>
      <c r="N12" s="227">
        <f t="shared" si="2"/>
        <v>0</v>
      </c>
      <c r="O12" s="227">
        <f t="shared" si="2"/>
        <v>0</v>
      </c>
      <c r="P12" s="227">
        <f t="shared" si="2"/>
        <v>0</v>
      </c>
      <c r="Q12" s="227">
        <f t="shared" si="2"/>
        <v>0</v>
      </c>
      <c r="R12" s="227">
        <f t="shared" si="2"/>
        <v>0</v>
      </c>
      <c r="S12" s="227">
        <f t="shared" si="2"/>
        <v>0</v>
      </c>
      <c r="T12" s="227">
        <f t="shared" si="2"/>
        <v>0</v>
      </c>
      <c r="U12" s="227">
        <f t="shared" si="2"/>
        <v>0</v>
      </c>
      <c r="V12" s="227">
        <f t="shared" si="2"/>
        <v>0</v>
      </c>
      <c r="W12" s="227">
        <f t="shared" si="2"/>
        <v>0</v>
      </c>
      <c r="X12" s="227">
        <f t="shared" si="2"/>
        <v>0</v>
      </c>
      <c r="Y12" s="227">
        <f t="shared" si="2"/>
        <v>0</v>
      </c>
      <c r="Z12" s="227">
        <f t="shared" si="2"/>
        <v>0</v>
      </c>
      <c r="AA12" s="227">
        <f t="shared" si="2"/>
        <v>0</v>
      </c>
    </row>
    <row r="13" spans="1:27">
      <c r="A13" s="16"/>
    </row>
    <row r="15" spans="1:27">
      <c r="A15" t="s">
        <v>90</v>
      </c>
    </row>
    <row r="16" spans="1:27">
      <c r="A16" t="s">
        <v>91</v>
      </c>
    </row>
    <row r="17" spans="1:1">
      <c r="A17" t="s">
        <v>92</v>
      </c>
    </row>
    <row r="18" spans="1:1">
      <c r="A18" t="s">
        <v>93</v>
      </c>
    </row>
  </sheetData>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C567E-2345-4C4E-BF89-ED6A172C166D}">
  <sheetPr>
    <tabColor theme="9" tint="0.39997558519241921"/>
    <pageSetUpPr fitToPage="1"/>
  </sheetPr>
  <dimension ref="A1:U51"/>
  <sheetViews>
    <sheetView zoomScale="75" zoomScaleNormal="75" workbookViewId="0">
      <selection activeCell="H18" sqref="H18"/>
    </sheetView>
  </sheetViews>
  <sheetFormatPr defaultRowHeight="14.5"/>
  <cols>
    <col min="1" max="1" width="75.453125" style="184" bestFit="1" customWidth="1"/>
    <col min="2" max="2" width="12.1796875" customWidth="1"/>
    <col min="3" max="21" width="9.54296875" customWidth="1"/>
  </cols>
  <sheetData>
    <row r="1" spans="1:21" s="176" customFormat="1" ht="18.5">
      <c r="A1" s="183" t="s">
        <v>94</v>
      </c>
    </row>
    <row r="3" spans="1:21" s="16" customFormat="1">
      <c r="A3" s="194" t="s">
        <v>54</v>
      </c>
      <c r="B3" s="16">
        <v>1</v>
      </c>
      <c r="C3" s="16">
        <f>B3+1</f>
        <v>2</v>
      </c>
      <c r="D3" s="16">
        <f t="shared" ref="D3:U4" si="0">C3+1</f>
        <v>3</v>
      </c>
      <c r="E3" s="16">
        <f t="shared" si="0"/>
        <v>4</v>
      </c>
      <c r="F3" s="16">
        <f t="shared" si="0"/>
        <v>5</v>
      </c>
      <c r="G3" s="16">
        <f t="shared" si="0"/>
        <v>6</v>
      </c>
      <c r="H3" s="16">
        <f t="shared" si="0"/>
        <v>7</v>
      </c>
      <c r="I3" s="16">
        <f t="shared" si="0"/>
        <v>8</v>
      </c>
      <c r="J3" s="16">
        <f t="shared" si="0"/>
        <v>9</v>
      </c>
      <c r="K3" s="16">
        <f t="shared" si="0"/>
        <v>10</v>
      </c>
      <c r="L3" s="16">
        <f t="shared" si="0"/>
        <v>11</v>
      </c>
      <c r="M3" s="16">
        <f t="shared" si="0"/>
        <v>12</v>
      </c>
      <c r="N3" s="16">
        <f t="shared" si="0"/>
        <v>13</v>
      </c>
      <c r="O3" s="16">
        <f t="shared" si="0"/>
        <v>14</v>
      </c>
      <c r="P3" s="16">
        <f t="shared" si="0"/>
        <v>15</v>
      </c>
      <c r="Q3" s="16">
        <f t="shared" si="0"/>
        <v>16</v>
      </c>
      <c r="R3" s="16">
        <f t="shared" si="0"/>
        <v>17</v>
      </c>
      <c r="S3" s="16">
        <f t="shared" si="0"/>
        <v>18</v>
      </c>
      <c r="T3" s="16">
        <f t="shared" si="0"/>
        <v>19</v>
      </c>
      <c r="U3" s="16">
        <f t="shared" si="0"/>
        <v>20</v>
      </c>
    </row>
    <row r="4" spans="1:21" s="179" customFormat="1">
      <c r="A4" s="185"/>
      <c r="B4" s="179">
        <v>2026</v>
      </c>
      <c r="C4" s="179">
        <f t="shared" ref="C4:T4" si="1">B4+1</f>
        <v>2027</v>
      </c>
      <c r="D4" s="179">
        <f t="shared" si="1"/>
        <v>2028</v>
      </c>
      <c r="E4" s="179">
        <f t="shared" si="1"/>
        <v>2029</v>
      </c>
      <c r="F4" s="179">
        <f t="shared" si="1"/>
        <v>2030</v>
      </c>
      <c r="G4" s="179">
        <f t="shared" si="1"/>
        <v>2031</v>
      </c>
      <c r="H4" s="179">
        <f t="shared" si="1"/>
        <v>2032</v>
      </c>
      <c r="I4" s="179">
        <f t="shared" si="1"/>
        <v>2033</v>
      </c>
      <c r="J4" s="179">
        <f t="shared" si="1"/>
        <v>2034</v>
      </c>
      <c r="K4" s="179">
        <f t="shared" si="1"/>
        <v>2035</v>
      </c>
      <c r="L4" s="179">
        <f t="shared" si="1"/>
        <v>2036</v>
      </c>
      <c r="M4" s="179">
        <f t="shared" si="1"/>
        <v>2037</v>
      </c>
      <c r="N4" s="179">
        <f t="shared" si="1"/>
        <v>2038</v>
      </c>
      <c r="O4" s="179">
        <f t="shared" si="1"/>
        <v>2039</v>
      </c>
      <c r="P4" s="179">
        <f t="shared" si="1"/>
        <v>2040</v>
      </c>
      <c r="Q4" s="179">
        <f t="shared" si="1"/>
        <v>2041</v>
      </c>
      <c r="R4" s="179">
        <f t="shared" si="1"/>
        <v>2042</v>
      </c>
      <c r="S4" s="179">
        <f t="shared" si="1"/>
        <v>2043</v>
      </c>
      <c r="T4" s="179">
        <f t="shared" si="1"/>
        <v>2044</v>
      </c>
      <c r="U4" s="179">
        <f t="shared" si="0"/>
        <v>2045</v>
      </c>
    </row>
    <row r="5" spans="1:21" s="181" customFormat="1" ht="15.5">
      <c r="A5" s="186"/>
    </row>
    <row r="6" spans="1:21">
      <c r="A6" s="187" t="s">
        <v>95</v>
      </c>
      <c r="B6" s="19">
        <f>'VMT-PHT Savings - Storm Close'!I11</f>
        <v>644</v>
      </c>
      <c r="C6" s="19">
        <f>'VMT-PHT Savings - Storm Close'!J11</f>
        <v>644</v>
      </c>
      <c r="D6" s="19">
        <f>'VMT-PHT Savings - Storm Close'!K11</f>
        <v>644</v>
      </c>
      <c r="E6" s="19">
        <f>'VMT-PHT Savings - Storm Close'!L11</f>
        <v>644</v>
      </c>
      <c r="F6" s="19">
        <f>'VMT-PHT Savings - Storm Close'!M11</f>
        <v>644</v>
      </c>
      <c r="G6" s="19">
        <f>'VMT-PHT Savings - Storm Close'!N11</f>
        <v>644</v>
      </c>
      <c r="H6" s="19">
        <f>'VMT-PHT Savings - Storm Close'!O11</f>
        <v>644</v>
      </c>
      <c r="I6" s="19">
        <f>'VMT-PHT Savings - Storm Close'!P11</f>
        <v>644</v>
      </c>
      <c r="J6" s="19">
        <f>'VMT-PHT Savings - Storm Close'!Q11</f>
        <v>644</v>
      </c>
      <c r="K6" s="19">
        <f>'VMT-PHT Savings - Storm Close'!R11</f>
        <v>644</v>
      </c>
      <c r="L6" s="19">
        <f>'VMT-PHT Savings - Storm Close'!S11</f>
        <v>644</v>
      </c>
      <c r="M6" s="19">
        <f>'VMT-PHT Savings - Storm Close'!T11</f>
        <v>644</v>
      </c>
      <c r="N6" s="19">
        <f>'VMT-PHT Savings - Storm Close'!U11</f>
        <v>644</v>
      </c>
      <c r="O6" s="19">
        <f>'VMT-PHT Savings - Storm Close'!V11</f>
        <v>644</v>
      </c>
      <c r="P6" s="19">
        <f>'VMT-PHT Savings - Storm Close'!W11</f>
        <v>644</v>
      </c>
      <c r="Q6" s="19">
        <f>'VMT-PHT Savings - Storm Close'!X11</f>
        <v>644</v>
      </c>
      <c r="R6" s="19">
        <f>'VMT-PHT Savings - Storm Close'!Y11</f>
        <v>644</v>
      </c>
      <c r="S6" s="19">
        <f>'VMT-PHT Savings - Storm Close'!Z11</f>
        <v>644</v>
      </c>
      <c r="T6" s="19">
        <f>'VMT-PHT Savings - Storm Close'!AA11</f>
        <v>644</v>
      </c>
      <c r="U6" s="19">
        <f>'VMT-PHT Savings - Storm Close'!AB11</f>
        <v>644</v>
      </c>
    </row>
    <row r="7" spans="1:21">
      <c r="A7" s="187" t="s">
        <v>96</v>
      </c>
      <c r="B7" s="214">
        <v>0.1</v>
      </c>
      <c r="C7" s="214">
        <v>0.1</v>
      </c>
      <c r="D7" s="214">
        <v>0.1</v>
      </c>
      <c r="E7" s="214">
        <v>0.1</v>
      </c>
      <c r="F7" s="214">
        <v>0.1</v>
      </c>
      <c r="G7" s="214">
        <v>0.1</v>
      </c>
      <c r="H7" s="214">
        <v>0.1</v>
      </c>
      <c r="I7" s="214">
        <v>0.1</v>
      </c>
      <c r="J7" s="214">
        <v>0.1</v>
      </c>
      <c r="K7" s="214">
        <v>0.1</v>
      </c>
      <c r="L7" s="214">
        <v>0.1</v>
      </c>
      <c r="M7" s="214">
        <v>0.1</v>
      </c>
      <c r="N7" s="214">
        <v>0.1</v>
      </c>
      <c r="O7" s="214">
        <v>0.1</v>
      </c>
      <c r="P7" s="214">
        <v>0.1</v>
      </c>
      <c r="Q7" s="214">
        <v>0.1</v>
      </c>
      <c r="R7" s="214">
        <v>0.1</v>
      </c>
      <c r="S7" s="214">
        <v>0.1</v>
      </c>
      <c r="T7" s="214">
        <v>0.1</v>
      </c>
      <c r="U7" s="214">
        <v>0.1</v>
      </c>
    </row>
    <row r="8" spans="1:21">
      <c r="A8" s="187" t="s">
        <v>97</v>
      </c>
      <c r="B8">
        <f>B6*B7</f>
        <v>64.400000000000006</v>
      </c>
      <c r="C8">
        <f t="shared" ref="C8:U8" si="2">C6*C7</f>
        <v>64.400000000000006</v>
      </c>
      <c r="D8">
        <f t="shared" si="2"/>
        <v>64.400000000000006</v>
      </c>
      <c r="E8">
        <f t="shared" si="2"/>
        <v>64.400000000000006</v>
      </c>
      <c r="F8">
        <f t="shared" si="2"/>
        <v>64.400000000000006</v>
      </c>
      <c r="G8">
        <f t="shared" si="2"/>
        <v>64.400000000000006</v>
      </c>
      <c r="H8">
        <f t="shared" si="2"/>
        <v>64.400000000000006</v>
      </c>
      <c r="I8">
        <f t="shared" si="2"/>
        <v>64.400000000000006</v>
      </c>
      <c r="J8">
        <f t="shared" si="2"/>
        <v>64.400000000000006</v>
      </c>
      <c r="K8">
        <f t="shared" si="2"/>
        <v>64.400000000000006</v>
      </c>
      <c r="L8">
        <f t="shared" si="2"/>
        <v>64.400000000000006</v>
      </c>
      <c r="M8">
        <f t="shared" si="2"/>
        <v>64.400000000000006</v>
      </c>
      <c r="N8">
        <f t="shared" si="2"/>
        <v>64.400000000000006</v>
      </c>
      <c r="O8">
        <f t="shared" si="2"/>
        <v>64.400000000000006</v>
      </c>
      <c r="P8">
        <f t="shared" si="2"/>
        <v>64.400000000000006</v>
      </c>
      <c r="Q8">
        <f t="shared" si="2"/>
        <v>64.400000000000006</v>
      </c>
      <c r="R8">
        <f t="shared" si="2"/>
        <v>64.400000000000006</v>
      </c>
      <c r="S8">
        <f t="shared" si="2"/>
        <v>64.400000000000006</v>
      </c>
      <c r="T8">
        <f t="shared" si="2"/>
        <v>64.400000000000006</v>
      </c>
      <c r="U8">
        <f t="shared" si="2"/>
        <v>64.400000000000006</v>
      </c>
    </row>
    <row r="9" spans="1:21">
      <c r="A9" s="187" t="s">
        <v>98</v>
      </c>
      <c r="B9">
        <v>8</v>
      </c>
      <c r="C9">
        <v>8</v>
      </c>
      <c r="D9">
        <v>8</v>
      </c>
      <c r="E9">
        <v>8</v>
      </c>
      <c r="F9">
        <v>8</v>
      </c>
      <c r="G9">
        <v>8</v>
      </c>
      <c r="H9">
        <v>8</v>
      </c>
      <c r="I9">
        <v>8</v>
      </c>
      <c r="J9">
        <v>8</v>
      </c>
      <c r="K9">
        <v>8</v>
      </c>
      <c r="L9">
        <v>8</v>
      </c>
      <c r="M9">
        <v>8</v>
      </c>
      <c r="N9">
        <v>8</v>
      </c>
      <c r="O9">
        <v>8</v>
      </c>
      <c r="P9">
        <v>8</v>
      </c>
      <c r="Q9">
        <v>8</v>
      </c>
      <c r="R9">
        <v>8</v>
      </c>
      <c r="S9">
        <v>8</v>
      </c>
      <c r="T9">
        <v>8</v>
      </c>
      <c r="U9">
        <v>8</v>
      </c>
    </row>
    <row r="10" spans="1:21">
      <c r="A10" s="187" t="s">
        <v>99</v>
      </c>
      <c r="B10">
        <f>B8*B9*'Look Up Data'!$B$6</f>
        <v>188048.00000000003</v>
      </c>
      <c r="C10">
        <f>C8*C9*'Look Up Data'!$B$6</f>
        <v>188048.00000000003</v>
      </c>
      <c r="D10">
        <f>D8*D9*'Look Up Data'!$B$6</f>
        <v>188048.00000000003</v>
      </c>
      <c r="E10">
        <f>E8*E9*'Look Up Data'!$B$6</f>
        <v>188048.00000000003</v>
      </c>
      <c r="F10">
        <f>F8*F9*'Look Up Data'!$B$6</f>
        <v>188048.00000000003</v>
      </c>
      <c r="G10">
        <f>G8*G9*'Look Up Data'!$B$6</f>
        <v>188048.00000000003</v>
      </c>
      <c r="H10">
        <f>H8*H9*'Look Up Data'!$B$6</f>
        <v>188048.00000000003</v>
      </c>
      <c r="I10">
        <f>I8*I9*'Look Up Data'!$B$6</f>
        <v>188048.00000000003</v>
      </c>
      <c r="J10">
        <f>J8*J9*'Look Up Data'!$B$6</f>
        <v>188048.00000000003</v>
      </c>
      <c r="K10">
        <f>K8*K9*'Look Up Data'!$B$6</f>
        <v>188048.00000000003</v>
      </c>
      <c r="L10">
        <f>L8*L9*'Look Up Data'!$B$6</f>
        <v>188048.00000000003</v>
      </c>
      <c r="M10">
        <f>M8*M9*'Look Up Data'!$B$6</f>
        <v>188048.00000000003</v>
      </c>
      <c r="N10">
        <f>N8*N9*'Look Up Data'!$B$6</f>
        <v>188048.00000000003</v>
      </c>
      <c r="O10">
        <f>O8*O9*'Look Up Data'!$B$6</f>
        <v>188048.00000000003</v>
      </c>
      <c r="P10">
        <f>P8*P9*'Look Up Data'!$B$6</f>
        <v>188048.00000000003</v>
      </c>
      <c r="Q10">
        <f>Q8*Q9*'Look Up Data'!$B$6</f>
        <v>188048.00000000003</v>
      </c>
      <c r="R10">
        <f>R8*R9*'Look Up Data'!$B$6</f>
        <v>188048.00000000003</v>
      </c>
      <c r="S10">
        <f>S8*S9*'Look Up Data'!$B$6</f>
        <v>188048.00000000003</v>
      </c>
      <c r="T10">
        <f>T8*T9*'Look Up Data'!$B$6</f>
        <v>188048.00000000003</v>
      </c>
      <c r="U10">
        <f>U8*U9*'Look Up Data'!$B$6</f>
        <v>188048.00000000003</v>
      </c>
    </row>
    <row r="11" spans="1:21">
      <c r="A11" s="187" t="s">
        <v>100</v>
      </c>
      <c r="B11" s="19">
        <f>B10/B12</f>
        <v>4701.2000000000007</v>
      </c>
      <c r="C11" s="19">
        <f t="shared" ref="C11:U11" si="3">C10/C12</f>
        <v>4701.2000000000007</v>
      </c>
      <c r="D11" s="19">
        <f t="shared" si="3"/>
        <v>4701.2000000000007</v>
      </c>
      <c r="E11" s="19">
        <f t="shared" si="3"/>
        <v>4701.2000000000007</v>
      </c>
      <c r="F11" s="19">
        <f t="shared" si="3"/>
        <v>4701.2000000000007</v>
      </c>
      <c r="G11" s="19">
        <f t="shared" si="3"/>
        <v>4701.2000000000007</v>
      </c>
      <c r="H11" s="19">
        <f t="shared" si="3"/>
        <v>4701.2000000000007</v>
      </c>
      <c r="I11" s="19">
        <f t="shared" si="3"/>
        <v>4701.2000000000007</v>
      </c>
      <c r="J11" s="19">
        <f t="shared" si="3"/>
        <v>4701.2000000000007</v>
      </c>
      <c r="K11" s="19">
        <f t="shared" si="3"/>
        <v>4701.2000000000007</v>
      </c>
      <c r="L11" s="19">
        <f t="shared" si="3"/>
        <v>4701.2000000000007</v>
      </c>
      <c r="M11" s="19">
        <f t="shared" si="3"/>
        <v>4701.2000000000007</v>
      </c>
      <c r="N11" s="19">
        <f t="shared" si="3"/>
        <v>4701.2000000000007</v>
      </c>
      <c r="O11" s="19">
        <f t="shared" si="3"/>
        <v>4701.2000000000007</v>
      </c>
      <c r="P11" s="19">
        <f t="shared" si="3"/>
        <v>4701.2000000000007</v>
      </c>
      <c r="Q11" s="19">
        <f t="shared" si="3"/>
        <v>4701.2000000000007</v>
      </c>
      <c r="R11" s="19">
        <f t="shared" si="3"/>
        <v>4701.2000000000007</v>
      </c>
      <c r="S11" s="19">
        <f t="shared" si="3"/>
        <v>4701.2000000000007</v>
      </c>
      <c r="T11" s="19">
        <f t="shared" si="3"/>
        <v>4701.2000000000007</v>
      </c>
      <c r="U11" s="19">
        <f t="shared" si="3"/>
        <v>4701.2000000000007</v>
      </c>
    </row>
    <row r="12" spans="1:21" s="176" customFormat="1">
      <c r="A12" s="185" t="s">
        <v>101</v>
      </c>
      <c r="B12" s="176">
        <f>'VMT-PHT Savings - Storm Close'!I14</f>
        <v>40</v>
      </c>
      <c r="C12" s="176">
        <f>'VMT-PHT Savings - Storm Close'!J14</f>
        <v>40</v>
      </c>
      <c r="D12" s="176">
        <f>'VMT-PHT Savings - Storm Close'!K14</f>
        <v>40</v>
      </c>
      <c r="E12" s="176">
        <f>'VMT-PHT Savings - Storm Close'!L14</f>
        <v>40</v>
      </c>
      <c r="F12" s="176">
        <f>'VMT-PHT Savings - Storm Close'!M14</f>
        <v>40</v>
      </c>
      <c r="G12" s="176">
        <f>'VMT-PHT Savings - Storm Close'!N14</f>
        <v>40</v>
      </c>
      <c r="H12" s="176">
        <f>'VMT-PHT Savings - Storm Close'!O14</f>
        <v>40</v>
      </c>
      <c r="I12" s="176">
        <f>'VMT-PHT Savings - Storm Close'!P14</f>
        <v>40</v>
      </c>
      <c r="J12" s="176">
        <f>'VMT-PHT Savings - Storm Close'!Q14</f>
        <v>40</v>
      </c>
      <c r="K12" s="176">
        <f>'VMT-PHT Savings - Storm Close'!R14</f>
        <v>40</v>
      </c>
      <c r="L12" s="176">
        <f>'VMT-PHT Savings - Storm Close'!S14</f>
        <v>40</v>
      </c>
      <c r="M12" s="176">
        <f>'VMT-PHT Savings - Storm Close'!T14</f>
        <v>40</v>
      </c>
      <c r="N12" s="176">
        <f>'VMT-PHT Savings - Storm Close'!U14</f>
        <v>40</v>
      </c>
      <c r="O12" s="176">
        <f>'VMT-PHT Savings - Storm Close'!V14</f>
        <v>40</v>
      </c>
      <c r="P12" s="176">
        <f>'VMT-PHT Savings - Storm Close'!W14</f>
        <v>40</v>
      </c>
      <c r="Q12" s="176">
        <f>'VMT-PHT Savings - Storm Close'!X14</f>
        <v>40</v>
      </c>
      <c r="R12" s="176">
        <f>'VMT-PHT Savings - Storm Close'!Y14</f>
        <v>40</v>
      </c>
      <c r="S12" s="176">
        <f>'VMT-PHT Savings - Storm Close'!Z14</f>
        <v>40</v>
      </c>
      <c r="T12" s="176">
        <f>'VMT-PHT Savings - Storm Close'!AA14</f>
        <v>40</v>
      </c>
      <c r="U12" s="176">
        <f>'VMT-PHT Savings - Storm Close'!AB14</f>
        <v>40</v>
      </c>
    </row>
    <row r="13" spans="1:21" s="181" customFormat="1">
      <c r="A13" s="188"/>
    </row>
    <row r="14" spans="1:21" s="181" customFormat="1">
      <c r="A14" s="205" t="s">
        <v>102</v>
      </c>
      <c r="B14" s="206">
        <f>B11*'Look Up Data'!J66</f>
        <v>150438.40000000002</v>
      </c>
      <c r="C14" s="206">
        <f>C11*'Look Up Data'!K66</f>
        <v>150438.40000000002</v>
      </c>
      <c r="D14" s="206">
        <f>D11*'Look Up Data'!L66</f>
        <v>150438.40000000002</v>
      </c>
      <c r="E14" s="206">
        <f>E11*'Look Up Data'!M66</f>
        <v>150438.40000000002</v>
      </c>
      <c r="F14" s="206">
        <f>F11*'Look Up Data'!N66</f>
        <v>150438.40000000002</v>
      </c>
      <c r="G14" s="206">
        <f>G11*'Look Up Data'!O66</f>
        <v>150438.40000000002</v>
      </c>
      <c r="H14" s="206">
        <f>H11*'Look Up Data'!P66</f>
        <v>150438.40000000002</v>
      </c>
      <c r="I14" s="206">
        <f>I11*'Look Up Data'!Q66</f>
        <v>150438.40000000002</v>
      </c>
      <c r="J14" s="206">
        <f>J11*'Look Up Data'!R66</f>
        <v>150438.40000000002</v>
      </c>
      <c r="K14" s="206">
        <f>K11*'Look Up Data'!S66</f>
        <v>150438.40000000002</v>
      </c>
      <c r="L14" s="206">
        <f>L11*'Look Up Data'!T66</f>
        <v>150438.40000000002</v>
      </c>
      <c r="M14" s="206">
        <f>M11*'Look Up Data'!U66</f>
        <v>150438.40000000002</v>
      </c>
      <c r="N14" s="206">
        <f>N11*'Look Up Data'!V66</f>
        <v>150438.40000000002</v>
      </c>
      <c r="O14" s="206">
        <f>O11*'Look Up Data'!W66</f>
        <v>150438.40000000002</v>
      </c>
      <c r="P14" s="206">
        <f>P11*'Look Up Data'!X66</f>
        <v>150438.40000000002</v>
      </c>
      <c r="Q14" s="206">
        <f>Q11*'Look Up Data'!Y66</f>
        <v>150438.40000000002</v>
      </c>
      <c r="R14" s="206">
        <f>R11*'Look Up Data'!Z66</f>
        <v>150438.40000000002</v>
      </c>
      <c r="S14" s="206">
        <f>S11*'Look Up Data'!AA66</f>
        <v>150438.40000000002</v>
      </c>
      <c r="T14" s="206">
        <f>T11*'Look Up Data'!AB66</f>
        <v>150438.40000000002</v>
      </c>
      <c r="U14" s="206">
        <f>U11*'Look Up Data'!AC66</f>
        <v>150438.40000000002</v>
      </c>
    </row>
    <row r="15" spans="1:21" s="176" customFormat="1">
      <c r="A15" s="185" t="s">
        <v>103</v>
      </c>
      <c r="B15" s="180">
        <f>B10*'Look Up Data'!J68</f>
        <v>174884.64000000004</v>
      </c>
      <c r="C15" s="180">
        <f>C10*'Look Up Data'!K68</f>
        <v>174884.64000000004</v>
      </c>
      <c r="D15" s="180">
        <f>D10*'Look Up Data'!L68</f>
        <v>174884.64000000004</v>
      </c>
      <c r="E15" s="180">
        <f>E10*'Look Up Data'!M68</f>
        <v>174884.64000000004</v>
      </c>
      <c r="F15" s="180">
        <f>F10*'Look Up Data'!N68</f>
        <v>174884.64000000004</v>
      </c>
      <c r="G15" s="180">
        <f>G10*'Look Up Data'!O68</f>
        <v>174884.64000000004</v>
      </c>
      <c r="H15" s="180">
        <f>H10*'Look Up Data'!P68</f>
        <v>174884.64000000004</v>
      </c>
      <c r="I15" s="180">
        <f>I10*'Look Up Data'!Q68</f>
        <v>174884.64000000004</v>
      </c>
      <c r="J15" s="180">
        <f>J10*'Look Up Data'!R68</f>
        <v>174884.64000000004</v>
      </c>
      <c r="K15" s="180">
        <f>K10*'Look Up Data'!S68</f>
        <v>174884.64000000004</v>
      </c>
      <c r="L15" s="180">
        <f>L10*'Look Up Data'!T68</f>
        <v>174884.64000000004</v>
      </c>
      <c r="M15" s="180">
        <f>M10*'Look Up Data'!U68</f>
        <v>174884.64000000004</v>
      </c>
      <c r="N15" s="180">
        <f>N10*'Look Up Data'!V68</f>
        <v>174884.64000000004</v>
      </c>
      <c r="O15" s="180">
        <f>O10*'Look Up Data'!W68</f>
        <v>174884.64000000004</v>
      </c>
      <c r="P15" s="180">
        <f>P10*'Look Up Data'!X68</f>
        <v>174884.64000000004</v>
      </c>
      <c r="Q15" s="180">
        <f>Q10*'Look Up Data'!Y68</f>
        <v>174884.64000000004</v>
      </c>
      <c r="R15" s="180">
        <f>R10*'Look Up Data'!Z68</f>
        <v>174884.64000000004</v>
      </c>
      <c r="S15" s="180">
        <f>S10*'Look Up Data'!AA68</f>
        <v>174884.64000000004</v>
      </c>
      <c r="T15" s="180">
        <f>T10*'Look Up Data'!AB68</f>
        <v>174884.64000000004</v>
      </c>
      <c r="U15" s="180">
        <f>U10*'Look Up Data'!AC68</f>
        <v>174884.64000000004</v>
      </c>
    </row>
    <row r="16" spans="1:21" s="181" customFormat="1">
      <c r="A16" s="188"/>
    </row>
    <row r="17" spans="1:21" s="181" customFormat="1">
      <c r="A17" s="205" t="s">
        <v>104</v>
      </c>
    </row>
    <row r="18" spans="1:21">
      <c r="A18" s="209" t="s">
        <v>105</v>
      </c>
      <c r="B18" s="2">
        <f>B$10*'Look Up Data'!$E$80</f>
        <v>0.7338385152000001</v>
      </c>
      <c r="C18" s="2">
        <f>C$10*'Look Up Data'!$E$80</f>
        <v>0.7338385152000001</v>
      </c>
      <c r="D18" s="2">
        <f>D$10*'Look Up Data'!$E$80</f>
        <v>0.7338385152000001</v>
      </c>
      <c r="E18" s="2">
        <f>E$10*'Look Up Data'!$E$80</f>
        <v>0.7338385152000001</v>
      </c>
      <c r="F18" s="2">
        <f>F$10*'Look Up Data'!$E$80</f>
        <v>0.7338385152000001</v>
      </c>
      <c r="G18" s="2">
        <f>G$10*'Look Up Data'!$E$80</f>
        <v>0.7338385152000001</v>
      </c>
      <c r="H18" s="2">
        <f>H$10*'Look Up Data'!$E$80</f>
        <v>0.7338385152000001</v>
      </c>
      <c r="I18" s="2">
        <f>I$10*'Look Up Data'!$E$80</f>
        <v>0.7338385152000001</v>
      </c>
      <c r="J18" s="2">
        <f>J$10*'Look Up Data'!$E$80</f>
        <v>0.7338385152000001</v>
      </c>
      <c r="K18" s="2">
        <f>K$10*'Look Up Data'!$E$80</f>
        <v>0.7338385152000001</v>
      </c>
      <c r="L18" s="2">
        <f>L$10*'Look Up Data'!$E$80</f>
        <v>0.7338385152000001</v>
      </c>
      <c r="M18" s="2">
        <f>M$10*'Look Up Data'!$E$80</f>
        <v>0.7338385152000001</v>
      </c>
      <c r="N18" s="2">
        <f>N$10*'Look Up Data'!$E$80</f>
        <v>0.7338385152000001</v>
      </c>
      <c r="O18" s="2">
        <f>O$10*'Look Up Data'!$E$80</f>
        <v>0.7338385152000001</v>
      </c>
      <c r="P18" s="2">
        <f>P$10*'Look Up Data'!$E$80</f>
        <v>0.7338385152000001</v>
      </c>
      <c r="Q18" s="2">
        <f>Q$10*'Look Up Data'!$E$80</f>
        <v>0.7338385152000001</v>
      </c>
      <c r="R18" s="2">
        <f>R$10*'Look Up Data'!$E$80</f>
        <v>0.7338385152000001</v>
      </c>
      <c r="S18" s="2">
        <f>S$10*'Look Up Data'!$E$80</f>
        <v>0.7338385152000001</v>
      </c>
      <c r="T18" s="2">
        <f>T$10*'Look Up Data'!$E$80</f>
        <v>0.7338385152000001</v>
      </c>
      <c r="U18" s="2">
        <f>U$10*'Look Up Data'!$E$80</f>
        <v>0.7338385152000001</v>
      </c>
    </row>
    <row r="19" spans="1:21">
      <c r="A19" s="209" t="s">
        <v>106</v>
      </c>
      <c r="B19" s="2">
        <f>B$10*'Look Up Data'!$C$80</f>
        <v>1.034264E-3</v>
      </c>
      <c r="C19" s="2">
        <f>C$10*'Look Up Data'!$C$80</f>
        <v>1.034264E-3</v>
      </c>
      <c r="D19" s="2">
        <f>D$10*'Look Up Data'!$C$80</f>
        <v>1.034264E-3</v>
      </c>
      <c r="E19" s="2">
        <f>E$10*'Look Up Data'!$C$80</f>
        <v>1.034264E-3</v>
      </c>
      <c r="F19" s="2">
        <f>F$10*'Look Up Data'!$C$80</f>
        <v>1.034264E-3</v>
      </c>
      <c r="G19" s="2">
        <f>G$10*'Look Up Data'!$C$80</f>
        <v>1.034264E-3</v>
      </c>
      <c r="H19" s="2">
        <f>H$10*'Look Up Data'!$C$80</f>
        <v>1.034264E-3</v>
      </c>
      <c r="I19" s="2">
        <f>I$10*'Look Up Data'!$C$80</f>
        <v>1.034264E-3</v>
      </c>
      <c r="J19" s="2">
        <f>J$10*'Look Up Data'!$C$80</f>
        <v>1.034264E-3</v>
      </c>
      <c r="K19" s="2">
        <f>K$10*'Look Up Data'!$C$80</f>
        <v>1.034264E-3</v>
      </c>
      <c r="L19" s="2">
        <f>L$10*'Look Up Data'!$C$80</f>
        <v>1.034264E-3</v>
      </c>
      <c r="M19" s="2">
        <f>M$10*'Look Up Data'!$C$80</f>
        <v>1.034264E-3</v>
      </c>
      <c r="N19" s="2">
        <f>N$10*'Look Up Data'!$C$80</f>
        <v>1.034264E-3</v>
      </c>
      <c r="O19" s="2">
        <f>O$10*'Look Up Data'!$C$80</f>
        <v>1.034264E-3</v>
      </c>
      <c r="P19" s="2">
        <f>P$10*'Look Up Data'!$C$80</f>
        <v>1.034264E-3</v>
      </c>
      <c r="Q19" s="2">
        <f>Q$10*'Look Up Data'!$C$80</f>
        <v>1.034264E-3</v>
      </c>
      <c r="R19" s="2">
        <f>R$10*'Look Up Data'!$C$80</f>
        <v>1.034264E-3</v>
      </c>
      <c r="S19" s="2">
        <f>S$10*'Look Up Data'!$C$80</f>
        <v>1.034264E-3</v>
      </c>
      <c r="T19" s="2">
        <f>T$10*'Look Up Data'!$C$80</f>
        <v>1.034264E-3</v>
      </c>
      <c r="U19" s="2">
        <f>U$10*'Look Up Data'!$C$80</f>
        <v>1.034264E-3</v>
      </c>
    </row>
    <row r="20" spans="1:21">
      <c r="A20" s="209" t="s">
        <v>23</v>
      </c>
      <c r="B20" s="2">
        <f>B$10*'Look Up Data'!$F$80</f>
        <v>315.83116116529152</v>
      </c>
      <c r="C20" s="2">
        <f>C$10*'Look Up Data'!$F$80</f>
        <v>315.83116116529152</v>
      </c>
      <c r="D20" s="2">
        <f>D$10*'Look Up Data'!$F$80</f>
        <v>315.83116116529152</v>
      </c>
      <c r="E20" s="2">
        <f>E$10*'Look Up Data'!$F$80</f>
        <v>315.83116116529152</v>
      </c>
      <c r="F20" s="2">
        <f>F$10*'Look Up Data'!$F$80</f>
        <v>315.83116116529152</v>
      </c>
      <c r="G20" s="2">
        <f>G$10*'Look Up Data'!$F$80</f>
        <v>315.83116116529152</v>
      </c>
      <c r="H20" s="2">
        <f>H$10*'Look Up Data'!$F$80</f>
        <v>315.83116116529152</v>
      </c>
      <c r="I20" s="2">
        <f>I$10*'Look Up Data'!$F$80</f>
        <v>315.83116116529152</v>
      </c>
      <c r="J20" s="2">
        <f>J$10*'Look Up Data'!$F$80</f>
        <v>315.83116116529152</v>
      </c>
      <c r="K20" s="2">
        <f>K$10*'Look Up Data'!$F$80</f>
        <v>315.83116116529152</v>
      </c>
      <c r="L20" s="2">
        <f>L$10*'Look Up Data'!$F$80</f>
        <v>315.83116116529152</v>
      </c>
      <c r="M20" s="2">
        <f>M$10*'Look Up Data'!$F$80</f>
        <v>315.83116116529152</v>
      </c>
      <c r="N20" s="2">
        <f>N$10*'Look Up Data'!$F$80</f>
        <v>315.83116116529152</v>
      </c>
      <c r="O20" s="2">
        <f>O$10*'Look Up Data'!$F$80</f>
        <v>315.83116116529152</v>
      </c>
      <c r="P20" s="2">
        <f>P$10*'Look Up Data'!$F$80</f>
        <v>315.83116116529152</v>
      </c>
      <c r="Q20" s="2">
        <f>Q$10*'Look Up Data'!$F$80</f>
        <v>315.83116116529152</v>
      </c>
      <c r="R20" s="2">
        <f>R$10*'Look Up Data'!$F$80</f>
        <v>315.83116116529152</v>
      </c>
      <c r="S20" s="2">
        <f>S$10*'Look Up Data'!$F$80</f>
        <v>315.83116116529152</v>
      </c>
      <c r="T20" s="2">
        <f>T$10*'Look Up Data'!$F$80</f>
        <v>315.83116116529152</v>
      </c>
      <c r="U20" s="2">
        <f>U$10*'Look Up Data'!$F$80</f>
        <v>315.83116116529152</v>
      </c>
    </row>
    <row r="21" spans="1:21" s="176" customFormat="1">
      <c r="A21" s="210" t="s">
        <v>107</v>
      </c>
      <c r="B21" s="177">
        <f>B$10*'Look Up Data'!$B$80</f>
        <v>1.5777227200000004E-2</v>
      </c>
      <c r="C21" s="177">
        <f>C$10*'Look Up Data'!$B$80</f>
        <v>1.5777227200000004E-2</v>
      </c>
      <c r="D21" s="177">
        <f>D$10*'Look Up Data'!$B$80</f>
        <v>1.5777227200000004E-2</v>
      </c>
      <c r="E21" s="177">
        <f>E$10*'Look Up Data'!$B$80</f>
        <v>1.5777227200000004E-2</v>
      </c>
      <c r="F21" s="177">
        <f>F$10*'Look Up Data'!$B$80</f>
        <v>1.5777227200000004E-2</v>
      </c>
      <c r="G21" s="177">
        <f>G$10*'Look Up Data'!$B$80</f>
        <v>1.5777227200000004E-2</v>
      </c>
      <c r="H21" s="177">
        <f>H$10*'Look Up Data'!$B$80</f>
        <v>1.5777227200000004E-2</v>
      </c>
      <c r="I21" s="177">
        <f>I$10*'Look Up Data'!$B$80</f>
        <v>1.5777227200000004E-2</v>
      </c>
      <c r="J21" s="177">
        <f>J$10*'Look Up Data'!$B$80</f>
        <v>1.5777227200000004E-2</v>
      </c>
      <c r="K21" s="177">
        <f>K$10*'Look Up Data'!$B$80</f>
        <v>1.5777227200000004E-2</v>
      </c>
      <c r="L21" s="177">
        <f>L$10*'Look Up Data'!$B$80</f>
        <v>1.5777227200000004E-2</v>
      </c>
      <c r="M21" s="177">
        <f>M$10*'Look Up Data'!$B$80</f>
        <v>1.5777227200000004E-2</v>
      </c>
      <c r="N21" s="177">
        <f>N$10*'Look Up Data'!$B$80</f>
        <v>1.5777227200000004E-2</v>
      </c>
      <c r="O21" s="177">
        <f>O$10*'Look Up Data'!$B$80</f>
        <v>1.5777227200000004E-2</v>
      </c>
      <c r="P21" s="177">
        <f>P$10*'Look Up Data'!$B$80</f>
        <v>1.5777227200000004E-2</v>
      </c>
      <c r="Q21" s="177">
        <f>Q$10*'Look Up Data'!$B$80</f>
        <v>1.5777227200000004E-2</v>
      </c>
      <c r="R21" s="177">
        <f>R$10*'Look Up Data'!$B$80</f>
        <v>1.5777227200000004E-2</v>
      </c>
      <c r="S21" s="177">
        <f>S$10*'Look Up Data'!$B$80</f>
        <v>1.5777227200000004E-2</v>
      </c>
      <c r="T21" s="177">
        <f>T$10*'Look Up Data'!$B$80</f>
        <v>1.5777227200000004E-2</v>
      </c>
      <c r="U21" s="177">
        <f>U$10*'Look Up Data'!$B$80</f>
        <v>1.5777227200000004E-2</v>
      </c>
    </row>
    <row r="22" spans="1:21" s="181" customFormat="1">
      <c r="A22" s="188"/>
    </row>
    <row r="23" spans="1:21" s="181" customFormat="1">
      <c r="A23" s="190" t="s">
        <v>108</v>
      </c>
    </row>
    <row r="24" spans="1:21">
      <c r="A24" s="209" t="s">
        <v>105</v>
      </c>
      <c r="B24" s="139">
        <f>B18*'Look Up Data'!J$51</f>
        <v>12328.487055360001</v>
      </c>
      <c r="C24" s="139">
        <f>C18*'Look Up Data'!K$51</f>
        <v>12548.638609920001</v>
      </c>
      <c r="D24" s="139">
        <f>D18*'Look Up Data'!L$51</f>
        <v>12768.790164480002</v>
      </c>
      <c r="E24" s="139">
        <f>E18*'Look Up Data'!M$51</f>
        <v>12988.941719040002</v>
      </c>
      <c r="F24" s="139">
        <f>F18*'Look Up Data'!N$51</f>
        <v>13282.477125120002</v>
      </c>
      <c r="G24" s="139">
        <f>G18*'Look Up Data'!O$51</f>
        <v>13282.477125120002</v>
      </c>
      <c r="H24" s="139">
        <f>H18*'Look Up Data'!P$51</f>
        <v>13282.477125120002</v>
      </c>
      <c r="I24" s="139">
        <f>I18*'Look Up Data'!Q$51</f>
        <v>13282.477125120002</v>
      </c>
      <c r="J24" s="139">
        <f>J18*'Look Up Data'!R$51</f>
        <v>13282.477125120002</v>
      </c>
      <c r="K24" s="139">
        <f>K18*'Look Up Data'!S$51</f>
        <v>13282.477125120002</v>
      </c>
      <c r="L24" s="139">
        <f>L18*'Look Up Data'!T$51</f>
        <v>13282.477125120002</v>
      </c>
      <c r="M24" s="139">
        <f>M18*'Look Up Data'!U$51</f>
        <v>13282.477125120002</v>
      </c>
      <c r="N24" s="139">
        <f>N18*'Look Up Data'!V$51</f>
        <v>13282.477125120002</v>
      </c>
      <c r="O24" s="139">
        <f>O18*'Look Up Data'!W$51</f>
        <v>13282.477125120002</v>
      </c>
      <c r="P24" s="139">
        <f>P18*'Look Up Data'!X$51</f>
        <v>13282.477125120002</v>
      </c>
      <c r="Q24" s="139">
        <f>Q18*'Look Up Data'!Y$51</f>
        <v>13282.477125120002</v>
      </c>
      <c r="R24" s="139">
        <f>R18*'Look Up Data'!Z$51</f>
        <v>13282.477125120002</v>
      </c>
      <c r="S24" s="139">
        <f>S18*'Look Up Data'!AA$51</f>
        <v>13282.477125120002</v>
      </c>
      <c r="T24" s="139">
        <f>T18*'Look Up Data'!AB$51</f>
        <v>13282.477125120002</v>
      </c>
      <c r="U24" s="139">
        <f>U18*'Look Up Data'!AC$51</f>
        <v>13282.477125120002</v>
      </c>
    </row>
    <row r="25" spans="1:21">
      <c r="A25" s="209" t="s">
        <v>106</v>
      </c>
      <c r="B25" s="139">
        <f>B19*'Look Up Data'!J$52</f>
        <v>47.265864800000003</v>
      </c>
      <c r="C25" s="139">
        <f>C19*'Look Up Data'!K$52</f>
        <v>48.093276000000003</v>
      </c>
      <c r="D25" s="139">
        <f>D19*'Look Up Data'!L$52</f>
        <v>48.920687200000003</v>
      </c>
      <c r="E25" s="139">
        <f>E19*'Look Up Data'!M$52</f>
        <v>49.8515248</v>
      </c>
      <c r="F25" s="139">
        <f>F19*'Look Up Data'!N$52</f>
        <v>50.782362400000004</v>
      </c>
      <c r="G25" s="139">
        <f>G19*'Look Up Data'!O$52</f>
        <v>50.782362400000004</v>
      </c>
      <c r="H25" s="139">
        <f>H19*'Look Up Data'!P$52</f>
        <v>50.782362400000004</v>
      </c>
      <c r="I25" s="139">
        <f>I19*'Look Up Data'!Q$52</f>
        <v>50.782362400000004</v>
      </c>
      <c r="J25" s="139">
        <f>J19*'Look Up Data'!R$52</f>
        <v>50.782362400000004</v>
      </c>
      <c r="K25" s="139">
        <f>K19*'Look Up Data'!S$52</f>
        <v>50.782362400000004</v>
      </c>
      <c r="L25" s="139">
        <f>L19*'Look Up Data'!T$52</f>
        <v>50.782362400000004</v>
      </c>
      <c r="M25" s="139">
        <f>M19*'Look Up Data'!U$52</f>
        <v>50.782362400000004</v>
      </c>
      <c r="N25" s="139">
        <f>N19*'Look Up Data'!V$52</f>
        <v>50.782362400000004</v>
      </c>
      <c r="O25" s="139">
        <f>O19*'Look Up Data'!W$52</f>
        <v>50.782362400000004</v>
      </c>
      <c r="P25" s="139">
        <f>P19*'Look Up Data'!X$52</f>
        <v>50.782362400000004</v>
      </c>
      <c r="Q25" s="139">
        <f>Q19*'Look Up Data'!Y$52</f>
        <v>50.782362400000004</v>
      </c>
      <c r="R25" s="139">
        <f>R19*'Look Up Data'!Z$52</f>
        <v>50.782362400000004</v>
      </c>
      <c r="S25" s="139">
        <f>S19*'Look Up Data'!AA$52</f>
        <v>50.782362400000004</v>
      </c>
      <c r="T25" s="139">
        <f>T19*'Look Up Data'!AB$52</f>
        <v>50.782362400000004</v>
      </c>
      <c r="U25" s="139">
        <f>U19*'Look Up Data'!AC$52</f>
        <v>50.782362400000004</v>
      </c>
    </row>
    <row r="26" spans="1:21">
      <c r="A26" s="209" t="s">
        <v>23</v>
      </c>
      <c r="B26" s="139">
        <f>B20*'Look Up Data'!J$53</f>
        <v>18002.376186421618</v>
      </c>
      <c r="C26" s="139">
        <f>C20*'Look Up Data'!K$53</f>
        <v>18318.207347586907</v>
      </c>
      <c r="D26" s="139">
        <f>D20*'Look Up Data'!L$53</f>
        <v>18949.869669917491</v>
      </c>
      <c r="E26" s="139">
        <f>E20*'Look Up Data'!M$53</f>
        <v>19265.700831082784</v>
      </c>
      <c r="F26" s="139">
        <f>F20*'Look Up Data'!N$53</f>
        <v>19581.531992248074</v>
      </c>
      <c r="G26" s="139">
        <f>G20*'Look Up Data'!O$53</f>
        <v>19897.363153413367</v>
      </c>
      <c r="H26" s="139">
        <f>H20*'Look Up Data'!P$53</f>
        <v>20213.194314578657</v>
      </c>
      <c r="I26" s="139">
        <f>I20*'Look Up Data'!Q$53</f>
        <v>20529.025475743947</v>
      </c>
      <c r="J26" s="139">
        <f>J20*'Look Up Data'!R$53</f>
        <v>20844.85663690924</v>
      </c>
      <c r="K26" s="139">
        <f>K20*'Look Up Data'!S$53</f>
        <v>21160.68779807453</v>
      </c>
      <c r="L26" s="139">
        <f>L20*'Look Up Data'!T$53</f>
        <v>21792.350120405114</v>
      </c>
      <c r="M26" s="139">
        <f>M20*'Look Up Data'!U$53</f>
        <v>22108.181281570407</v>
      </c>
      <c r="N26" s="139">
        <f>N20*'Look Up Data'!V$53</f>
        <v>22424.012442735697</v>
      </c>
      <c r="O26" s="139">
        <f>O20*'Look Up Data'!W$53</f>
        <v>22739.84360390099</v>
      </c>
      <c r="P26" s="139">
        <f>P20*'Look Up Data'!X$53</f>
        <v>23055.67476506628</v>
      </c>
      <c r="Q26" s="139">
        <f>Q20*'Look Up Data'!Y$53</f>
        <v>23371.505926231574</v>
      </c>
      <c r="R26" s="139">
        <f>R20*'Look Up Data'!Z$53</f>
        <v>23687.337087396863</v>
      </c>
      <c r="S26" s="139">
        <f>S20*'Look Up Data'!AA$53</f>
        <v>24318.999409727447</v>
      </c>
      <c r="T26" s="139">
        <f>T20*'Look Up Data'!AB$53</f>
        <v>24634.83057089274</v>
      </c>
      <c r="U26" s="139">
        <f>U20*'Look Up Data'!AC$53</f>
        <v>24950.66173205803</v>
      </c>
    </row>
    <row r="27" spans="1:21" s="176" customFormat="1">
      <c r="A27" s="210" t="s">
        <v>107</v>
      </c>
      <c r="B27" s="211">
        <f>B21*'Look Up Data'!J$54</f>
        <v>12850.551554400003</v>
      </c>
      <c r="C27" s="211">
        <f>C21*'Look Up Data'!K$54</f>
        <v>13054.077785280004</v>
      </c>
      <c r="D27" s="211">
        <f>D21*'Look Up Data'!L$54</f>
        <v>13262.337184320004</v>
      </c>
      <c r="E27" s="211">
        <f>E21*'Look Up Data'!M$54</f>
        <v>13473.752028800003</v>
      </c>
      <c r="F27" s="211">
        <f>F21*'Look Up Data'!N$54</f>
        <v>13688.322318720004</v>
      </c>
      <c r="G27" s="211">
        <f>G21*'Look Up Data'!O$54</f>
        <v>13688.322318720004</v>
      </c>
      <c r="H27" s="211">
        <f>H21*'Look Up Data'!P$54</f>
        <v>13688.322318720004</v>
      </c>
      <c r="I27" s="211">
        <f>I21*'Look Up Data'!Q$54</f>
        <v>13688.322318720004</v>
      </c>
      <c r="J27" s="211">
        <f>J21*'Look Up Data'!R$54</f>
        <v>13688.322318720004</v>
      </c>
      <c r="K27" s="211">
        <f>K21*'Look Up Data'!S$54</f>
        <v>13688.322318720004</v>
      </c>
      <c r="L27" s="211">
        <f>L21*'Look Up Data'!T$54</f>
        <v>13688.322318720004</v>
      </c>
      <c r="M27" s="211">
        <f>M21*'Look Up Data'!U$54</f>
        <v>13688.322318720004</v>
      </c>
      <c r="N27" s="211">
        <f>N21*'Look Up Data'!V$54</f>
        <v>13688.322318720004</v>
      </c>
      <c r="O27" s="211">
        <f>O21*'Look Up Data'!W$54</f>
        <v>13688.322318720004</v>
      </c>
      <c r="P27" s="211">
        <f>P21*'Look Up Data'!X$54</f>
        <v>13688.322318720004</v>
      </c>
      <c r="Q27" s="211">
        <f>Q21*'Look Up Data'!Y$54</f>
        <v>13688.322318720004</v>
      </c>
      <c r="R27" s="211">
        <f>R21*'Look Up Data'!Z$54</f>
        <v>13688.322318720004</v>
      </c>
      <c r="S27" s="211">
        <f>S21*'Look Up Data'!AA$54</f>
        <v>13688.322318720004</v>
      </c>
      <c r="T27" s="211">
        <f>T21*'Look Up Data'!AB$54</f>
        <v>13688.322318720004</v>
      </c>
      <c r="U27" s="211">
        <f>U21*'Look Up Data'!AC$54</f>
        <v>13688.322318720004</v>
      </c>
    </row>
    <row r="28" spans="1:21" s="176" customFormat="1">
      <c r="A28" s="207"/>
    </row>
    <row r="29" spans="1:21">
      <c r="A29" s="187" t="s">
        <v>109</v>
      </c>
      <c r="B29" s="156">
        <f>B26</f>
        <v>18002.376186421618</v>
      </c>
      <c r="C29" s="156">
        <f t="shared" ref="C29:U29" si="4">C26</f>
        <v>18318.207347586907</v>
      </c>
      <c r="D29" s="156">
        <f t="shared" si="4"/>
        <v>18949.869669917491</v>
      </c>
      <c r="E29" s="156">
        <f t="shared" si="4"/>
        <v>19265.700831082784</v>
      </c>
      <c r="F29" s="156">
        <f t="shared" si="4"/>
        <v>19581.531992248074</v>
      </c>
      <c r="G29" s="156">
        <f t="shared" si="4"/>
        <v>19897.363153413367</v>
      </c>
      <c r="H29" s="156">
        <f t="shared" si="4"/>
        <v>20213.194314578657</v>
      </c>
      <c r="I29" s="156">
        <f t="shared" si="4"/>
        <v>20529.025475743947</v>
      </c>
      <c r="J29" s="156">
        <f t="shared" si="4"/>
        <v>20844.85663690924</v>
      </c>
      <c r="K29" s="156">
        <f t="shared" si="4"/>
        <v>21160.68779807453</v>
      </c>
      <c r="L29" s="156">
        <f t="shared" si="4"/>
        <v>21792.350120405114</v>
      </c>
      <c r="M29" s="156">
        <f t="shared" si="4"/>
        <v>22108.181281570407</v>
      </c>
      <c r="N29" s="156">
        <f t="shared" si="4"/>
        <v>22424.012442735697</v>
      </c>
      <c r="O29" s="156">
        <f t="shared" si="4"/>
        <v>22739.84360390099</v>
      </c>
      <c r="P29" s="156">
        <f t="shared" si="4"/>
        <v>23055.67476506628</v>
      </c>
      <c r="Q29" s="156">
        <f t="shared" si="4"/>
        <v>23371.505926231574</v>
      </c>
      <c r="R29" s="156">
        <f t="shared" si="4"/>
        <v>23687.337087396863</v>
      </c>
      <c r="S29" s="156">
        <f t="shared" si="4"/>
        <v>24318.999409727447</v>
      </c>
      <c r="T29" s="156">
        <f t="shared" si="4"/>
        <v>24634.83057089274</v>
      </c>
      <c r="U29" s="156">
        <f t="shared" si="4"/>
        <v>24950.66173205803</v>
      </c>
    </row>
    <row r="30" spans="1:21" s="219" customFormat="1">
      <c r="A30" s="217" t="s">
        <v>110</v>
      </c>
      <c r="B30" s="218">
        <f>SUM(B24:B25,B27)</f>
        <v>25226.304474560005</v>
      </c>
      <c r="C30" s="218">
        <f t="shared" ref="C30:U30" si="5">SUM(C24:C25,C27)</f>
        <v>25650.809671200004</v>
      </c>
      <c r="D30" s="218">
        <f t="shared" si="5"/>
        <v>26080.048036000007</v>
      </c>
      <c r="E30" s="218">
        <f t="shared" si="5"/>
        <v>26512.545272640004</v>
      </c>
      <c r="F30" s="218">
        <f t="shared" si="5"/>
        <v>27021.581806240007</v>
      </c>
      <c r="G30" s="218">
        <f t="shared" si="5"/>
        <v>27021.581806240007</v>
      </c>
      <c r="H30" s="218">
        <f t="shared" si="5"/>
        <v>27021.581806240007</v>
      </c>
      <c r="I30" s="218">
        <f t="shared" si="5"/>
        <v>27021.581806240007</v>
      </c>
      <c r="J30" s="218">
        <f t="shared" si="5"/>
        <v>27021.581806240007</v>
      </c>
      <c r="K30" s="218">
        <f t="shared" si="5"/>
        <v>27021.581806240007</v>
      </c>
      <c r="L30" s="218">
        <f t="shared" si="5"/>
        <v>27021.581806240007</v>
      </c>
      <c r="M30" s="218">
        <f t="shared" si="5"/>
        <v>27021.581806240007</v>
      </c>
      <c r="N30" s="218">
        <f t="shared" si="5"/>
        <v>27021.581806240007</v>
      </c>
      <c r="O30" s="218">
        <f t="shared" si="5"/>
        <v>27021.581806240007</v>
      </c>
      <c r="P30" s="218">
        <f t="shared" si="5"/>
        <v>27021.581806240007</v>
      </c>
      <c r="Q30" s="218">
        <f t="shared" si="5"/>
        <v>27021.581806240007</v>
      </c>
      <c r="R30" s="218">
        <f t="shared" si="5"/>
        <v>27021.581806240007</v>
      </c>
      <c r="S30" s="218">
        <f t="shared" si="5"/>
        <v>27021.581806240007</v>
      </c>
      <c r="T30" s="218">
        <f t="shared" si="5"/>
        <v>27021.581806240007</v>
      </c>
      <c r="U30" s="218">
        <f t="shared" si="5"/>
        <v>27021.581806240007</v>
      </c>
    </row>
    <row r="31" spans="1:21" s="181" customFormat="1">
      <c r="A31" s="188"/>
    </row>
    <row r="32" spans="1:21" s="216" customFormat="1">
      <c r="A32" s="215" t="s">
        <v>111</v>
      </c>
      <c r="B32" s="220">
        <f>(1-'VMT-PHT Savings - Storm Close'!$I$7)^B3</f>
        <v>0.98</v>
      </c>
      <c r="C32" s="220">
        <f>(1-'VMT-PHT Savings - Storm Close'!$I$7)^C3</f>
        <v>0.96039999999999992</v>
      </c>
      <c r="D32" s="220">
        <f>(1-'VMT-PHT Savings - Storm Close'!$I$7)^D3</f>
        <v>0.94119199999999992</v>
      </c>
      <c r="E32" s="220">
        <f>(1-'VMT-PHT Savings - Storm Close'!$I$7)^E3</f>
        <v>0.92236815999999988</v>
      </c>
      <c r="F32" s="220">
        <f>(1-'VMT-PHT Savings - Storm Close'!$I$7)^F3</f>
        <v>0.90392079679999982</v>
      </c>
      <c r="G32" s="220">
        <f>(1-'VMT-PHT Savings - Storm Close'!$I$7)^G3</f>
        <v>0.8858423808639998</v>
      </c>
      <c r="H32" s="220">
        <f>(1-'VMT-PHT Savings - Storm Close'!$I$7)^H3</f>
        <v>0.86812553324671982</v>
      </c>
      <c r="I32" s="220">
        <f>(1-'VMT-PHT Savings - Storm Close'!$I$7)^I3</f>
        <v>0.85076302258178538</v>
      </c>
      <c r="J32" s="220">
        <f>(1-'VMT-PHT Savings - Storm Close'!$I$7)^J3</f>
        <v>0.83374776213014967</v>
      </c>
      <c r="K32" s="220">
        <f>(1-'VMT-PHT Savings - Storm Close'!$I$7)^K3</f>
        <v>0.81707280688754658</v>
      </c>
      <c r="L32" s="220">
        <f>(1-'VMT-PHT Savings - Storm Close'!$I$7)^L3</f>
        <v>0.80073135074979562</v>
      </c>
      <c r="M32" s="220">
        <f>(1-'VMT-PHT Savings - Storm Close'!$I$7)^M3</f>
        <v>0.78471672373479973</v>
      </c>
      <c r="N32" s="220">
        <f>(1-'VMT-PHT Savings - Storm Close'!$I$7)^N3</f>
        <v>0.76902238926010369</v>
      </c>
      <c r="O32" s="220">
        <f>(1-'VMT-PHT Savings - Storm Close'!$I$7)^O3</f>
        <v>0.7536419414749016</v>
      </c>
      <c r="P32" s="220">
        <f>(1-'VMT-PHT Savings - Storm Close'!$I$7)^P3</f>
        <v>0.73856910264540354</v>
      </c>
      <c r="Q32" s="220">
        <f>(1-'VMT-PHT Savings - Storm Close'!$I$7)^Q3</f>
        <v>0.72379772059249547</v>
      </c>
      <c r="R32" s="220">
        <f>(1-'VMT-PHT Savings - Storm Close'!$I$7)^R3</f>
        <v>0.70932176618064557</v>
      </c>
      <c r="S32" s="220">
        <f>(1-'VMT-PHT Savings - Storm Close'!$I$7)^S3</f>
        <v>0.69513533085703261</v>
      </c>
      <c r="T32" s="220">
        <f>(1-'VMT-PHT Savings - Storm Close'!$I$7)^T3</f>
        <v>0.68123262423989195</v>
      </c>
      <c r="U32" s="220">
        <f>(1-'VMT-PHT Savings - Storm Close'!$I$7)^U3</f>
        <v>0.66760797175509412</v>
      </c>
    </row>
    <row r="34" spans="1:21" s="221" customFormat="1">
      <c r="A34" s="222" t="s">
        <v>112</v>
      </c>
    </row>
    <row r="35" spans="1:21">
      <c r="A35" s="209" t="s">
        <v>105</v>
      </c>
      <c r="B35" s="2">
        <f t="shared" ref="B35:U35" si="6">B18*B$32</f>
        <v>0.71916174489600004</v>
      </c>
      <c r="C35" s="2">
        <f t="shared" si="6"/>
        <v>0.70477850999808</v>
      </c>
      <c r="D35" s="2">
        <f t="shared" si="6"/>
        <v>0.69068293979811846</v>
      </c>
      <c r="E35" s="2">
        <f t="shared" si="6"/>
        <v>0.67686928100215604</v>
      </c>
      <c r="F35" s="2">
        <f t="shared" si="6"/>
        <v>0.6633318953821129</v>
      </c>
      <c r="G35" s="2">
        <f t="shared" si="6"/>
        <v>0.65006525747447064</v>
      </c>
      <c r="H35" s="2">
        <f t="shared" si="6"/>
        <v>0.63706395232498114</v>
      </c>
      <c r="I35" s="2">
        <f t="shared" si="6"/>
        <v>0.62432267327848157</v>
      </c>
      <c r="J35" s="2">
        <f t="shared" si="6"/>
        <v>0.61183621981291192</v>
      </c>
      <c r="K35" s="2">
        <f t="shared" si="6"/>
        <v>0.59959949541665358</v>
      </c>
      <c r="L35" s="2">
        <f t="shared" si="6"/>
        <v>0.58760750550832053</v>
      </c>
      <c r="M35" s="2">
        <f t="shared" si="6"/>
        <v>0.57585535539815413</v>
      </c>
      <c r="N35" s="2">
        <f t="shared" si="6"/>
        <v>0.56433824829019097</v>
      </c>
      <c r="O35" s="2">
        <f t="shared" si="6"/>
        <v>0.55305148332438714</v>
      </c>
      <c r="P35" s="2">
        <f t="shared" si="6"/>
        <v>0.54199045365789944</v>
      </c>
      <c r="Q35" s="2">
        <f t="shared" si="6"/>
        <v>0.53115064458474137</v>
      </c>
      <c r="R35" s="2">
        <f t="shared" si="6"/>
        <v>0.52052763169304661</v>
      </c>
      <c r="S35" s="2">
        <f t="shared" si="6"/>
        <v>0.51011707905918557</v>
      </c>
      <c r="T35" s="2">
        <f t="shared" si="6"/>
        <v>0.49991473747800191</v>
      </c>
      <c r="U35" s="2">
        <f t="shared" si="6"/>
        <v>0.48991644272844187</v>
      </c>
    </row>
    <row r="36" spans="1:21">
      <c r="A36" s="209" t="s">
        <v>106</v>
      </c>
      <c r="B36" s="2">
        <f t="shared" ref="B36:U36" si="7">B19*B$32</f>
        <v>1.0135787199999999E-3</v>
      </c>
      <c r="C36" s="2">
        <f t="shared" si="7"/>
        <v>9.9330714559999985E-4</v>
      </c>
      <c r="D36" s="2">
        <f t="shared" si="7"/>
        <v>9.7344100268799991E-4</v>
      </c>
      <c r="E36" s="2">
        <f t="shared" si="7"/>
        <v>9.5397218263423985E-4</v>
      </c>
      <c r="F36" s="2">
        <f t="shared" si="7"/>
        <v>9.3489273898155498E-4</v>
      </c>
      <c r="G36" s="2">
        <f t="shared" si="7"/>
        <v>9.1619488420192387E-4</v>
      </c>
      <c r="H36" s="2">
        <f t="shared" si="7"/>
        <v>8.9787098651788544E-4</v>
      </c>
      <c r="I36" s="2">
        <f t="shared" si="7"/>
        <v>8.7991356678752768E-4</v>
      </c>
      <c r="J36" s="2">
        <f t="shared" si="7"/>
        <v>8.6231529545177708E-4</v>
      </c>
      <c r="K36" s="2">
        <f t="shared" si="7"/>
        <v>8.4506898954274151E-4</v>
      </c>
      <c r="L36" s="2">
        <f t="shared" si="7"/>
        <v>8.2816760975188666E-4</v>
      </c>
      <c r="M36" s="2">
        <f t="shared" si="7"/>
        <v>8.1160425755684895E-4</v>
      </c>
      <c r="N36" s="2">
        <f t="shared" si="7"/>
        <v>7.9537217240571191E-4</v>
      </c>
      <c r="O36" s="2">
        <f t="shared" si="7"/>
        <v>7.7946472895759763E-4</v>
      </c>
      <c r="P36" s="2">
        <f t="shared" si="7"/>
        <v>7.6387543437844566E-4</v>
      </c>
      <c r="Q36" s="2">
        <f t="shared" si="7"/>
        <v>7.4859792569087675E-4</v>
      </c>
      <c r="R36" s="2">
        <f t="shared" si="7"/>
        <v>7.3362596717705926E-4</v>
      </c>
      <c r="S36" s="2">
        <f t="shared" si="7"/>
        <v>7.1895344783351803E-4</v>
      </c>
      <c r="T36" s="2">
        <f t="shared" si="7"/>
        <v>7.0457437887684767E-4</v>
      </c>
      <c r="U36" s="2">
        <f t="shared" si="7"/>
        <v>6.9048289129931069E-4</v>
      </c>
    </row>
    <row r="37" spans="1:21">
      <c r="A37" s="209" t="s">
        <v>23</v>
      </c>
      <c r="B37" s="2">
        <f t="shared" ref="B37:U37" si="8">B20*B$32</f>
        <v>309.51453794198568</v>
      </c>
      <c r="C37" s="2">
        <f t="shared" si="8"/>
        <v>303.32424718314593</v>
      </c>
      <c r="D37" s="2">
        <f t="shared" si="8"/>
        <v>297.25776223948304</v>
      </c>
      <c r="E37" s="2">
        <f t="shared" si="8"/>
        <v>291.31260699469334</v>
      </c>
      <c r="F37" s="2">
        <f t="shared" si="8"/>
        <v>285.48635485479946</v>
      </c>
      <c r="G37" s="2">
        <f t="shared" si="8"/>
        <v>279.77662775770347</v>
      </c>
      <c r="H37" s="2">
        <f t="shared" si="8"/>
        <v>274.18109520254939</v>
      </c>
      <c r="I37" s="2">
        <f t="shared" si="8"/>
        <v>268.69747329849838</v>
      </c>
      <c r="J37" s="2">
        <f t="shared" si="8"/>
        <v>263.32352383252845</v>
      </c>
      <c r="K37" s="2">
        <f t="shared" si="8"/>
        <v>258.05705335587783</v>
      </c>
      <c r="L37" s="2">
        <f t="shared" si="8"/>
        <v>252.89591228876029</v>
      </c>
      <c r="M37" s="2">
        <f t="shared" si="8"/>
        <v>247.83799404298506</v>
      </c>
      <c r="N37" s="2">
        <f t="shared" si="8"/>
        <v>242.88123416212537</v>
      </c>
      <c r="O37" s="2">
        <f t="shared" si="8"/>
        <v>238.02360947888283</v>
      </c>
      <c r="P37" s="2">
        <f t="shared" si="8"/>
        <v>233.26313728930518</v>
      </c>
      <c r="Q37" s="2">
        <f t="shared" si="8"/>
        <v>228.59787454351908</v>
      </c>
      <c r="R37" s="2">
        <f t="shared" si="8"/>
        <v>224.02591705264871</v>
      </c>
      <c r="S37" s="2">
        <f t="shared" si="8"/>
        <v>219.54539871159571</v>
      </c>
      <c r="T37" s="2">
        <f t="shared" si="8"/>
        <v>215.1544907373638</v>
      </c>
      <c r="U37" s="2">
        <f t="shared" si="8"/>
        <v>210.85140092261651</v>
      </c>
    </row>
    <row r="38" spans="1:21" s="176" customFormat="1">
      <c r="A38" s="210" t="s">
        <v>107</v>
      </c>
      <c r="B38" s="177">
        <f t="shared" ref="B38:U38" si="9">B21*B$32</f>
        <v>1.5461682656000003E-2</v>
      </c>
      <c r="C38" s="177">
        <f t="shared" si="9"/>
        <v>1.5152449002880002E-2</v>
      </c>
      <c r="D38" s="177">
        <f t="shared" si="9"/>
        <v>1.4849400022822402E-2</v>
      </c>
      <c r="E38" s="177">
        <f t="shared" si="9"/>
        <v>1.4552412022365954E-2</v>
      </c>
      <c r="F38" s="177">
        <f t="shared" si="9"/>
        <v>1.4261363781918633E-2</v>
      </c>
      <c r="G38" s="177">
        <f t="shared" si="9"/>
        <v>1.3976136506280261E-2</v>
      </c>
      <c r="H38" s="177">
        <f t="shared" si="9"/>
        <v>1.3696613776154656E-2</v>
      </c>
      <c r="I38" s="177">
        <f t="shared" si="9"/>
        <v>1.3422681500631561E-2</v>
      </c>
      <c r="J38" s="177">
        <f t="shared" si="9"/>
        <v>1.315422787061893E-2</v>
      </c>
      <c r="K38" s="177">
        <f t="shared" si="9"/>
        <v>1.289114331320655E-2</v>
      </c>
      <c r="L38" s="177">
        <f t="shared" si="9"/>
        <v>1.2633320446942419E-2</v>
      </c>
      <c r="M38" s="177">
        <f t="shared" si="9"/>
        <v>1.238065403800357E-2</v>
      </c>
      <c r="N38" s="177">
        <f t="shared" si="9"/>
        <v>1.2133040957243499E-2</v>
      </c>
      <c r="O38" s="177">
        <f t="shared" si="9"/>
        <v>1.1890380138098629E-2</v>
      </c>
      <c r="P38" s="177">
        <f t="shared" si="9"/>
        <v>1.1652572535336655E-2</v>
      </c>
      <c r="Q38" s="177">
        <f t="shared" si="9"/>
        <v>1.1419521084629923E-2</v>
      </c>
      <c r="R38" s="177">
        <f t="shared" si="9"/>
        <v>1.1191130662937324E-2</v>
      </c>
      <c r="S38" s="177">
        <f t="shared" si="9"/>
        <v>1.0967308049678577E-2</v>
      </c>
      <c r="T38" s="177">
        <f t="shared" si="9"/>
        <v>1.0747961888685006E-2</v>
      </c>
      <c r="U38" s="177">
        <f t="shared" si="9"/>
        <v>1.0533002650911305E-2</v>
      </c>
    </row>
    <row r="40" spans="1:21" s="221" customFormat="1">
      <c r="A40" s="222" t="s">
        <v>113</v>
      </c>
    </row>
    <row r="41" spans="1:21">
      <c r="A41" s="209" t="s">
        <v>105</v>
      </c>
      <c r="B41" s="156">
        <f t="shared" ref="B41:U41" si="10">B24*B$32</f>
        <v>12081.917314252802</v>
      </c>
      <c r="C41" s="156">
        <f t="shared" si="10"/>
        <v>12051.712520967169</v>
      </c>
      <c r="D41" s="156">
        <f t="shared" si="10"/>
        <v>12017.88315248726</v>
      </c>
      <c r="E41" s="156">
        <f t="shared" si="10"/>
        <v>11980.586273738161</v>
      </c>
      <c r="F41" s="156">
        <f t="shared" si="10"/>
        <v>12006.307306416244</v>
      </c>
      <c r="G41" s="156">
        <f t="shared" si="10"/>
        <v>11766.181160287917</v>
      </c>
      <c r="H41" s="156">
        <f t="shared" si="10"/>
        <v>11530.85753708216</v>
      </c>
      <c r="I41" s="156">
        <f t="shared" si="10"/>
        <v>11300.240386340516</v>
      </c>
      <c r="J41" s="156">
        <f t="shared" si="10"/>
        <v>11074.235578613705</v>
      </c>
      <c r="K41" s="156">
        <f t="shared" si="10"/>
        <v>10852.75086704143</v>
      </c>
      <c r="L41" s="156">
        <f t="shared" si="10"/>
        <v>10635.695849700602</v>
      </c>
      <c r="M41" s="156">
        <f t="shared" si="10"/>
        <v>10422.981932706589</v>
      </c>
      <c r="N41" s="156">
        <f t="shared" si="10"/>
        <v>10214.522294052456</v>
      </c>
      <c r="O41" s="156">
        <f t="shared" si="10"/>
        <v>10010.231848171408</v>
      </c>
      <c r="P41" s="156">
        <f t="shared" si="10"/>
        <v>9810.0272112079783</v>
      </c>
      <c r="Q41" s="156">
        <f t="shared" si="10"/>
        <v>9613.8266669838195</v>
      </c>
      <c r="R41" s="156">
        <f t="shared" si="10"/>
        <v>9421.550133644143</v>
      </c>
      <c r="S41" s="156">
        <f t="shared" si="10"/>
        <v>9233.1191309712594</v>
      </c>
      <c r="T41" s="156">
        <f t="shared" si="10"/>
        <v>9048.4567483518349</v>
      </c>
      <c r="U41" s="156">
        <f t="shared" si="10"/>
        <v>8867.4876133847974</v>
      </c>
    </row>
    <row r="42" spans="1:21">
      <c r="A42" s="209" t="s">
        <v>106</v>
      </c>
      <c r="B42" s="156">
        <f t="shared" ref="B42:U42" si="11">B25*B$32</f>
        <v>46.320547504000004</v>
      </c>
      <c r="C42" s="156">
        <f t="shared" si="11"/>
        <v>46.188782270399997</v>
      </c>
      <c r="D42" s="156">
        <f t="shared" si="11"/>
        <v>46.043759427142398</v>
      </c>
      <c r="E42" s="156">
        <f t="shared" si="11"/>
        <v>45.981459202970363</v>
      </c>
      <c r="F42" s="156">
        <f t="shared" si="11"/>
        <v>45.903233483994356</v>
      </c>
      <c r="G42" s="156">
        <f t="shared" si="11"/>
        <v>44.98516881431447</v>
      </c>
      <c r="H42" s="156">
        <f t="shared" si="11"/>
        <v>44.08546543802818</v>
      </c>
      <c r="I42" s="156">
        <f t="shared" si="11"/>
        <v>43.20375612926761</v>
      </c>
      <c r="J42" s="156">
        <f t="shared" si="11"/>
        <v>42.339681006682262</v>
      </c>
      <c r="K42" s="156">
        <f t="shared" si="11"/>
        <v>41.49288738654861</v>
      </c>
      <c r="L42" s="156">
        <f t="shared" si="11"/>
        <v>40.663029638817633</v>
      </c>
      <c r="M42" s="156">
        <f t="shared" si="11"/>
        <v>39.849769046041281</v>
      </c>
      <c r="N42" s="156">
        <f t="shared" si="11"/>
        <v>39.052773665120455</v>
      </c>
      <c r="O42" s="156">
        <f t="shared" si="11"/>
        <v>38.271718191818046</v>
      </c>
      <c r="P42" s="156">
        <f t="shared" si="11"/>
        <v>37.506283827981683</v>
      </c>
      <c r="Q42" s="156">
        <f t="shared" si="11"/>
        <v>36.756158151422049</v>
      </c>
      <c r="R42" s="156">
        <f t="shared" si="11"/>
        <v>36.021034988393609</v>
      </c>
      <c r="S42" s="156">
        <f t="shared" si="11"/>
        <v>35.300614288625738</v>
      </c>
      <c r="T42" s="156">
        <f t="shared" si="11"/>
        <v>34.594602002853222</v>
      </c>
      <c r="U42" s="156">
        <f t="shared" si="11"/>
        <v>33.902709962796159</v>
      </c>
    </row>
    <row r="43" spans="1:21">
      <c r="A43" s="209" t="s">
        <v>23</v>
      </c>
      <c r="B43" s="156">
        <f t="shared" ref="B43:U43" si="12">B26*B$32</f>
        <v>17642.328662693184</v>
      </c>
      <c r="C43" s="156">
        <f t="shared" si="12"/>
        <v>17592.806336622463</v>
      </c>
      <c r="D43" s="156">
        <f t="shared" si="12"/>
        <v>17835.46573436898</v>
      </c>
      <c r="E43" s="156">
        <f t="shared" si="12"/>
        <v>17770.069026676298</v>
      </c>
      <c r="F43" s="156">
        <f t="shared" si="12"/>
        <v>17700.154000997565</v>
      </c>
      <c r="G43" s="156">
        <f t="shared" si="12"/>
        <v>17625.927548735319</v>
      </c>
      <c r="H43" s="156">
        <f t="shared" si="12"/>
        <v>17547.590092963161</v>
      </c>
      <c r="I43" s="156">
        <f t="shared" si="12"/>
        <v>17465.335764402396</v>
      </c>
      <c r="J43" s="156">
        <f t="shared" si="12"/>
        <v>17379.352572946878</v>
      </c>
      <c r="K43" s="156">
        <f t="shared" si="12"/>
        <v>17289.822574843813</v>
      </c>
      <c r="L43" s="156">
        <f t="shared" si="12"/>
        <v>17449.817947924457</v>
      </c>
      <c r="M43" s="156">
        <f t="shared" si="12"/>
        <v>17348.659583008957</v>
      </c>
      <c r="N43" s="156">
        <f t="shared" si="12"/>
        <v>17244.567625510899</v>
      </c>
      <c r="O43" s="156">
        <f t="shared" si="12"/>
        <v>17137.699882479566</v>
      </c>
      <c r="P43" s="156">
        <f t="shared" si="12"/>
        <v>17028.209022119278</v>
      </c>
      <c r="Q43" s="156">
        <f t="shared" si="12"/>
        <v>16916.242716220411</v>
      </c>
      <c r="R43" s="156">
        <f t="shared" si="12"/>
        <v>16801.943778948651</v>
      </c>
      <c r="S43" s="156">
        <f t="shared" si="12"/>
        <v>16904.995700792868</v>
      </c>
      <c r="T43" s="156">
        <f t="shared" si="12"/>
        <v>16782.050277514376</v>
      </c>
      <c r="U43" s="156">
        <f t="shared" si="12"/>
        <v>16657.260672886707</v>
      </c>
    </row>
    <row r="44" spans="1:21" s="176" customFormat="1">
      <c r="A44" s="210" t="s">
        <v>107</v>
      </c>
      <c r="B44" s="212">
        <f t="shared" ref="B44:U44" si="13">B27*B$32</f>
        <v>12593.540523312002</v>
      </c>
      <c r="C44" s="212">
        <f t="shared" si="13"/>
        <v>12537.136304982914</v>
      </c>
      <c r="D44" s="212">
        <f t="shared" si="13"/>
        <v>12482.405659184513</v>
      </c>
      <c r="E44" s="212">
        <f t="shared" si="13"/>
        <v>12427.759867100525</v>
      </c>
      <c r="F44" s="212">
        <f t="shared" si="13"/>
        <v>12373.159217192608</v>
      </c>
      <c r="G44" s="212">
        <f t="shared" si="13"/>
        <v>12125.696032848755</v>
      </c>
      <c r="H44" s="212">
        <f t="shared" si="13"/>
        <v>11883.18211219178</v>
      </c>
      <c r="I44" s="212">
        <f t="shared" si="13"/>
        <v>11645.518469947943</v>
      </c>
      <c r="J44" s="212">
        <f t="shared" si="13"/>
        <v>11412.608100548985</v>
      </c>
      <c r="K44" s="212">
        <f t="shared" si="13"/>
        <v>11184.355938538003</v>
      </c>
      <c r="L44" s="212">
        <f t="shared" si="13"/>
        <v>10960.668819767243</v>
      </c>
      <c r="M44" s="212">
        <f t="shared" si="13"/>
        <v>10741.455443371899</v>
      </c>
      <c r="N44" s="212">
        <f t="shared" si="13"/>
        <v>10526.626334504459</v>
      </c>
      <c r="O44" s="212">
        <f t="shared" si="13"/>
        <v>10316.09380781437</v>
      </c>
      <c r="P44" s="212">
        <f t="shared" si="13"/>
        <v>10109.771931658082</v>
      </c>
      <c r="Q44" s="212">
        <f t="shared" si="13"/>
        <v>9907.5764930249206</v>
      </c>
      <c r="R44" s="212">
        <f t="shared" si="13"/>
        <v>9709.4249631644234</v>
      </c>
      <c r="S44" s="212">
        <f t="shared" si="13"/>
        <v>9515.2364639011339</v>
      </c>
      <c r="T44" s="212">
        <f t="shared" si="13"/>
        <v>9324.931734623111</v>
      </c>
      <c r="U44" s="212">
        <f t="shared" si="13"/>
        <v>9138.4330999306494</v>
      </c>
    </row>
    <row r="45" spans="1:21" s="181" customFormat="1">
      <c r="A45" s="188"/>
    </row>
    <row r="46" spans="1:21" s="224" customFormat="1">
      <c r="A46" s="213" t="s">
        <v>114</v>
      </c>
      <c r="B46" s="223">
        <f t="shared" ref="B46:U46" si="14">B43</f>
        <v>17642.328662693184</v>
      </c>
      <c r="C46" s="223">
        <f t="shared" si="14"/>
        <v>17592.806336622463</v>
      </c>
      <c r="D46" s="223">
        <f t="shared" si="14"/>
        <v>17835.46573436898</v>
      </c>
      <c r="E46" s="223">
        <f t="shared" si="14"/>
        <v>17770.069026676298</v>
      </c>
      <c r="F46" s="223">
        <f t="shared" si="14"/>
        <v>17700.154000997565</v>
      </c>
      <c r="G46" s="223">
        <f t="shared" si="14"/>
        <v>17625.927548735319</v>
      </c>
      <c r="H46" s="223">
        <f t="shared" si="14"/>
        <v>17547.590092963161</v>
      </c>
      <c r="I46" s="223">
        <f t="shared" si="14"/>
        <v>17465.335764402396</v>
      </c>
      <c r="J46" s="223">
        <f t="shared" si="14"/>
        <v>17379.352572946878</v>
      </c>
      <c r="K46" s="223">
        <f t="shared" si="14"/>
        <v>17289.822574843813</v>
      </c>
      <c r="L46" s="223">
        <f t="shared" si="14"/>
        <v>17449.817947924457</v>
      </c>
      <c r="M46" s="223">
        <f t="shared" si="14"/>
        <v>17348.659583008957</v>
      </c>
      <c r="N46" s="223">
        <f t="shared" si="14"/>
        <v>17244.567625510899</v>
      </c>
      <c r="O46" s="223">
        <f t="shared" si="14"/>
        <v>17137.699882479566</v>
      </c>
      <c r="P46" s="223">
        <f t="shared" si="14"/>
        <v>17028.209022119278</v>
      </c>
      <c r="Q46" s="223">
        <f t="shared" si="14"/>
        <v>16916.242716220411</v>
      </c>
      <c r="R46" s="223">
        <f t="shared" si="14"/>
        <v>16801.943778948651</v>
      </c>
      <c r="S46" s="223">
        <f t="shared" si="14"/>
        <v>16904.995700792868</v>
      </c>
      <c r="T46" s="223">
        <f t="shared" si="14"/>
        <v>16782.050277514376</v>
      </c>
      <c r="U46" s="223">
        <f t="shared" si="14"/>
        <v>16657.260672886707</v>
      </c>
    </row>
    <row r="47" spans="1:21" s="221" customFormat="1">
      <c r="A47" s="222" t="s">
        <v>115</v>
      </c>
      <c r="B47" s="225">
        <f>SUM(B41:B42,B44)</f>
        <v>24721.778385068803</v>
      </c>
      <c r="C47" s="225">
        <f t="shared" ref="C47:U47" si="15">SUM(C41:C42,C44)</f>
        <v>24635.037608220482</v>
      </c>
      <c r="D47" s="225">
        <f t="shared" si="15"/>
        <v>24546.332571098916</v>
      </c>
      <c r="E47" s="225">
        <f t="shared" si="15"/>
        <v>24454.327600041659</v>
      </c>
      <c r="F47" s="225">
        <f t="shared" si="15"/>
        <v>24425.369757092845</v>
      </c>
      <c r="G47" s="225">
        <f t="shared" si="15"/>
        <v>23936.862361950989</v>
      </c>
      <c r="H47" s="225">
        <f t="shared" si="15"/>
        <v>23458.125114711969</v>
      </c>
      <c r="I47" s="225">
        <f t="shared" si="15"/>
        <v>22988.962612417727</v>
      </c>
      <c r="J47" s="225">
        <f t="shared" si="15"/>
        <v>22529.183360169372</v>
      </c>
      <c r="K47" s="225">
        <f t="shared" si="15"/>
        <v>22078.599692965981</v>
      </c>
      <c r="L47" s="225">
        <f t="shared" si="15"/>
        <v>21637.027699106664</v>
      </c>
      <c r="M47" s="225">
        <f t="shared" si="15"/>
        <v>21204.28714512453</v>
      </c>
      <c r="N47" s="225">
        <f t="shared" si="15"/>
        <v>20780.201402222036</v>
      </c>
      <c r="O47" s="225">
        <f t="shared" si="15"/>
        <v>20364.597374177596</v>
      </c>
      <c r="P47" s="225">
        <f t="shared" si="15"/>
        <v>19957.305426694042</v>
      </c>
      <c r="Q47" s="225">
        <f t="shared" si="15"/>
        <v>19558.159318160164</v>
      </c>
      <c r="R47" s="225">
        <f t="shared" si="15"/>
        <v>19166.996131796957</v>
      </c>
      <c r="S47" s="225">
        <f t="shared" si="15"/>
        <v>18783.656209161018</v>
      </c>
      <c r="T47" s="225">
        <f t="shared" si="15"/>
        <v>18407.983084977801</v>
      </c>
      <c r="U47" s="225">
        <f t="shared" si="15"/>
        <v>18039.823423278242</v>
      </c>
    </row>
    <row r="49" spans="2:2">
      <c r="B49" s="6"/>
    </row>
    <row r="51" spans="2:2">
      <c r="B51" s="6"/>
    </row>
  </sheetData>
  <pageMargins left="0.7" right="0.7" top="0.75" bottom="0.75" header="0.3" footer="0.3"/>
  <pageSetup paperSize="3" scale="9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5D8F-B6A8-4EAD-B7DD-FDD2B0A9FA4B}">
  <sheetPr>
    <tabColor theme="9" tint="0.59999389629810485"/>
  </sheetPr>
  <dimension ref="A1"/>
  <sheetViews>
    <sheetView topLeftCell="A25" workbookViewId="0"/>
  </sheetViews>
  <sheetFormatPr defaultRowHeight="1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E090-3AF7-4F38-944B-A2E5DF57FD25}">
  <sheetPr>
    <tabColor theme="9" tint="0.59999389629810485"/>
  </sheetPr>
  <dimension ref="A3:C14"/>
  <sheetViews>
    <sheetView workbookViewId="0"/>
  </sheetViews>
  <sheetFormatPr defaultRowHeight="14.5"/>
  <cols>
    <col min="1" max="1" width="40.81640625" customWidth="1"/>
    <col min="2" max="3" width="13.81640625" customWidth="1"/>
  </cols>
  <sheetData>
    <row r="3" spans="1:3">
      <c r="B3" s="16"/>
      <c r="C3" s="16"/>
    </row>
    <row r="6" spans="1:3">
      <c r="C6" s="82"/>
    </row>
    <row r="7" spans="1:3">
      <c r="A7" s="35"/>
      <c r="B7" s="135"/>
    </row>
    <row r="8" spans="1:3">
      <c r="A8" s="35"/>
      <c r="B8" s="19"/>
    </row>
    <row r="11" spans="1:3">
      <c r="A11" t="s">
        <v>116</v>
      </c>
      <c r="B11" s="144">
        <v>0</v>
      </c>
    </row>
    <row r="12" spans="1:3">
      <c r="A12" t="s">
        <v>117</v>
      </c>
      <c r="B12" s="144">
        <v>0</v>
      </c>
    </row>
    <row r="13" spans="1:3">
      <c r="B13" s="144"/>
    </row>
    <row r="14" spans="1:3">
      <c r="A14" t="s">
        <v>118</v>
      </c>
      <c r="B14" s="14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68E0-443F-4E8D-A3AE-5C16C0B21695}">
  <sheetPr>
    <tabColor theme="9" tint="0.59999389629810485"/>
  </sheetPr>
  <dimension ref="A1:AN39"/>
  <sheetViews>
    <sheetView zoomScale="98" zoomScaleNormal="98" workbookViewId="0"/>
  </sheetViews>
  <sheetFormatPr defaultColWidth="8.81640625" defaultRowHeight="14.5"/>
  <cols>
    <col min="1" max="1" width="43.453125" customWidth="1"/>
    <col min="2" max="31" width="13.54296875" bestFit="1" customWidth="1"/>
    <col min="32" max="34" width="9.453125" bestFit="1" customWidth="1"/>
  </cols>
  <sheetData>
    <row r="1" spans="1:40" ht="18.5">
      <c r="A1" s="4" t="s">
        <v>119</v>
      </c>
      <c r="B1" s="8"/>
      <c r="C1" s="8"/>
      <c r="D1" s="8"/>
      <c r="E1" s="8"/>
      <c r="F1" s="8"/>
      <c r="G1" s="8"/>
      <c r="H1" s="8"/>
      <c r="I1" s="8"/>
      <c r="J1" s="8"/>
      <c r="K1" s="8"/>
      <c r="L1" s="8"/>
    </row>
    <row r="2" spans="1:40" ht="18.5">
      <c r="A2" s="4"/>
      <c r="B2" s="42">
        <v>2021</v>
      </c>
      <c r="C2" s="42">
        <v>2022</v>
      </c>
      <c r="D2" s="43">
        <v>2023</v>
      </c>
      <c r="E2" s="43">
        <v>2024</v>
      </c>
      <c r="F2" s="43">
        <v>2025</v>
      </c>
      <c r="G2">
        <f>F2+1</f>
        <v>2026</v>
      </c>
      <c r="H2">
        <f t="shared" ref="H2:X2" si="0">G2+1</f>
        <v>2027</v>
      </c>
      <c r="I2">
        <f t="shared" si="0"/>
        <v>2028</v>
      </c>
      <c r="J2">
        <f t="shared" si="0"/>
        <v>2029</v>
      </c>
      <c r="K2">
        <f t="shared" si="0"/>
        <v>2030</v>
      </c>
      <c r="L2">
        <f t="shared" si="0"/>
        <v>2031</v>
      </c>
      <c r="M2">
        <f t="shared" si="0"/>
        <v>2032</v>
      </c>
      <c r="N2">
        <f t="shared" si="0"/>
        <v>2033</v>
      </c>
      <c r="O2">
        <f t="shared" si="0"/>
        <v>2034</v>
      </c>
      <c r="P2">
        <f t="shared" si="0"/>
        <v>2035</v>
      </c>
      <c r="Q2">
        <f t="shared" si="0"/>
        <v>2036</v>
      </c>
      <c r="R2">
        <f t="shared" si="0"/>
        <v>2037</v>
      </c>
      <c r="S2">
        <f t="shared" si="0"/>
        <v>2038</v>
      </c>
      <c r="T2">
        <f t="shared" si="0"/>
        <v>2039</v>
      </c>
      <c r="U2">
        <f t="shared" si="0"/>
        <v>2040</v>
      </c>
      <c r="V2">
        <f t="shared" si="0"/>
        <v>2041</v>
      </c>
      <c r="W2">
        <f t="shared" si="0"/>
        <v>2042</v>
      </c>
      <c r="X2">
        <f t="shared" si="0"/>
        <v>2043</v>
      </c>
    </row>
    <row r="3" spans="1:40">
      <c r="A3" s="13" t="s">
        <v>120</v>
      </c>
      <c r="AK3" s="2"/>
      <c r="AL3" s="2"/>
      <c r="AM3" s="2"/>
      <c r="AN3" s="2"/>
    </row>
    <row r="4" spans="1:40">
      <c r="A4" s="18" t="s">
        <v>121</v>
      </c>
      <c r="B4" s="31" t="s">
        <v>4</v>
      </c>
      <c r="C4" s="31" t="s">
        <v>4</v>
      </c>
      <c r="D4" s="31" t="s">
        <v>4</v>
      </c>
      <c r="E4" s="49" t="e">
        <f>('Truck VMT VHT reductions'!$B$14/2*E23)+('Truck VMT VHT reductions'!$B$14/2*Emissions!E28)</f>
        <v>#REF!</v>
      </c>
      <c r="F4" s="49" t="e">
        <f>E4</f>
        <v>#REF!</v>
      </c>
      <c r="G4" s="49" t="e">
        <f t="shared" ref="G4:U4" si="1">F4</f>
        <v>#REF!</v>
      </c>
      <c r="H4" s="49" t="e">
        <f t="shared" si="1"/>
        <v>#REF!</v>
      </c>
      <c r="I4" s="49" t="e">
        <f t="shared" si="1"/>
        <v>#REF!</v>
      </c>
      <c r="J4" s="49" t="e">
        <f t="shared" si="1"/>
        <v>#REF!</v>
      </c>
      <c r="K4" s="49" t="e">
        <f t="shared" si="1"/>
        <v>#REF!</v>
      </c>
      <c r="L4" s="49" t="e">
        <f t="shared" si="1"/>
        <v>#REF!</v>
      </c>
      <c r="M4" s="49" t="e">
        <f t="shared" si="1"/>
        <v>#REF!</v>
      </c>
      <c r="N4" s="49" t="e">
        <f t="shared" si="1"/>
        <v>#REF!</v>
      </c>
      <c r="O4" s="49" t="e">
        <f t="shared" si="1"/>
        <v>#REF!</v>
      </c>
      <c r="P4" s="49" t="e">
        <f t="shared" si="1"/>
        <v>#REF!</v>
      </c>
      <c r="Q4" s="49" t="e">
        <f t="shared" si="1"/>
        <v>#REF!</v>
      </c>
      <c r="R4" s="49" t="e">
        <f t="shared" si="1"/>
        <v>#REF!</v>
      </c>
      <c r="S4" s="49" t="e">
        <f t="shared" si="1"/>
        <v>#REF!</v>
      </c>
      <c r="T4" s="49" t="e">
        <f t="shared" si="1"/>
        <v>#REF!</v>
      </c>
      <c r="U4" s="49" t="e">
        <f t="shared" si="1"/>
        <v>#REF!</v>
      </c>
      <c r="V4" s="49" t="e">
        <f t="shared" ref="V4:X4" si="2">U4</f>
        <v>#REF!</v>
      </c>
      <c r="W4" s="49" t="e">
        <f t="shared" si="2"/>
        <v>#REF!</v>
      </c>
      <c r="X4" s="49" t="e">
        <f t="shared" si="2"/>
        <v>#REF!</v>
      </c>
      <c r="Y4" s="49"/>
      <c r="Z4" s="49"/>
      <c r="AA4" s="49"/>
      <c r="AB4" s="49"/>
      <c r="AC4" s="49"/>
      <c r="AD4" s="49"/>
      <c r="AE4" s="49"/>
      <c r="AK4" s="5"/>
      <c r="AL4" s="5"/>
      <c r="AM4" s="5"/>
      <c r="AN4" s="5"/>
    </row>
    <row r="5" spans="1:40">
      <c r="A5" s="18" t="s">
        <v>122</v>
      </c>
      <c r="B5" s="31" t="s">
        <v>4</v>
      </c>
      <c r="C5" s="31" t="s">
        <v>4</v>
      </c>
      <c r="D5" s="31" t="s">
        <v>4</v>
      </c>
      <c r="E5" s="49" t="e">
        <f>('Truck VMT VHT reductions'!$B$14/2*E24)+('Truck VMT VHT reductions'!$B$14/2*Emissions!E29)</f>
        <v>#REF!</v>
      </c>
      <c r="F5" s="49" t="e">
        <f t="shared" ref="F5:U7" si="3">E5</f>
        <v>#REF!</v>
      </c>
      <c r="G5" s="49" t="e">
        <f t="shared" si="3"/>
        <v>#REF!</v>
      </c>
      <c r="H5" s="49" t="e">
        <f t="shared" si="3"/>
        <v>#REF!</v>
      </c>
      <c r="I5" s="49" t="e">
        <f t="shared" si="3"/>
        <v>#REF!</v>
      </c>
      <c r="J5" s="49" t="e">
        <f t="shared" si="3"/>
        <v>#REF!</v>
      </c>
      <c r="K5" s="49" t="e">
        <f t="shared" si="3"/>
        <v>#REF!</v>
      </c>
      <c r="L5" s="49" t="e">
        <f t="shared" si="3"/>
        <v>#REF!</v>
      </c>
      <c r="M5" s="49" t="e">
        <f t="shared" si="3"/>
        <v>#REF!</v>
      </c>
      <c r="N5" s="49" t="e">
        <f t="shared" si="3"/>
        <v>#REF!</v>
      </c>
      <c r="O5" s="49" t="e">
        <f t="shared" si="3"/>
        <v>#REF!</v>
      </c>
      <c r="P5" s="49" t="e">
        <f t="shared" si="3"/>
        <v>#REF!</v>
      </c>
      <c r="Q5" s="49" t="e">
        <f t="shared" si="3"/>
        <v>#REF!</v>
      </c>
      <c r="R5" s="49" t="e">
        <f t="shared" si="3"/>
        <v>#REF!</v>
      </c>
      <c r="S5" s="49" t="e">
        <f t="shared" si="3"/>
        <v>#REF!</v>
      </c>
      <c r="T5" s="49" t="e">
        <f t="shared" si="3"/>
        <v>#REF!</v>
      </c>
      <c r="U5" s="49" t="e">
        <f t="shared" si="3"/>
        <v>#REF!</v>
      </c>
      <c r="V5" s="49" t="e">
        <f t="shared" ref="V5:X5" si="4">U5</f>
        <v>#REF!</v>
      </c>
      <c r="W5" s="49" t="e">
        <f t="shared" si="4"/>
        <v>#REF!</v>
      </c>
      <c r="X5" s="49" t="e">
        <f t="shared" si="4"/>
        <v>#REF!</v>
      </c>
      <c r="Y5" s="49"/>
      <c r="Z5" s="49"/>
      <c r="AA5" s="49"/>
      <c r="AB5" s="49"/>
      <c r="AC5" s="49"/>
      <c r="AD5" s="49"/>
      <c r="AE5" s="49"/>
    </row>
    <row r="6" spans="1:40" ht="16.5">
      <c r="A6" s="73" t="s">
        <v>123</v>
      </c>
      <c r="B6" s="31" t="s">
        <v>4</v>
      </c>
      <c r="C6" s="31" t="s">
        <v>4</v>
      </c>
      <c r="D6" s="31" t="s">
        <v>4</v>
      </c>
      <c r="E6" s="49" t="e">
        <f>('Truck VMT VHT reductions'!$B$14/2*E25)+('Truck VMT VHT reductions'!$B$14/2*Emissions!E30)</f>
        <v>#REF!</v>
      </c>
      <c r="F6" s="49" t="e">
        <f t="shared" si="3"/>
        <v>#REF!</v>
      </c>
      <c r="G6" s="49" t="e">
        <f t="shared" si="3"/>
        <v>#REF!</v>
      </c>
      <c r="H6" s="49" t="e">
        <f t="shared" si="3"/>
        <v>#REF!</v>
      </c>
      <c r="I6" s="49" t="e">
        <f t="shared" si="3"/>
        <v>#REF!</v>
      </c>
      <c r="J6" s="49" t="e">
        <f t="shared" si="3"/>
        <v>#REF!</v>
      </c>
      <c r="K6" s="49" t="e">
        <f t="shared" si="3"/>
        <v>#REF!</v>
      </c>
      <c r="L6" s="49" t="e">
        <f t="shared" si="3"/>
        <v>#REF!</v>
      </c>
      <c r="M6" s="49" t="e">
        <f t="shared" si="3"/>
        <v>#REF!</v>
      </c>
      <c r="N6" s="49" t="e">
        <f t="shared" si="3"/>
        <v>#REF!</v>
      </c>
      <c r="O6" s="49" t="e">
        <f t="shared" si="3"/>
        <v>#REF!</v>
      </c>
      <c r="P6" s="49" t="e">
        <f t="shared" si="3"/>
        <v>#REF!</v>
      </c>
      <c r="Q6" s="49" t="e">
        <f t="shared" si="3"/>
        <v>#REF!</v>
      </c>
      <c r="R6" s="49" t="e">
        <f t="shared" si="3"/>
        <v>#REF!</v>
      </c>
      <c r="S6" s="49" t="e">
        <f t="shared" si="3"/>
        <v>#REF!</v>
      </c>
      <c r="T6" s="49" t="e">
        <f t="shared" si="3"/>
        <v>#REF!</v>
      </c>
      <c r="U6" s="49" t="e">
        <f t="shared" si="3"/>
        <v>#REF!</v>
      </c>
      <c r="V6" s="49" t="e">
        <f t="shared" ref="V6:X6" si="5">U6</f>
        <v>#REF!</v>
      </c>
      <c r="W6" s="49" t="e">
        <f t="shared" si="5"/>
        <v>#REF!</v>
      </c>
      <c r="X6" s="49" t="e">
        <f t="shared" si="5"/>
        <v>#REF!</v>
      </c>
      <c r="Y6" s="49"/>
      <c r="Z6" s="49"/>
      <c r="AA6" s="49"/>
      <c r="AB6" s="49"/>
      <c r="AC6" s="49"/>
      <c r="AD6" s="49"/>
      <c r="AE6" s="49"/>
      <c r="AK6" s="2"/>
      <c r="AL6" s="2"/>
      <c r="AM6" s="2"/>
      <c r="AN6" s="2"/>
    </row>
    <row r="7" spans="1:40">
      <c r="A7" s="18" t="s">
        <v>124</v>
      </c>
      <c r="B7" s="31" t="s">
        <v>4</v>
      </c>
      <c r="C7" s="31" t="s">
        <v>4</v>
      </c>
      <c r="D7" s="31" t="s">
        <v>4</v>
      </c>
      <c r="E7" s="49" t="e">
        <f>('Truck VMT VHT reductions'!$B$14/2*E26)+('Truck VMT VHT reductions'!$B$14/2*Emissions!E31)</f>
        <v>#REF!</v>
      </c>
      <c r="F7" s="49" t="e">
        <f t="shared" si="3"/>
        <v>#REF!</v>
      </c>
      <c r="G7" s="49" t="e">
        <f t="shared" si="3"/>
        <v>#REF!</v>
      </c>
      <c r="H7" s="49" t="e">
        <f t="shared" si="3"/>
        <v>#REF!</v>
      </c>
      <c r="I7" s="49" t="e">
        <f t="shared" si="3"/>
        <v>#REF!</v>
      </c>
      <c r="J7" s="49" t="e">
        <f t="shared" si="3"/>
        <v>#REF!</v>
      </c>
      <c r="K7" s="49" t="e">
        <f t="shared" si="3"/>
        <v>#REF!</v>
      </c>
      <c r="L7" s="49" t="e">
        <f t="shared" si="3"/>
        <v>#REF!</v>
      </c>
      <c r="M7" s="49" t="e">
        <f t="shared" si="3"/>
        <v>#REF!</v>
      </c>
      <c r="N7" s="49" t="e">
        <f t="shared" si="3"/>
        <v>#REF!</v>
      </c>
      <c r="O7" s="49" t="e">
        <f t="shared" si="3"/>
        <v>#REF!</v>
      </c>
      <c r="P7" s="49" t="e">
        <f t="shared" si="3"/>
        <v>#REF!</v>
      </c>
      <c r="Q7" s="49" t="e">
        <f t="shared" si="3"/>
        <v>#REF!</v>
      </c>
      <c r="R7" s="49" t="e">
        <f t="shared" si="3"/>
        <v>#REF!</v>
      </c>
      <c r="S7" s="49" t="e">
        <f t="shared" si="3"/>
        <v>#REF!</v>
      </c>
      <c r="T7" s="49" t="e">
        <f t="shared" si="3"/>
        <v>#REF!</v>
      </c>
      <c r="U7" s="49" t="e">
        <f t="shared" si="3"/>
        <v>#REF!</v>
      </c>
      <c r="V7" s="49" t="e">
        <f t="shared" ref="V7:X7" si="6">U7</f>
        <v>#REF!</v>
      </c>
      <c r="W7" s="49" t="e">
        <f t="shared" si="6"/>
        <v>#REF!</v>
      </c>
      <c r="X7" s="49" t="e">
        <f t="shared" si="6"/>
        <v>#REF!</v>
      </c>
      <c r="Y7" s="49"/>
      <c r="Z7" s="49"/>
      <c r="AA7" s="49"/>
      <c r="AB7" s="49"/>
      <c r="AC7" s="49"/>
      <c r="AD7" s="49"/>
      <c r="AE7" s="49"/>
      <c r="AK7" s="5"/>
      <c r="AL7" s="5"/>
      <c r="AM7" s="5"/>
      <c r="AN7" s="5"/>
    </row>
    <row r="8" spans="1:40" ht="15" customHeight="1">
      <c r="A8" s="41" t="s">
        <v>125</v>
      </c>
      <c r="B8" s="31" t="s">
        <v>4</v>
      </c>
      <c r="C8" s="31" t="s">
        <v>4</v>
      </c>
      <c r="D8" s="31" t="s">
        <v>4</v>
      </c>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6"/>
      <c r="AG8" s="6"/>
      <c r="AH8" s="6"/>
      <c r="AI8" s="6"/>
      <c r="AJ8" s="6"/>
    </row>
    <row r="9" spans="1:40" ht="15" customHeight="1">
      <c r="A9" s="18" t="s">
        <v>126</v>
      </c>
      <c r="B9" s="31"/>
      <c r="C9" s="31"/>
      <c r="D9" s="31"/>
      <c r="E9" s="32" t="e">
        <f>E4*'Look Up Data'!H51</f>
        <v>#REF!</v>
      </c>
      <c r="F9" s="32" t="e">
        <f>F4*'Look Up Data'!I51</f>
        <v>#REF!</v>
      </c>
      <c r="G9" s="32" t="e">
        <f>G4*'Look Up Data'!J51</f>
        <v>#REF!</v>
      </c>
      <c r="H9" s="32" t="e">
        <f>H4*'Look Up Data'!K51</f>
        <v>#REF!</v>
      </c>
      <c r="I9" s="32" t="e">
        <f>I4*'Look Up Data'!L51</f>
        <v>#REF!</v>
      </c>
      <c r="J9" s="32" t="e">
        <f>J4*'Look Up Data'!M51</f>
        <v>#REF!</v>
      </c>
      <c r="K9" s="32" t="e">
        <f>K4*'Look Up Data'!N51</f>
        <v>#REF!</v>
      </c>
      <c r="L9" s="32" t="e">
        <f>L4*'Look Up Data'!O51</f>
        <v>#REF!</v>
      </c>
      <c r="M9" s="32" t="e">
        <f>M4*'Look Up Data'!P51</f>
        <v>#REF!</v>
      </c>
      <c r="N9" s="32" t="e">
        <f>N4*'Look Up Data'!Q51</f>
        <v>#REF!</v>
      </c>
      <c r="O9" s="32" t="e">
        <f>O4*'Look Up Data'!R51</f>
        <v>#REF!</v>
      </c>
      <c r="P9" s="32" t="e">
        <f>P4*'Look Up Data'!S51</f>
        <v>#REF!</v>
      </c>
      <c r="Q9" s="32" t="e">
        <f>Q4*'Look Up Data'!T51</f>
        <v>#REF!</v>
      </c>
      <c r="R9" s="32" t="e">
        <f>R4*'Look Up Data'!U51</f>
        <v>#REF!</v>
      </c>
      <c r="S9" s="32" t="e">
        <f>S4*'Look Up Data'!V51</f>
        <v>#REF!</v>
      </c>
      <c r="T9" s="32" t="e">
        <f>T4*'Look Up Data'!W51</f>
        <v>#REF!</v>
      </c>
      <c r="U9" s="32" t="e">
        <f>U4*'Look Up Data'!X51</f>
        <v>#REF!</v>
      </c>
      <c r="V9" s="32" t="e">
        <f>V4*'Look Up Data'!Y51</f>
        <v>#REF!</v>
      </c>
      <c r="W9" s="32" t="e">
        <f>W4*'Look Up Data'!Z51</f>
        <v>#REF!</v>
      </c>
      <c r="X9" s="32" t="e">
        <f>X4*'Look Up Data'!AA51</f>
        <v>#REF!</v>
      </c>
      <c r="Y9" s="32"/>
      <c r="Z9" s="32"/>
      <c r="AA9" s="32"/>
      <c r="AB9" s="32"/>
      <c r="AC9" s="32"/>
      <c r="AD9" s="32"/>
      <c r="AE9" s="32"/>
      <c r="AF9" s="6"/>
      <c r="AG9" s="6"/>
      <c r="AH9" s="6"/>
      <c r="AI9" s="6"/>
      <c r="AJ9" s="6"/>
    </row>
    <row r="10" spans="1:40" ht="15" customHeight="1">
      <c r="A10" s="18" t="s">
        <v>127</v>
      </c>
      <c r="B10" s="31"/>
      <c r="C10" s="31"/>
      <c r="D10" s="31"/>
      <c r="E10" s="32" t="e">
        <f>E5*'Look Up Data'!H52</f>
        <v>#REF!</v>
      </c>
      <c r="F10" s="32" t="e">
        <f>F5*'Look Up Data'!I52</f>
        <v>#REF!</v>
      </c>
      <c r="G10" s="32" t="e">
        <f>G5*'Look Up Data'!J52</f>
        <v>#REF!</v>
      </c>
      <c r="H10" s="32" t="e">
        <f>H5*'Look Up Data'!K52</f>
        <v>#REF!</v>
      </c>
      <c r="I10" s="32" t="e">
        <f>I5*'Look Up Data'!L52</f>
        <v>#REF!</v>
      </c>
      <c r="J10" s="32" t="e">
        <f>J5*'Look Up Data'!M52</f>
        <v>#REF!</v>
      </c>
      <c r="K10" s="32" t="e">
        <f>K5*'Look Up Data'!N52</f>
        <v>#REF!</v>
      </c>
      <c r="L10" s="32" t="e">
        <f>L5*'Look Up Data'!O52</f>
        <v>#REF!</v>
      </c>
      <c r="M10" s="32" t="e">
        <f>M5*'Look Up Data'!P52</f>
        <v>#REF!</v>
      </c>
      <c r="N10" s="32" t="e">
        <f>N5*'Look Up Data'!Q52</f>
        <v>#REF!</v>
      </c>
      <c r="O10" s="32" t="e">
        <f>O5*'Look Up Data'!R52</f>
        <v>#REF!</v>
      </c>
      <c r="P10" s="32" t="e">
        <f>P5*'Look Up Data'!S52</f>
        <v>#REF!</v>
      </c>
      <c r="Q10" s="32" t="e">
        <f>Q5*'Look Up Data'!T52</f>
        <v>#REF!</v>
      </c>
      <c r="R10" s="32" t="e">
        <f>R5*'Look Up Data'!U52</f>
        <v>#REF!</v>
      </c>
      <c r="S10" s="32" t="e">
        <f>S5*'Look Up Data'!V52</f>
        <v>#REF!</v>
      </c>
      <c r="T10" s="32" t="e">
        <f>T5*'Look Up Data'!W52</f>
        <v>#REF!</v>
      </c>
      <c r="U10" s="32" t="e">
        <f>U5*'Look Up Data'!X52</f>
        <v>#REF!</v>
      </c>
      <c r="V10" s="32" t="e">
        <f>V5*'Look Up Data'!Y52</f>
        <v>#REF!</v>
      </c>
      <c r="W10" s="32" t="e">
        <f>W5*'Look Up Data'!Z52</f>
        <v>#REF!</v>
      </c>
      <c r="X10" s="32" t="e">
        <f>X5*'Look Up Data'!AA52</f>
        <v>#REF!</v>
      </c>
      <c r="Y10" s="32"/>
      <c r="Z10" s="32"/>
      <c r="AA10" s="32"/>
      <c r="AB10" s="32"/>
      <c r="AC10" s="32"/>
      <c r="AD10" s="32"/>
      <c r="AE10" s="32"/>
      <c r="AF10" s="6"/>
      <c r="AG10" s="6"/>
      <c r="AH10" s="6"/>
      <c r="AI10" s="6"/>
      <c r="AJ10" s="6"/>
    </row>
    <row r="11" spans="1:40" ht="15" customHeight="1">
      <c r="A11" s="73" t="s">
        <v>128</v>
      </c>
      <c r="B11" s="85"/>
      <c r="C11" s="85"/>
      <c r="D11" s="85"/>
      <c r="E11" s="33" t="e">
        <f>E6*'Look Up Data'!H53</f>
        <v>#REF!</v>
      </c>
      <c r="F11" s="33" t="e">
        <f>F6*'Look Up Data'!I53</f>
        <v>#REF!</v>
      </c>
      <c r="G11" s="33" t="e">
        <f>G6*'Look Up Data'!J53</f>
        <v>#REF!</v>
      </c>
      <c r="H11" s="33" t="e">
        <f>H6*'Look Up Data'!K53</f>
        <v>#REF!</v>
      </c>
      <c r="I11" s="33" t="e">
        <f>I6*'Look Up Data'!L53</f>
        <v>#REF!</v>
      </c>
      <c r="J11" s="33" t="e">
        <f>J6*'Look Up Data'!M53</f>
        <v>#REF!</v>
      </c>
      <c r="K11" s="33" t="e">
        <f>K6*'Look Up Data'!N53</f>
        <v>#REF!</v>
      </c>
      <c r="L11" s="33" t="e">
        <f>L6*'Look Up Data'!O53</f>
        <v>#REF!</v>
      </c>
      <c r="M11" s="33" t="e">
        <f>M6*'Look Up Data'!P53</f>
        <v>#REF!</v>
      </c>
      <c r="N11" s="33" t="e">
        <f>N6*'Look Up Data'!Q53</f>
        <v>#REF!</v>
      </c>
      <c r="O11" s="33" t="e">
        <f>O6*'Look Up Data'!R53</f>
        <v>#REF!</v>
      </c>
      <c r="P11" s="33" t="e">
        <f>P6*'Look Up Data'!S53</f>
        <v>#REF!</v>
      </c>
      <c r="Q11" s="33" t="e">
        <f>Q6*'Look Up Data'!T53</f>
        <v>#REF!</v>
      </c>
      <c r="R11" s="33" t="e">
        <f>R6*'Look Up Data'!U53</f>
        <v>#REF!</v>
      </c>
      <c r="S11" s="33" t="e">
        <f>S6*'Look Up Data'!V53</f>
        <v>#REF!</v>
      </c>
      <c r="T11" s="33" t="e">
        <f>T6*'Look Up Data'!W53</f>
        <v>#REF!</v>
      </c>
      <c r="U11" s="33" t="e">
        <f>U6*'Look Up Data'!X53</f>
        <v>#REF!</v>
      </c>
      <c r="V11" s="33" t="e">
        <f>V6*'Look Up Data'!Y53</f>
        <v>#REF!</v>
      </c>
      <c r="W11" s="33" t="e">
        <f>W6*'Look Up Data'!Z53</f>
        <v>#REF!</v>
      </c>
      <c r="X11" s="33" t="e">
        <f>X6*'Look Up Data'!AA53</f>
        <v>#REF!</v>
      </c>
      <c r="Y11" s="32"/>
      <c r="Z11" s="32"/>
      <c r="AA11" s="32"/>
      <c r="AB11" s="32"/>
      <c r="AC11" s="32"/>
      <c r="AD11" s="32"/>
      <c r="AE11" s="32"/>
      <c r="AF11" s="6"/>
      <c r="AG11" s="6"/>
      <c r="AH11" s="6"/>
      <c r="AI11" s="6"/>
      <c r="AJ11" s="6"/>
    </row>
    <row r="12" spans="1:40" ht="15" customHeight="1">
      <c r="A12" s="18" t="s">
        <v>129</v>
      </c>
      <c r="B12" s="31"/>
      <c r="C12" s="31"/>
      <c r="D12" s="31"/>
      <c r="E12" s="32" t="e">
        <f>E7*'Look Up Data'!H54</f>
        <v>#REF!</v>
      </c>
      <c r="F12" s="32" t="e">
        <f>F7*'Look Up Data'!I54</f>
        <v>#REF!</v>
      </c>
      <c r="G12" s="32" t="e">
        <f>G7*'Look Up Data'!J54</f>
        <v>#REF!</v>
      </c>
      <c r="H12" s="32" t="e">
        <f>H7*'Look Up Data'!K54</f>
        <v>#REF!</v>
      </c>
      <c r="I12" s="32" t="e">
        <f>I7*'Look Up Data'!L54</f>
        <v>#REF!</v>
      </c>
      <c r="J12" s="32" t="e">
        <f>J7*'Look Up Data'!M54</f>
        <v>#REF!</v>
      </c>
      <c r="K12" s="32" t="e">
        <f>K7*'Look Up Data'!N54</f>
        <v>#REF!</v>
      </c>
      <c r="L12" s="32" t="e">
        <f>L7*'Look Up Data'!O54</f>
        <v>#REF!</v>
      </c>
      <c r="M12" s="32" t="e">
        <f>M7*'Look Up Data'!P54</f>
        <v>#REF!</v>
      </c>
      <c r="N12" s="32" t="e">
        <f>N7*'Look Up Data'!Q54</f>
        <v>#REF!</v>
      </c>
      <c r="O12" s="32" t="e">
        <f>O7*'Look Up Data'!R54</f>
        <v>#REF!</v>
      </c>
      <c r="P12" s="32" t="e">
        <f>P7*'Look Up Data'!S54</f>
        <v>#REF!</v>
      </c>
      <c r="Q12" s="32" t="e">
        <f>Q7*'Look Up Data'!T54</f>
        <v>#REF!</v>
      </c>
      <c r="R12" s="32" t="e">
        <f>R7*'Look Up Data'!U54</f>
        <v>#REF!</v>
      </c>
      <c r="S12" s="32" t="e">
        <f>S7*'Look Up Data'!V54</f>
        <v>#REF!</v>
      </c>
      <c r="T12" s="32" t="e">
        <f>T7*'Look Up Data'!W54</f>
        <v>#REF!</v>
      </c>
      <c r="U12" s="32" t="e">
        <f>U7*'Look Up Data'!X54</f>
        <v>#REF!</v>
      </c>
      <c r="V12" s="32" t="e">
        <f>V7*'Look Up Data'!Y54</f>
        <v>#REF!</v>
      </c>
      <c r="W12" s="32" t="e">
        <f>W7*'Look Up Data'!Z54</f>
        <v>#REF!</v>
      </c>
      <c r="X12" s="32" t="e">
        <f>X7*'Look Up Data'!AA54</f>
        <v>#REF!</v>
      </c>
      <c r="Y12" s="32"/>
      <c r="Z12" s="32"/>
      <c r="AA12" s="32"/>
      <c r="AB12" s="32"/>
      <c r="AC12" s="32"/>
      <c r="AD12" s="32"/>
      <c r="AE12" s="32"/>
      <c r="AF12" s="6"/>
      <c r="AG12" s="6"/>
      <c r="AH12" s="6"/>
      <c r="AI12" s="6"/>
      <c r="AJ12" s="6"/>
    </row>
    <row r="13" spans="1:40" ht="15" customHeight="1">
      <c r="A13" s="24" t="s">
        <v>130</v>
      </c>
      <c r="B13" s="85"/>
      <c r="C13" s="85"/>
      <c r="D13" s="85"/>
      <c r="E13" s="33" t="e">
        <f t="shared" ref="E13:F13" si="7">E9+E10+E12</f>
        <v>#REF!</v>
      </c>
      <c r="F13" s="33" t="e">
        <f t="shared" si="7"/>
        <v>#REF!</v>
      </c>
      <c r="G13" s="33" t="e">
        <f>G9+G10+G12</f>
        <v>#REF!</v>
      </c>
      <c r="H13" s="33" t="e">
        <f t="shared" ref="H13:U13" si="8">H9+H10+H12</f>
        <v>#REF!</v>
      </c>
      <c r="I13" s="33" t="e">
        <f t="shared" si="8"/>
        <v>#REF!</v>
      </c>
      <c r="J13" s="33" t="e">
        <f t="shared" si="8"/>
        <v>#REF!</v>
      </c>
      <c r="K13" s="33" t="e">
        <f t="shared" si="8"/>
        <v>#REF!</v>
      </c>
      <c r="L13" s="33" t="e">
        <f t="shared" si="8"/>
        <v>#REF!</v>
      </c>
      <c r="M13" s="33" t="e">
        <f t="shared" si="8"/>
        <v>#REF!</v>
      </c>
      <c r="N13" s="33" t="e">
        <f t="shared" si="8"/>
        <v>#REF!</v>
      </c>
      <c r="O13" s="33" t="e">
        <f t="shared" si="8"/>
        <v>#REF!</v>
      </c>
      <c r="P13" s="33" t="e">
        <f t="shared" si="8"/>
        <v>#REF!</v>
      </c>
      <c r="Q13" s="33" t="e">
        <f t="shared" si="8"/>
        <v>#REF!</v>
      </c>
      <c r="R13" s="33" t="e">
        <f t="shared" si="8"/>
        <v>#REF!</v>
      </c>
      <c r="S13" s="33" t="e">
        <f t="shared" si="8"/>
        <v>#REF!</v>
      </c>
      <c r="T13" s="33" t="e">
        <f t="shared" si="8"/>
        <v>#REF!</v>
      </c>
      <c r="U13" s="33" t="e">
        <f t="shared" si="8"/>
        <v>#REF!</v>
      </c>
      <c r="V13" s="33" t="e">
        <f t="shared" ref="V13:X13" si="9">V9+V10+V12</f>
        <v>#REF!</v>
      </c>
      <c r="W13" s="33" t="e">
        <f t="shared" si="9"/>
        <v>#REF!</v>
      </c>
      <c r="X13" s="33" t="e">
        <f t="shared" si="9"/>
        <v>#REF!</v>
      </c>
      <c r="Y13" s="33"/>
      <c r="Z13" s="33"/>
      <c r="AA13" s="33"/>
      <c r="AB13" s="33"/>
      <c r="AC13" s="33"/>
      <c r="AD13" s="33"/>
      <c r="AE13" s="33"/>
      <c r="AF13" s="6"/>
      <c r="AG13" s="6"/>
      <c r="AH13" s="6"/>
      <c r="AI13" s="6"/>
      <c r="AJ13" s="6"/>
    </row>
    <row r="14" spans="1:40">
      <c r="A14" s="24"/>
      <c r="B14" s="31"/>
      <c r="C14" s="31"/>
      <c r="D14" s="31"/>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6"/>
      <c r="AG14" s="6"/>
      <c r="AH14" s="6"/>
      <c r="AI14" s="6"/>
      <c r="AJ14" s="6"/>
    </row>
    <row r="16" spans="1:40">
      <c r="A16" s="44" t="s">
        <v>131</v>
      </c>
      <c r="B16" s="45">
        <v>2021</v>
      </c>
      <c r="C16" s="45">
        <v>2022</v>
      </c>
      <c r="D16" s="43">
        <v>2023</v>
      </c>
      <c r="E16" s="43">
        <v>2024</v>
      </c>
      <c r="F16" s="43">
        <v>2025</v>
      </c>
      <c r="G16" s="46">
        <f>F16+1</f>
        <v>2026</v>
      </c>
      <c r="H16" s="43">
        <f t="shared" ref="H16" si="10">G16+1</f>
        <v>2027</v>
      </c>
      <c r="I16" s="43">
        <f t="shared" ref="I16" si="11">H16+1</f>
        <v>2028</v>
      </c>
      <c r="J16" s="43">
        <f t="shared" ref="J16" si="12">I16+1</f>
        <v>2029</v>
      </c>
      <c r="K16" s="43">
        <f t="shared" ref="K16" si="13">J16+1</f>
        <v>2030</v>
      </c>
      <c r="L16" s="43">
        <f t="shared" ref="L16" si="14">K16+1</f>
        <v>2031</v>
      </c>
      <c r="M16" s="43">
        <f t="shared" ref="M16" si="15">L16+1</f>
        <v>2032</v>
      </c>
      <c r="N16" s="43">
        <f t="shared" ref="N16" si="16">M16+1</f>
        <v>2033</v>
      </c>
      <c r="O16" s="43">
        <f t="shared" ref="O16" si="17">N16+1</f>
        <v>2034</v>
      </c>
      <c r="P16" s="43">
        <f t="shared" ref="P16" si="18">O16+1</f>
        <v>2035</v>
      </c>
      <c r="Q16" s="43">
        <f t="shared" ref="Q16" si="19">P16+1</f>
        <v>2036</v>
      </c>
      <c r="R16" s="43">
        <f t="shared" ref="R16" si="20">Q16+1</f>
        <v>2037</v>
      </c>
      <c r="S16" s="43">
        <f t="shared" ref="S16" si="21">R16+1</f>
        <v>2038</v>
      </c>
      <c r="T16" s="43">
        <f t="shared" ref="T16" si="22">S16+1</f>
        <v>2039</v>
      </c>
      <c r="U16" s="43">
        <f t="shared" ref="U16" si="23">T16+1</f>
        <v>2040</v>
      </c>
      <c r="V16" s="43">
        <f t="shared" ref="V16" si="24">U16+1</f>
        <v>2041</v>
      </c>
      <c r="W16" s="43">
        <f t="shared" ref="W16" si="25">V16+1</f>
        <v>2042</v>
      </c>
      <c r="X16" s="43">
        <f t="shared" ref="X16" si="26">W16+1</f>
        <v>2043</v>
      </c>
      <c r="Y16" s="43">
        <f t="shared" ref="Y16" si="27">X16+1</f>
        <v>2044</v>
      </c>
      <c r="Z16" s="46">
        <f t="shared" ref="Z16" si="28">Y16+1</f>
        <v>2045</v>
      </c>
      <c r="AA16" s="43">
        <f t="shared" ref="AA16" si="29">Z16+1</f>
        <v>2046</v>
      </c>
      <c r="AB16" s="43">
        <f t="shared" ref="AB16" si="30">AA16+1</f>
        <v>2047</v>
      </c>
      <c r="AC16" s="43">
        <f t="shared" ref="AC16" si="31">AB16+1</f>
        <v>2048</v>
      </c>
      <c r="AD16" s="43">
        <f t="shared" ref="AD16" si="32">AC16+1</f>
        <v>2049</v>
      </c>
      <c r="AE16" s="43">
        <f t="shared" ref="AE16" si="33">AD16+1</f>
        <v>2050</v>
      </c>
      <c r="AK16" s="2"/>
      <c r="AL16" s="2"/>
      <c r="AM16" s="2"/>
      <c r="AN16" s="2"/>
    </row>
    <row r="17" spans="1:40">
      <c r="A17" s="13" t="s">
        <v>132</v>
      </c>
      <c r="B17" s="40"/>
      <c r="C17" s="40"/>
      <c r="G17" s="16"/>
      <c r="K17" s="16"/>
      <c r="Z17" s="16"/>
      <c r="AK17" s="2"/>
      <c r="AL17" s="2"/>
      <c r="AM17" s="2"/>
      <c r="AN17" s="2"/>
    </row>
    <row r="18" spans="1:40">
      <c r="A18" s="40" t="s">
        <v>133</v>
      </c>
      <c r="B18" s="50" t="e">
        <f>'Look Up Data'!E34*'Look Up Data'!#REF!</f>
        <v>#REF!</v>
      </c>
      <c r="C18" s="50" t="e">
        <f>'Look Up Data'!F34*'Look Up Data'!#REF!</f>
        <v>#REF!</v>
      </c>
      <c r="D18" s="50" t="e">
        <f>'Look Up Data'!G34*'Look Up Data'!#REF!</f>
        <v>#REF!</v>
      </c>
      <c r="E18" s="50" t="e">
        <f>'Look Up Data'!H34*'Look Up Data'!#REF!</f>
        <v>#REF!</v>
      </c>
      <c r="F18" s="50" t="e">
        <f>'Look Up Data'!I34*'Look Up Data'!#REF!</f>
        <v>#REF!</v>
      </c>
      <c r="G18" s="51" t="e">
        <f>F18*(1-'Look Up Data'!$L34)</f>
        <v>#REF!</v>
      </c>
      <c r="H18" s="52" t="e">
        <f>G18*(1-'Look Up Data'!$L34)</f>
        <v>#REF!</v>
      </c>
      <c r="I18" s="52" t="e">
        <f>H18*(1-'Look Up Data'!$L34)</f>
        <v>#REF!</v>
      </c>
      <c r="J18" s="52" t="e">
        <f>I18*(1-'Look Up Data'!$L34)</f>
        <v>#REF!</v>
      </c>
      <c r="K18" s="52" t="e">
        <f>J18*(1-'Look Up Data'!$L34)</f>
        <v>#REF!</v>
      </c>
      <c r="L18" s="52" t="e">
        <f>K18*(1-'Look Up Data'!$L34)</f>
        <v>#REF!</v>
      </c>
      <c r="M18" s="52" t="e">
        <f>L18*(1-'Look Up Data'!$L34)</f>
        <v>#REF!</v>
      </c>
      <c r="N18" s="52" t="e">
        <f>M18*(1-'Look Up Data'!$L34)</f>
        <v>#REF!</v>
      </c>
      <c r="O18" s="52" t="e">
        <f>N18*(1-'Look Up Data'!$L34)</f>
        <v>#REF!</v>
      </c>
      <c r="P18" s="52" t="e">
        <f>O18*(1-'Look Up Data'!$L34)</f>
        <v>#REF!</v>
      </c>
      <c r="Q18" s="52" t="e">
        <f>P18*(1-'Look Up Data'!$L34)</f>
        <v>#REF!</v>
      </c>
      <c r="R18" s="52" t="e">
        <f>Q18*(1-'Look Up Data'!$L34)</f>
        <v>#REF!</v>
      </c>
      <c r="S18" s="52" t="e">
        <f>R18*(1-'Look Up Data'!$L34)</f>
        <v>#REF!</v>
      </c>
      <c r="T18" s="52" t="e">
        <f>S18*(1-'Look Up Data'!$L34)</f>
        <v>#REF!</v>
      </c>
      <c r="U18" s="52" t="e">
        <f>T18*(1-'Look Up Data'!$L34)</f>
        <v>#REF!</v>
      </c>
      <c r="V18" s="52" t="e">
        <f>U18*(1-'Look Up Data'!$L34)</f>
        <v>#REF!</v>
      </c>
      <c r="W18" s="52" t="e">
        <f>V18*(1-'Look Up Data'!$L34)</f>
        <v>#REF!</v>
      </c>
      <c r="X18" s="52" t="e">
        <f>W18*(1-'Look Up Data'!$L34)</f>
        <v>#REF!</v>
      </c>
      <c r="Y18" s="52" t="e">
        <f>X18*(1-'Look Up Data'!$L34)</f>
        <v>#REF!</v>
      </c>
      <c r="Z18" s="52" t="e">
        <f>Y18*(1-'Look Up Data'!$L34)</f>
        <v>#REF!</v>
      </c>
      <c r="AA18" s="52" t="e">
        <f>Z18*(1-'Look Up Data'!$L34)</f>
        <v>#REF!</v>
      </c>
      <c r="AB18" s="52" t="e">
        <f>AA18*(1-'Look Up Data'!$L34)</f>
        <v>#REF!</v>
      </c>
      <c r="AC18" s="52" t="e">
        <f>AB18*(1-'Look Up Data'!$L34)</f>
        <v>#REF!</v>
      </c>
      <c r="AD18" s="52" t="e">
        <f>AC18*(1-'Look Up Data'!$L34)</f>
        <v>#REF!</v>
      </c>
      <c r="AE18" s="52" t="e">
        <f>AD18*(1-'Look Up Data'!$L34)</f>
        <v>#REF!</v>
      </c>
      <c r="AG18" t="e">
        <f>AE18/B18</f>
        <v>#REF!</v>
      </c>
      <c r="AK18" s="5"/>
      <c r="AL18" s="5"/>
      <c r="AM18" s="5"/>
      <c r="AN18" s="5"/>
    </row>
    <row r="19" spans="1:40">
      <c r="A19" s="40" t="s">
        <v>134</v>
      </c>
      <c r="B19" s="50" t="e">
        <f>'Look Up Data'!E35*'Look Up Data'!#REF!</f>
        <v>#REF!</v>
      </c>
      <c r="C19" s="50" t="e">
        <f>'Look Up Data'!F35*'Look Up Data'!#REF!</f>
        <v>#REF!</v>
      </c>
      <c r="D19" s="50" t="e">
        <f>'Look Up Data'!G35*'Look Up Data'!#REF!</f>
        <v>#REF!</v>
      </c>
      <c r="E19" s="50" t="e">
        <f>'Look Up Data'!H35*'Look Up Data'!#REF!</f>
        <v>#REF!</v>
      </c>
      <c r="F19" s="50" t="e">
        <f>'Look Up Data'!I35*'Look Up Data'!#REF!</f>
        <v>#REF!</v>
      </c>
      <c r="G19" s="51" t="e">
        <f>F19*(1-'Look Up Data'!$L35)</f>
        <v>#REF!</v>
      </c>
      <c r="H19" s="52" t="e">
        <f>G19*(1-'Look Up Data'!$L35)</f>
        <v>#REF!</v>
      </c>
      <c r="I19" s="52" t="e">
        <f>H19*(1-'Look Up Data'!$L35)</f>
        <v>#REF!</v>
      </c>
      <c r="J19" s="52" t="e">
        <f>I19*(1-'Look Up Data'!$L35)</f>
        <v>#REF!</v>
      </c>
      <c r="K19" s="52" t="e">
        <f>J19*(1-'Look Up Data'!$L35)</f>
        <v>#REF!</v>
      </c>
      <c r="L19" s="52" t="e">
        <f>K19*(1-'Look Up Data'!$L35)</f>
        <v>#REF!</v>
      </c>
      <c r="M19" s="52" t="e">
        <f>L19*(1-'Look Up Data'!$L35)</f>
        <v>#REF!</v>
      </c>
      <c r="N19" s="52" t="e">
        <f>M19*(1-'Look Up Data'!$L35)</f>
        <v>#REF!</v>
      </c>
      <c r="O19" s="52" t="e">
        <f>N19*(1-'Look Up Data'!$L35)</f>
        <v>#REF!</v>
      </c>
      <c r="P19" s="52" t="e">
        <f>O19*(1-'Look Up Data'!$L35)</f>
        <v>#REF!</v>
      </c>
      <c r="Q19" s="52" t="e">
        <f>P19*(1-'Look Up Data'!$L35)</f>
        <v>#REF!</v>
      </c>
      <c r="R19" s="52" t="e">
        <f>Q19*(1-'Look Up Data'!$L35)</f>
        <v>#REF!</v>
      </c>
      <c r="S19" s="52" t="e">
        <f>R19*(1-'Look Up Data'!$L35)</f>
        <v>#REF!</v>
      </c>
      <c r="T19" s="52" t="e">
        <f>S19*(1-'Look Up Data'!$L35)</f>
        <v>#REF!</v>
      </c>
      <c r="U19" s="52" t="e">
        <f>T19*(1-'Look Up Data'!$L35)</f>
        <v>#REF!</v>
      </c>
      <c r="V19" s="52" t="e">
        <f>U19*(1-'Look Up Data'!$L35)</f>
        <v>#REF!</v>
      </c>
      <c r="W19" s="52" t="e">
        <f>V19*(1-'Look Up Data'!$L35)</f>
        <v>#REF!</v>
      </c>
      <c r="X19" s="52" t="e">
        <f>W19*(1-'Look Up Data'!$L35)</f>
        <v>#REF!</v>
      </c>
      <c r="Y19" s="52" t="e">
        <f>X19*(1-'Look Up Data'!$L35)</f>
        <v>#REF!</v>
      </c>
      <c r="Z19" s="52" t="e">
        <f>Y19*(1-'Look Up Data'!$L35)</f>
        <v>#REF!</v>
      </c>
      <c r="AA19" s="52" t="e">
        <f>Z19*(1-'Look Up Data'!$L35)</f>
        <v>#REF!</v>
      </c>
      <c r="AB19" s="52" t="e">
        <f>AA19*(1-'Look Up Data'!$L35)</f>
        <v>#REF!</v>
      </c>
      <c r="AC19" s="52" t="e">
        <f>AB19*(1-'Look Up Data'!$L35)</f>
        <v>#REF!</v>
      </c>
      <c r="AD19" s="52" t="e">
        <f>AC19*(1-'Look Up Data'!$L35)</f>
        <v>#REF!</v>
      </c>
      <c r="AE19" s="52" t="e">
        <f>AD19*(1-'Look Up Data'!$L35)</f>
        <v>#REF!</v>
      </c>
    </row>
    <row r="20" spans="1:40" ht="16.5">
      <c r="A20" s="40" t="s">
        <v>135</v>
      </c>
      <c r="B20" s="50" t="e">
        <f>'Look Up Data'!E36*'Look Up Data'!#REF!</f>
        <v>#REF!</v>
      </c>
      <c r="C20" s="50" t="e">
        <f>'Look Up Data'!F36*'Look Up Data'!#REF!</f>
        <v>#REF!</v>
      </c>
      <c r="D20" s="50" t="e">
        <f>'Look Up Data'!G36*'Look Up Data'!#REF!</f>
        <v>#REF!</v>
      </c>
      <c r="E20" s="50" t="e">
        <f>'Look Up Data'!H36*'Look Up Data'!#REF!</f>
        <v>#REF!</v>
      </c>
      <c r="F20" s="50" t="e">
        <f>'Look Up Data'!I36*'Look Up Data'!#REF!</f>
        <v>#REF!</v>
      </c>
      <c r="G20" s="51" t="e">
        <f>F20*(1-'Look Up Data'!$L36)</f>
        <v>#REF!</v>
      </c>
      <c r="H20" s="52" t="e">
        <f>G20*(1-'Look Up Data'!$L36)</f>
        <v>#REF!</v>
      </c>
      <c r="I20" s="52" t="e">
        <f>H20*(1-'Look Up Data'!$L36)</f>
        <v>#REF!</v>
      </c>
      <c r="J20" s="52" t="e">
        <f>I20*(1-'Look Up Data'!$L36)</f>
        <v>#REF!</v>
      </c>
      <c r="K20" s="52" t="e">
        <f>J20*(1-'Look Up Data'!$L36)</f>
        <v>#REF!</v>
      </c>
      <c r="L20" s="52" t="e">
        <f>K20*(1-'Look Up Data'!$L36)</f>
        <v>#REF!</v>
      </c>
      <c r="M20" s="52" t="e">
        <f>L20*(1-'Look Up Data'!$L36)</f>
        <v>#REF!</v>
      </c>
      <c r="N20" s="52" t="e">
        <f>M20*(1-'Look Up Data'!$L36)</f>
        <v>#REF!</v>
      </c>
      <c r="O20" s="52" t="e">
        <f>N20*(1-'Look Up Data'!$L36)</f>
        <v>#REF!</v>
      </c>
      <c r="P20" s="52" t="e">
        <f>O20*(1-'Look Up Data'!$L36)</f>
        <v>#REF!</v>
      </c>
      <c r="Q20" s="52" t="e">
        <f>P20*(1-'Look Up Data'!$L36)</f>
        <v>#REF!</v>
      </c>
      <c r="R20" s="52" t="e">
        <f>Q20*(1-'Look Up Data'!$L36)</f>
        <v>#REF!</v>
      </c>
      <c r="S20" s="52" t="e">
        <f>R20*(1-'Look Up Data'!$L36)</f>
        <v>#REF!</v>
      </c>
      <c r="T20" s="52" t="e">
        <f>S20*(1-'Look Up Data'!$L36)</f>
        <v>#REF!</v>
      </c>
      <c r="U20" s="52" t="e">
        <f>T20*(1-'Look Up Data'!$L36)</f>
        <v>#REF!</v>
      </c>
      <c r="V20" s="52" t="e">
        <f>U20*(1-'Look Up Data'!$L36)</f>
        <v>#REF!</v>
      </c>
      <c r="W20" s="52" t="e">
        <f>V20*(1-'Look Up Data'!$L36)</f>
        <v>#REF!</v>
      </c>
      <c r="X20" s="52" t="e">
        <f>W20*(1-'Look Up Data'!$L36)</f>
        <v>#REF!</v>
      </c>
      <c r="Y20" s="52" t="e">
        <f>X20*(1-'Look Up Data'!$L36)</f>
        <v>#REF!</v>
      </c>
      <c r="Z20" s="52" t="e">
        <f>Y20*(1-'Look Up Data'!$L36)</f>
        <v>#REF!</v>
      </c>
      <c r="AA20" s="52" t="e">
        <f>Z20*(1-'Look Up Data'!$L36)</f>
        <v>#REF!</v>
      </c>
      <c r="AB20" s="52" t="e">
        <f>AA20*(1-'Look Up Data'!$L36)</f>
        <v>#REF!</v>
      </c>
      <c r="AC20" s="52" t="e">
        <f>AB20*(1-'Look Up Data'!$L36)</f>
        <v>#REF!</v>
      </c>
      <c r="AD20" s="52" t="e">
        <f>AC20*(1-'Look Up Data'!$L36)</f>
        <v>#REF!</v>
      </c>
      <c r="AE20" s="52" t="e">
        <f>AD20*(1-'Look Up Data'!$L36)</f>
        <v>#REF!</v>
      </c>
      <c r="AK20" s="2"/>
      <c r="AL20" s="2"/>
      <c r="AM20" s="2"/>
      <c r="AN20" s="2"/>
    </row>
    <row r="21" spans="1:40">
      <c r="A21" s="40" t="s">
        <v>136</v>
      </c>
      <c r="B21" s="50" t="e">
        <f>'Look Up Data'!E37*'Look Up Data'!#REF!</f>
        <v>#REF!</v>
      </c>
      <c r="C21" s="50" t="e">
        <f>'Look Up Data'!F37*'Look Up Data'!#REF!</f>
        <v>#REF!</v>
      </c>
      <c r="D21" s="50" t="e">
        <f>'Look Up Data'!G37*'Look Up Data'!#REF!</f>
        <v>#REF!</v>
      </c>
      <c r="E21" s="50" t="e">
        <f>'Look Up Data'!H37*'Look Up Data'!#REF!</f>
        <v>#REF!</v>
      </c>
      <c r="F21" s="50" t="e">
        <f>'Look Up Data'!I37*'Look Up Data'!#REF!</f>
        <v>#REF!</v>
      </c>
      <c r="G21" s="51" t="e">
        <f>F21*(1-'Look Up Data'!$L37)</f>
        <v>#REF!</v>
      </c>
      <c r="H21" s="52" t="e">
        <f>G21*(1-'Look Up Data'!$L37)</f>
        <v>#REF!</v>
      </c>
      <c r="I21" s="52" t="e">
        <f>H21*(1-'Look Up Data'!$L37)</f>
        <v>#REF!</v>
      </c>
      <c r="J21" s="52" t="e">
        <f>I21*(1-'Look Up Data'!$L37)</f>
        <v>#REF!</v>
      </c>
      <c r="K21" s="52" t="e">
        <f>J21*(1-'Look Up Data'!$L37)</f>
        <v>#REF!</v>
      </c>
      <c r="L21" s="52" t="e">
        <f>K21*(1-'Look Up Data'!$L37)</f>
        <v>#REF!</v>
      </c>
      <c r="M21" s="52" t="e">
        <f>L21*(1-'Look Up Data'!$L37)</f>
        <v>#REF!</v>
      </c>
      <c r="N21" s="52" t="e">
        <f>M21*(1-'Look Up Data'!$L37)</f>
        <v>#REF!</v>
      </c>
      <c r="O21" s="52" t="e">
        <f>N21*(1-'Look Up Data'!$L37)</f>
        <v>#REF!</v>
      </c>
      <c r="P21" s="52" t="e">
        <f>O21*(1-'Look Up Data'!$L37)</f>
        <v>#REF!</v>
      </c>
      <c r="Q21" s="52" t="e">
        <f>P21*(1-'Look Up Data'!$L37)</f>
        <v>#REF!</v>
      </c>
      <c r="R21" s="52" t="e">
        <f>Q21*(1-'Look Up Data'!$L37)</f>
        <v>#REF!</v>
      </c>
      <c r="S21" s="52" t="e">
        <f>R21*(1-'Look Up Data'!$L37)</f>
        <v>#REF!</v>
      </c>
      <c r="T21" s="52" t="e">
        <f>S21*(1-'Look Up Data'!$L37)</f>
        <v>#REF!</v>
      </c>
      <c r="U21" s="52" t="e">
        <f>T21*(1-'Look Up Data'!$L37)</f>
        <v>#REF!</v>
      </c>
      <c r="V21" s="52" t="e">
        <f>U21*(1-'Look Up Data'!$L37)</f>
        <v>#REF!</v>
      </c>
      <c r="W21" s="52" t="e">
        <f>V21*(1-'Look Up Data'!$L37)</f>
        <v>#REF!</v>
      </c>
      <c r="X21" s="52" t="e">
        <f>W21*(1-'Look Up Data'!$L37)</f>
        <v>#REF!</v>
      </c>
      <c r="Y21" s="52" t="e">
        <f>X21*(1-'Look Up Data'!$L37)</f>
        <v>#REF!</v>
      </c>
      <c r="Z21" s="52" t="e">
        <f>Y21*(1-'Look Up Data'!$L37)</f>
        <v>#REF!</v>
      </c>
      <c r="AA21" s="52" t="e">
        <f>Z21*(1-'Look Up Data'!$L37)</f>
        <v>#REF!</v>
      </c>
      <c r="AB21" s="52" t="e">
        <f>AA21*(1-'Look Up Data'!$L37)</f>
        <v>#REF!</v>
      </c>
      <c r="AC21" s="52" t="e">
        <f>AB21*(1-'Look Up Data'!$L37)</f>
        <v>#REF!</v>
      </c>
      <c r="AD21" s="52" t="e">
        <f>AC21*(1-'Look Up Data'!$L37)</f>
        <v>#REF!</v>
      </c>
      <c r="AE21" s="52" t="e">
        <f>AD21*(1-'Look Up Data'!$L37)</f>
        <v>#REF!</v>
      </c>
      <c r="AK21" s="5"/>
      <c r="AL21" s="5"/>
      <c r="AM21" s="5"/>
      <c r="AN21" s="5"/>
    </row>
    <row r="22" spans="1:40">
      <c r="A22" s="13" t="s">
        <v>137</v>
      </c>
      <c r="B22" s="50"/>
      <c r="C22" s="50"/>
      <c r="D22" s="50"/>
      <c r="E22" s="50"/>
      <c r="F22" s="50"/>
      <c r="G22" s="51"/>
      <c r="H22" s="52"/>
      <c r="I22" s="52"/>
      <c r="J22" s="52"/>
      <c r="K22" s="52"/>
      <c r="L22" s="52"/>
      <c r="M22" s="52"/>
      <c r="N22" s="52"/>
      <c r="O22" s="52"/>
      <c r="P22" s="52"/>
      <c r="Q22" s="52"/>
      <c r="R22" s="52"/>
      <c r="S22" s="52"/>
      <c r="T22" s="52"/>
      <c r="U22" s="52"/>
      <c r="V22" s="52"/>
      <c r="W22" s="52"/>
      <c r="X22" s="52"/>
      <c r="Y22" s="52"/>
      <c r="Z22" s="52"/>
      <c r="AA22" s="52"/>
      <c r="AB22" s="52"/>
      <c r="AC22" s="52"/>
      <c r="AD22" s="52"/>
      <c r="AE22" s="52"/>
      <c r="AK22" s="5"/>
      <c r="AL22" s="5"/>
      <c r="AM22" s="5"/>
      <c r="AN22" s="5"/>
    </row>
    <row r="23" spans="1:40">
      <c r="A23" s="40" t="s">
        <v>133</v>
      </c>
      <c r="B23" s="50" t="e">
        <f>'Look Up Data'!E39*'Look Up Data'!#REF!</f>
        <v>#REF!</v>
      </c>
      <c r="C23" s="50" t="e">
        <f>'Look Up Data'!F39*'Look Up Data'!#REF!</f>
        <v>#REF!</v>
      </c>
      <c r="D23" s="50" t="e">
        <f>'Look Up Data'!G39*'Look Up Data'!#REF!</f>
        <v>#REF!</v>
      </c>
      <c r="E23" s="50" t="e">
        <f>'Look Up Data'!H39*'Look Up Data'!#REF!</f>
        <v>#REF!</v>
      </c>
      <c r="F23" s="50" t="e">
        <f>'Look Up Data'!I39*'Look Up Data'!#REF!</f>
        <v>#REF!</v>
      </c>
      <c r="G23" s="51" t="e">
        <f>F23*(1-'Look Up Data'!$L39)</f>
        <v>#REF!</v>
      </c>
      <c r="H23" s="52" t="e">
        <f>G23*(1-'Look Up Data'!$L39)</f>
        <v>#REF!</v>
      </c>
      <c r="I23" s="52" t="e">
        <f>H23*(1-'Look Up Data'!$L39)</f>
        <v>#REF!</v>
      </c>
      <c r="J23" s="52" t="e">
        <f>I23*(1-'Look Up Data'!$L39)</f>
        <v>#REF!</v>
      </c>
      <c r="K23" s="52" t="e">
        <f>J23*(1-'Look Up Data'!$L39)</f>
        <v>#REF!</v>
      </c>
      <c r="L23" s="52" t="e">
        <f>K23*(1-'Look Up Data'!$L39)</f>
        <v>#REF!</v>
      </c>
      <c r="M23" s="52" t="e">
        <f>L23*(1-'Look Up Data'!$L39)</f>
        <v>#REF!</v>
      </c>
      <c r="N23" s="52" t="e">
        <f>M23*(1-'Look Up Data'!$L39)</f>
        <v>#REF!</v>
      </c>
      <c r="O23" s="52" t="e">
        <f>N23*(1-'Look Up Data'!$L39)</f>
        <v>#REF!</v>
      </c>
      <c r="P23" s="52" t="e">
        <f>O23*(1-'Look Up Data'!$L39)</f>
        <v>#REF!</v>
      </c>
      <c r="Q23" s="52" t="e">
        <f>P23*(1-'Look Up Data'!$L39)</f>
        <v>#REF!</v>
      </c>
      <c r="R23" s="52" t="e">
        <f>Q23*(1-'Look Up Data'!$L39)</f>
        <v>#REF!</v>
      </c>
      <c r="S23" s="52" t="e">
        <f>R23*(1-'Look Up Data'!$L39)</f>
        <v>#REF!</v>
      </c>
      <c r="T23" s="52" t="e">
        <f>S23*(1-'Look Up Data'!$L39)</f>
        <v>#REF!</v>
      </c>
      <c r="U23" s="52" t="e">
        <f>T23*(1-'Look Up Data'!$L39)</f>
        <v>#REF!</v>
      </c>
      <c r="V23" s="52" t="e">
        <f>U23*(1-'Look Up Data'!$L39)</f>
        <v>#REF!</v>
      </c>
      <c r="W23" s="52" t="e">
        <f>V23*(1-'Look Up Data'!$L39)</f>
        <v>#REF!</v>
      </c>
      <c r="X23" s="52" t="e">
        <f>W23*(1-'Look Up Data'!$L39)</f>
        <v>#REF!</v>
      </c>
      <c r="Y23" s="52" t="e">
        <f>X23*(1-'Look Up Data'!$L39)</f>
        <v>#REF!</v>
      </c>
      <c r="Z23" s="52" t="e">
        <f>Y23*(1-'Look Up Data'!$L39)</f>
        <v>#REF!</v>
      </c>
      <c r="AA23" s="52" t="e">
        <f>Z23*(1-'Look Up Data'!$L39)</f>
        <v>#REF!</v>
      </c>
      <c r="AB23" s="52" t="e">
        <f>AA23*(1-'Look Up Data'!$L39)</f>
        <v>#REF!</v>
      </c>
      <c r="AC23" s="52" t="e">
        <f>AB23*(1-'Look Up Data'!$L39)</f>
        <v>#REF!</v>
      </c>
      <c r="AD23" s="52" t="e">
        <f>AC23*(1-'Look Up Data'!$L39)</f>
        <v>#REF!</v>
      </c>
      <c r="AE23" s="52" t="e">
        <f>AD23*(1-'Look Up Data'!$L39)</f>
        <v>#REF!</v>
      </c>
      <c r="AK23" s="5"/>
      <c r="AL23" s="5"/>
      <c r="AM23" s="5"/>
      <c r="AN23" s="5"/>
    </row>
    <row r="24" spans="1:40">
      <c r="A24" s="40" t="s">
        <v>134</v>
      </c>
      <c r="B24" s="50" t="e">
        <f>'Look Up Data'!E40*'Look Up Data'!#REF!</f>
        <v>#REF!</v>
      </c>
      <c r="C24" s="50" t="e">
        <f>'Look Up Data'!F40*'Look Up Data'!#REF!</f>
        <v>#REF!</v>
      </c>
      <c r="D24" s="50" t="e">
        <f>'Look Up Data'!G40*'Look Up Data'!#REF!</f>
        <v>#REF!</v>
      </c>
      <c r="E24" s="50" t="e">
        <f>'Look Up Data'!H40*'Look Up Data'!#REF!</f>
        <v>#REF!</v>
      </c>
      <c r="F24" s="50" t="e">
        <f>'Look Up Data'!I40*'Look Up Data'!#REF!</f>
        <v>#REF!</v>
      </c>
      <c r="G24" s="51" t="e">
        <f>F24*(1-'Look Up Data'!$L40)</f>
        <v>#REF!</v>
      </c>
      <c r="H24" s="52" t="e">
        <f>G24*(1-'Look Up Data'!$L40)</f>
        <v>#REF!</v>
      </c>
      <c r="I24" s="52" t="e">
        <f>H24*(1-'Look Up Data'!$L40)</f>
        <v>#REF!</v>
      </c>
      <c r="J24" s="52" t="e">
        <f>I24*(1-'Look Up Data'!$L40)</f>
        <v>#REF!</v>
      </c>
      <c r="K24" s="52" t="e">
        <f>J24*(1-'Look Up Data'!$L40)</f>
        <v>#REF!</v>
      </c>
      <c r="L24" s="52" t="e">
        <f>K24*(1-'Look Up Data'!$L40)</f>
        <v>#REF!</v>
      </c>
      <c r="M24" s="52" t="e">
        <f>L24*(1-'Look Up Data'!$L40)</f>
        <v>#REF!</v>
      </c>
      <c r="N24" s="52" t="e">
        <f>M24*(1-'Look Up Data'!$L40)</f>
        <v>#REF!</v>
      </c>
      <c r="O24" s="52" t="e">
        <f>N24*(1-'Look Up Data'!$L40)</f>
        <v>#REF!</v>
      </c>
      <c r="P24" s="52" t="e">
        <f>O24*(1-'Look Up Data'!$L40)</f>
        <v>#REF!</v>
      </c>
      <c r="Q24" s="52" t="e">
        <f>P24*(1-'Look Up Data'!$L40)</f>
        <v>#REF!</v>
      </c>
      <c r="R24" s="52" t="e">
        <f>Q24*(1-'Look Up Data'!$L40)</f>
        <v>#REF!</v>
      </c>
      <c r="S24" s="52" t="e">
        <f>R24*(1-'Look Up Data'!$L40)</f>
        <v>#REF!</v>
      </c>
      <c r="T24" s="52" t="e">
        <f>S24*(1-'Look Up Data'!$L40)</f>
        <v>#REF!</v>
      </c>
      <c r="U24" s="52" t="e">
        <f>T24*(1-'Look Up Data'!$L40)</f>
        <v>#REF!</v>
      </c>
      <c r="V24" s="52" t="e">
        <f>U24*(1-'Look Up Data'!$L40)</f>
        <v>#REF!</v>
      </c>
      <c r="W24" s="52" t="e">
        <f>V24*(1-'Look Up Data'!$L40)</f>
        <v>#REF!</v>
      </c>
      <c r="X24" s="52" t="e">
        <f>W24*(1-'Look Up Data'!$L40)</f>
        <v>#REF!</v>
      </c>
      <c r="Y24" s="52" t="e">
        <f>X24*(1-'Look Up Data'!$L40)</f>
        <v>#REF!</v>
      </c>
      <c r="Z24" s="52" t="e">
        <f>Y24*(1-'Look Up Data'!$L40)</f>
        <v>#REF!</v>
      </c>
      <c r="AA24" s="52" t="e">
        <f>Z24*(1-'Look Up Data'!$L40)</f>
        <v>#REF!</v>
      </c>
      <c r="AB24" s="52" t="e">
        <f>AA24*(1-'Look Up Data'!$L40)</f>
        <v>#REF!</v>
      </c>
      <c r="AC24" s="52" t="e">
        <f>AB24*(1-'Look Up Data'!$L40)</f>
        <v>#REF!</v>
      </c>
      <c r="AD24" s="52" t="e">
        <f>AC24*(1-'Look Up Data'!$L40)</f>
        <v>#REF!</v>
      </c>
      <c r="AE24" s="52" t="e">
        <f>AD24*(1-'Look Up Data'!$L40)</f>
        <v>#REF!</v>
      </c>
      <c r="AK24" s="5"/>
      <c r="AL24" s="5"/>
      <c r="AM24" s="5"/>
      <c r="AN24" s="5"/>
    </row>
    <row r="25" spans="1:40" ht="16.5">
      <c r="A25" s="40" t="s">
        <v>135</v>
      </c>
      <c r="B25" s="50" t="e">
        <f>'Look Up Data'!E41*'Look Up Data'!#REF!</f>
        <v>#REF!</v>
      </c>
      <c r="C25" s="50" t="e">
        <f>'Look Up Data'!F41*'Look Up Data'!#REF!</f>
        <v>#REF!</v>
      </c>
      <c r="D25" s="50" t="e">
        <f>'Look Up Data'!G41*'Look Up Data'!#REF!</f>
        <v>#REF!</v>
      </c>
      <c r="E25" s="50" t="e">
        <f>'Look Up Data'!H41*'Look Up Data'!#REF!</f>
        <v>#REF!</v>
      </c>
      <c r="F25" s="50" t="e">
        <f>'Look Up Data'!I41*'Look Up Data'!#REF!</f>
        <v>#REF!</v>
      </c>
      <c r="G25" s="51" t="e">
        <f>F25*(1-'Look Up Data'!$L41)</f>
        <v>#REF!</v>
      </c>
      <c r="H25" s="52" t="e">
        <f>G25*(1-'Look Up Data'!$L41)</f>
        <v>#REF!</v>
      </c>
      <c r="I25" s="52" t="e">
        <f>H25*(1-'Look Up Data'!$L41)</f>
        <v>#REF!</v>
      </c>
      <c r="J25" s="52" t="e">
        <f>I25*(1-'Look Up Data'!$L41)</f>
        <v>#REF!</v>
      </c>
      <c r="K25" s="52" t="e">
        <f>J25*(1-'Look Up Data'!$L41)</f>
        <v>#REF!</v>
      </c>
      <c r="L25" s="52" t="e">
        <f>K25*(1-'Look Up Data'!$L41)</f>
        <v>#REF!</v>
      </c>
      <c r="M25" s="52" t="e">
        <f>L25*(1-'Look Up Data'!$L41)</f>
        <v>#REF!</v>
      </c>
      <c r="N25" s="52" t="e">
        <f>M25*(1-'Look Up Data'!$L41)</f>
        <v>#REF!</v>
      </c>
      <c r="O25" s="52" t="e">
        <f>N25*(1-'Look Up Data'!$L41)</f>
        <v>#REF!</v>
      </c>
      <c r="P25" s="52" t="e">
        <f>O25*(1-'Look Up Data'!$L41)</f>
        <v>#REF!</v>
      </c>
      <c r="Q25" s="52" t="e">
        <f>P25*(1-'Look Up Data'!$L41)</f>
        <v>#REF!</v>
      </c>
      <c r="R25" s="52" t="e">
        <f>Q25*(1-'Look Up Data'!$L41)</f>
        <v>#REF!</v>
      </c>
      <c r="S25" s="52" t="e">
        <f>R25*(1-'Look Up Data'!$L41)</f>
        <v>#REF!</v>
      </c>
      <c r="T25" s="52" t="e">
        <f>S25*(1-'Look Up Data'!$L41)</f>
        <v>#REF!</v>
      </c>
      <c r="U25" s="52" t="e">
        <f>T25*(1-'Look Up Data'!$L41)</f>
        <v>#REF!</v>
      </c>
      <c r="V25" s="52" t="e">
        <f>U25*(1-'Look Up Data'!$L41)</f>
        <v>#REF!</v>
      </c>
      <c r="W25" s="52" t="e">
        <f>V25*(1-'Look Up Data'!$L41)</f>
        <v>#REF!</v>
      </c>
      <c r="X25" s="52" t="e">
        <f>W25*(1-'Look Up Data'!$L41)</f>
        <v>#REF!</v>
      </c>
      <c r="Y25" s="52" t="e">
        <f>X25*(1-'Look Up Data'!$L41)</f>
        <v>#REF!</v>
      </c>
      <c r="Z25" s="52" t="e">
        <f>Y25*(1-'Look Up Data'!$L41)</f>
        <v>#REF!</v>
      </c>
      <c r="AA25" s="52" t="e">
        <f>Z25*(1-'Look Up Data'!$L41)</f>
        <v>#REF!</v>
      </c>
      <c r="AB25" s="52" t="e">
        <f>AA25*(1-'Look Up Data'!$L41)</f>
        <v>#REF!</v>
      </c>
      <c r="AC25" s="52" t="e">
        <f>AB25*(1-'Look Up Data'!$L41)</f>
        <v>#REF!</v>
      </c>
      <c r="AD25" s="52" t="e">
        <f>AC25*(1-'Look Up Data'!$L41)</f>
        <v>#REF!</v>
      </c>
      <c r="AE25" s="52" t="e">
        <f>AD25*(1-'Look Up Data'!$L41)</f>
        <v>#REF!</v>
      </c>
      <c r="AK25" s="5"/>
      <c r="AL25" s="5"/>
      <c r="AM25" s="5"/>
      <c r="AN25" s="5"/>
    </row>
    <row r="26" spans="1:40">
      <c r="A26" s="40" t="s">
        <v>136</v>
      </c>
      <c r="B26" s="50" t="e">
        <f>'Look Up Data'!E42*'Look Up Data'!#REF!</f>
        <v>#REF!</v>
      </c>
      <c r="C26" s="50" t="e">
        <f>'Look Up Data'!F42*'Look Up Data'!#REF!</f>
        <v>#REF!</v>
      </c>
      <c r="D26" s="50" t="e">
        <f>'Look Up Data'!G42*'Look Up Data'!#REF!</f>
        <v>#REF!</v>
      </c>
      <c r="E26" s="50" t="e">
        <f>'Look Up Data'!H42*'Look Up Data'!#REF!</f>
        <v>#REF!</v>
      </c>
      <c r="F26" s="50" t="e">
        <f>'Look Up Data'!I42*'Look Up Data'!#REF!</f>
        <v>#REF!</v>
      </c>
      <c r="G26" s="51" t="e">
        <f>F26*(1-'Look Up Data'!$L42)</f>
        <v>#REF!</v>
      </c>
      <c r="H26" s="52" t="e">
        <f>G26*(1-'Look Up Data'!$L42)</f>
        <v>#REF!</v>
      </c>
      <c r="I26" s="52" t="e">
        <f>H26*(1-'Look Up Data'!$L42)</f>
        <v>#REF!</v>
      </c>
      <c r="J26" s="52" t="e">
        <f>I26*(1-'Look Up Data'!$L42)</f>
        <v>#REF!</v>
      </c>
      <c r="K26" s="52" t="e">
        <f>J26*(1-'Look Up Data'!$L42)</f>
        <v>#REF!</v>
      </c>
      <c r="L26" s="52" t="e">
        <f>K26*(1-'Look Up Data'!$L42)</f>
        <v>#REF!</v>
      </c>
      <c r="M26" s="52" t="e">
        <f>L26*(1-'Look Up Data'!$L42)</f>
        <v>#REF!</v>
      </c>
      <c r="N26" s="52" t="e">
        <f>M26*(1-'Look Up Data'!$L42)</f>
        <v>#REF!</v>
      </c>
      <c r="O26" s="52" t="e">
        <f>N26*(1-'Look Up Data'!$L42)</f>
        <v>#REF!</v>
      </c>
      <c r="P26" s="52" t="e">
        <f>O26*(1-'Look Up Data'!$L42)</f>
        <v>#REF!</v>
      </c>
      <c r="Q26" s="52" t="e">
        <f>P26*(1-'Look Up Data'!$L42)</f>
        <v>#REF!</v>
      </c>
      <c r="R26" s="52" t="e">
        <f>Q26*(1-'Look Up Data'!$L42)</f>
        <v>#REF!</v>
      </c>
      <c r="S26" s="52" t="e">
        <f>R26*(1-'Look Up Data'!$L42)</f>
        <v>#REF!</v>
      </c>
      <c r="T26" s="52" t="e">
        <f>S26*(1-'Look Up Data'!$L42)</f>
        <v>#REF!</v>
      </c>
      <c r="U26" s="52" t="e">
        <f>T26*(1-'Look Up Data'!$L42)</f>
        <v>#REF!</v>
      </c>
      <c r="V26" s="52" t="e">
        <f>U26*(1-'Look Up Data'!$L42)</f>
        <v>#REF!</v>
      </c>
      <c r="W26" s="52" t="e">
        <f>V26*(1-'Look Up Data'!$L42)</f>
        <v>#REF!</v>
      </c>
      <c r="X26" s="52" t="e">
        <f>W26*(1-'Look Up Data'!$L42)</f>
        <v>#REF!</v>
      </c>
      <c r="Y26" s="52" t="e">
        <f>X26*(1-'Look Up Data'!$L42)</f>
        <v>#REF!</v>
      </c>
      <c r="Z26" s="52" t="e">
        <f>Y26*(1-'Look Up Data'!$L42)</f>
        <v>#REF!</v>
      </c>
      <c r="AA26" s="52" t="e">
        <f>Z26*(1-'Look Up Data'!$L42)</f>
        <v>#REF!</v>
      </c>
      <c r="AB26" s="52" t="e">
        <f>AA26*(1-'Look Up Data'!$L42)</f>
        <v>#REF!</v>
      </c>
      <c r="AC26" s="52" t="e">
        <f>AB26*(1-'Look Up Data'!$L42)</f>
        <v>#REF!</v>
      </c>
      <c r="AD26" s="52" t="e">
        <f>AC26*(1-'Look Up Data'!$L42)</f>
        <v>#REF!</v>
      </c>
      <c r="AE26" s="52" t="e">
        <f>AD26*(1-'Look Up Data'!$L42)</f>
        <v>#REF!</v>
      </c>
      <c r="AK26" s="5"/>
      <c r="AL26" s="5"/>
      <c r="AM26" s="5"/>
      <c r="AN26" s="5"/>
    </row>
    <row r="27" spans="1:40">
      <c r="A27" s="13" t="s">
        <v>138</v>
      </c>
      <c r="B27" s="50"/>
      <c r="C27" s="50"/>
      <c r="D27" s="50"/>
      <c r="E27" s="50"/>
      <c r="F27" s="50"/>
      <c r="G27" s="51"/>
      <c r="H27" s="52"/>
      <c r="I27" s="52"/>
      <c r="J27" s="52"/>
      <c r="K27" s="52"/>
      <c r="L27" s="52"/>
      <c r="M27" s="52"/>
      <c r="N27" s="52"/>
      <c r="O27" s="52"/>
      <c r="P27" s="52"/>
      <c r="Q27" s="52"/>
      <c r="R27" s="52"/>
      <c r="S27" s="52"/>
      <c r="T27" s="52"/>
      <c r="U27" s="52"/>
      <c r="V27" s="52"/>
      <c r="W27" s="52"/>
      <c r="X27" s="52"/>
      <c r="Y27" s="52"/>
      <c r="Z27" s="52"/>
      <c r="AA27" s="52"/>
      <c r="AB27" s="52"/>
      <c r="AC27" s="52"/>
      <c r="AD27" s="52"/>
      <c r="AE27" s="52"/>
      <c r="AK27" s="5"/>
      <c r="AL27" s="5"/>
      <c r="AM27" s="5"/>
      <c r="AN27" s="5"/>
    </row>
    <row r="28" spans="1:40">
      <c r="A28" s="40" t="s">
        <v>133</v>
      </c>
      <c r="B28" s="50" t="e">
        <f>'Look Up Data'!E44*'Look Up Data'!#REF!</f>
        <v>#REF!</v>
      </c>
      <c r="C28" s="50" t="e">
        <f>'Look Up Data'!F44*'Look Up Data'!#REF!</f>
        <v>#REF!</v>
      </c>
      <c r="D28" s="50" t="e">
        <f>'Look Up Data'!G44*'Look Up Data'!#REF!</f>
        <v>#REF!</v>
      </c>
      <c r="E28" s="50" t="e">
        <f>'Look Up Data'!H44*'Look Up Data'!#REF!</f>
        <v>#REF!</v>
      </c>
      <c r="F28" s="50" t="e">
        <f>'Look Up Data'!I44*'Look Up Data'!#REF!</f>
        <v>#REF!</v>
      </c>
      <c r="G28" s="51" t="e">
        <f>F28*(1-'Look Up Data'!$L44)</f>
        <v>#REF!</v>
      </c>
      <c r="H28" s="52" t="e">
        <f>G28*(1-'Look Up Data'!$L44)</f>
        <v>#REF!</v>
      </c>
      <c r="I28" s="52" t="e">
        <f>H28*(1-'Look Up Data'!$L44)</f>
        <v>#REF!</v>
      </c>
      <c r="J28" s="52" t="e">
        <f>I28*(1-'Look Up Data'!$L44)</f>
        <v>#REF!</v>
      </c>
      <c r="K28" s="52" t="e">
        <f>J28*(1-'Look Up Data'!$L44)</f>
        <v>#REF!</v>
      </c>
      <c r="L28" s="52" t="e">
        <f>K28*(1-'Look Up Data'!$L44)</f>
        <v>#REF!</v>
      </c>
      <c r="M28" s="52" t="e">
        <f>L28*(1-'Look Up Data'!$L44)</f>
        <v>#REF!</v>
      </c>
      <c r="N28" s="52" t="e">
        <f>M28*(1-'Look Up Data'!$L44)</f>
        <v>#REF!</v>
      </c>
      <c r="O28" s="52" t="e">
        <f>N28*(1-'Look Up Data'!$L44)</f>
        <v>#REF!</v>
      </c>
      <c r="P28" s="52" t="e">
        <f>O28*(1-'Look Up Data'!$L44)</f>
        <v>#REF!</v>
      </c>
      <c r="Q28" s="52" t="e">
        <f>P28*(1-'Look Up Data'!$L44)</f>
        <v>#REF!</v>
      </c>
      <c r="R28" s="52" t="e">
        <f>Q28*(1-'Look Up Data'!$L44)</f>
        <v>#REF!</v>
      </c>
      <c r="S28" s="52" t="e">
        <f>R28*(1-'Look Up Data'!$L44)</f>
        <v>#REF!</v>
      </c>
      <c r="T28" s="52" t="e">
        <f>S28*(1-'Look Up Data'!$L44)</f>
        <v>#REF!</v>
      </c>
      <c r="U28" s="52" t="e">
        <f>T28*(1-'Look Up Data'!$L44)</f>
        <v>#REF!</v>
      </c>
      <c r="V28" s="52" t="e">
        <f>U28*(1-'Look Up Data'!$L44)</f>
        <v>#REF!</v>
      </c>
      <c r="W28" s="52" t="e">
        <f>V28*(1-'Look Up Data'!$L44)</f>
        <v>#REF!</v>
      </c>
      <c r="X28" s="52" t="e">
        <f>W28*(1-'Look Up Data'!$L44)</f>
        <v>#REF!</v>
      </c>
      <c r="Y28" s="52" t="e">
        <f>X28*(1-'Look Up Data'!$L44)</f>
        <v>#REF!</v>
      </c>
      <c r="Z28" s="52" t="e">
        <f>Y28*(1-'Look Up Data'!$L44)</f>
        <v>#REF!</v>
      </c>
      <c r="AA28" s="52" t="e">
        <f>Z28*(1-'Look Up Data'!$L44)</f>
        <v>#REF!</v>
      </c>
      <c r="AB28" s="52" t="e">
        <f>AA28*(1-'Look Up Data'!$L44)</f>
        <v>#REF!</v>
      </c>
      <c r="AC28" s="52" t="e">
        <f>AB28*(1-'Look Up Data'!$L44)</f>
        <v>#REF!</v>
      </c>
      <c r="AD28" s="52" t="e">
        <f>AC28*(1-'Look Up Data'!$L44)</f>
        <v>#REF!</v>
      </c>
      <c r="AE28" s="52" t="e">
        <f>AD28*(1-'Look Up Data'!$L44)</f>
        <v>#REF!</v>
      </c>
      <c r="AK28" s="5"/>
      <c r="AL28" s="5"/>
      <c r="AM28" s="5"/>
      <c r="AN28" s="5"/>
    </row>
    <row r="29" spans="1:40">
      <c r="A29" s="40" t="s">
        <v>134</v>
      </c>
      <c r="B29" s="50" t="e">
        <f>'Look Up Data'!E45*'Look Up Data'!#REF!</f>
        <v>#REF!</v>
      </c>
      <c r="C29" s="50" t="e">
        <f>'Look Up Data'!F45*'Look Up Data'!#REF!</f>
        <v>#REF!</v>
      </c>
      <c r="D29" s="50" t="e">
        <f>'Look Up Data'!G45*'Look Up Data'!#REF!</f>
        <v>#REF!</v>
      </c>
      <c r="E29" s="50" t="e">
        <f>'Look Up Data'!H45*'Look Up Data'!#REF!</f>
        <v>#REF!</v>
      </c>
      <c r="F29" s="50" t="e">
        <f>'Look Up Data'!I45*'Look Up Data'!#REF!</f>
        <v>#REF!</v>
      </c>
      <c r="G29" s="51" t="e">
        <f>F29*(1-'Look Up Data'!$L45)</f>
        <v>#REF!</v>
      </c>
      <c r="H29" s="52" t="e">
        <f>G29*(1-'Look Up Data'!$L45)</f>
        <v>#REF!</v>
      </c>
      <c r="I29" s="52" t="e">
        <f>H29*(1-'Look Up Data'!$L45)</f>
        <v>#REF!</v>
      </c>
      <c r="J29" s="52" t="e">
        <f>I29*(1-'Look Up Data'!$L45)</f>
        <v>#REF!</v>
      </c>
      <c r="K29" s="52" t="e">
        <f>J29*(1-'Look Up Data'!$L45)</f>
        <v>#REF!</v>
      </c>
      <c r="L29" s="52" t="e">
        <f>K29*(1-'Look Up Data'!$L45)</f>
        <v>#REF!</v>
      </c>
      <c r="M29" s="52" t="e">
        <f>L29*(1-'Look Up Data'!$L45)</f>
        <v>#REF!</v>
      </c>
      <c r="N29" s="52" t="e">
        <f>M29*(1-'Look Up Data'!$L45)</f>
        <v>#REF!</v>
      </c>
      <c r="O29" s="52" t="e">
        <f>N29*(1-'Look Up Data'!$L45)</f>
        <v>#REF!</v>
      </c>
      <c r="P29" s="52" t="e">
        <f>O29*(1-'Look Up Data'!$L45)</f>
        <v>#REF!</v>
      </c>
      <c r="Q29" s="52" t="e">
        <f>P29*(1-'Look Up Data'!$L45)</f>
        <v>#REF!</v>
      </c>
      <c r="R29" s="52" t="e">
        <f>Q29*(1-'Look Up Data'!$L45)</f>
        <v>#REF!</v>
      </c>
      <c r="S29" s="52" t="e">
        <f>R29*(1-'Look Up Data'!$L45)</f>
        <v>#REF!</v>
      </c>
      <c r="T29" s="52" t="e">
        <f>S29*(1-'Look Up Data'!$L45)</f>
        <v>#REF!</v>
      </c>
      <c r="U29" s="52" t="e">
        <f>T29*(1-'Look Up Data'!$L45)</f>
        <v>#REF!</v>
      </c>
      <c r="V29" s="52" t="e">
        <f>U29*(1-'Look Up Data'!$L45)</f>
        <v>#REF!</v>
      </c>
      <c r="W29" s="52" t="e">
        <f>V29*(1-'Look Up Data'!$L45)</f>
        <v>#REF!</v>
      </c>
      <c r="X29" s="52" t="e">
        <f>W29*(1-'Look Up Data'!$L45)</f>
        <v>#REF!</v>
      </c>
      <c r="Y29" s="52" t="e">
        <f>X29*(1-'Look Up Data'!$L45)</f>
        <v>#REF!</v>
      </c>
      <c r="Z29" s="52" t="e">
        <f>Y29*(1-'Look Up Data'!$L45)</f>
        <v>#REF!</v>
      </c>
      <c r="AA29" s="52" t="e">
        <f>Z29*(1-'Look Up Data'!$L45)</f>
        <v>#REF!</v>
      </c>
      <c r="AB29" s="52" t="e">
        <f>AA29*(1-'Look Up Data'!$L45)</f>
        <v>#REF!</v>
      </c>
      <c r="AC29" s="52" t="e">
        <f>AB29*(1-'Look Up Data'!$L45)</f>
        <v>#REF!</v>
      </c>
      <c r="AD29" s="52" t="e">
        <f>AC29*(1-'Look Up Data'!$L45)</f>
        <v>#REF!</v>
      </c>
      <c r="AE29" s="52" t="e">
        <f>AD29*(1-'Look Up Data'!$L45)</f>
        <v>#REF!</v>
      </c>
      <c r="AK29" s="5"/>
      <c r="AL29" s="5"/>
      <c r="AM29" s="5"/>
      <c r="AN29" s="5"/>
    </row>
    <row r="30" spans="1:40" ht="16.5">
      <c r="A30" s="40" t="s">
        <v>135</v>
      </c>
      <c r="B30" s="50" t="e">
        <f>'Look Up Data'!E46*'Look Up Data'!#REF!</f>
        <v>#REF!</v>
      </c>
      <c r="C30" s="50" t="e">
        <f>'Look Up Data'!F46*'Look Up Data'!#REF!</f>
        <v>#REF!</v>
      </c>
      <c r="D30" s="50" t="e">
        <f>'Look Up Data'!G46*'Look Up Data'!#REF!</f>
        <v>#REF!</v>
      </c>
      <c r="E30" s="50" t="e">
        <f>'Look Up Data'!H46*'Look Up Data'!#REF!</f>
        <v>#REF!</v>
      </c>
      <c r="F30" s="50" t="e">
        <f>'Look Up Data'!I46*'Look Up Data'!#REF!</f>
        <v>#REF!</v>
      </c>
      <c r="G30" s="51" t="e">
        <f>F30*(1-'Look Up Data'!$L46)</f>
        <v>#REF!</v>
      </c>
      <c r="H30" s="52" t="e">
        <f>G30*(1-'Look Up Data'!$L46)</f>
        <v>#REF!</v>
      </c>
      <c r="I30" s="52" t="e">
        <f>H30*(1-'Look Up Data'!$L46)</f>
        <v>#REF!</v>
      </c>
      <c r="J30" s="52" t="e">
        <f>I30*(1-'Look Up Data'!$L46)</f>
        <v>#REF!</v>
      </c>
      <c r="K30" s="52" t="e">
        <f>J30*(1-'Look Up Data'!$L46)</f>
        <v>#REF!</v>
      </c>
      <c r="L30" s="52" t="e">
        <f>K30*(1-'Look Up Data'!$L46)</f>
        <v>#REF!</v>
      </c>
      <c r="M30" s="52" t="e">
        <f>L30*(1-'Look Up Data'!$L46)</f>
        <v>#REF!</v>
      </c>
      <c r="N30" s="52" t="e">
        <f>M30*(1-'Look Up Data'!$L46)</f>
        <v>#REF!</v>
      </c>
      <c r="O30" s="52" t="e">
        <f>N30*(1-'Look Up Data'!$L46)</f>
        <v>#REF!</v>
      </c>
      <c r="P30" s="52" t="e">
        <f>O30*(1-'Look Up Data'!$L46)</f>
        <v>#REF!</v>
      </c>
      <c r="Q30" s="52" t="e">
        <f>P30*(1-'Look Up Data'!$L46)</f>
        <v>#REF!</v>
      </c>
      <c r="R30" s="52" t="e">
        <f>Q30*(1-'Look Up Data'!$L46)</f>
        <v>#REF!</v>
      </c>
      <c r="S30" s="52" t="e">
        <f>R30*(1-'Look Up Data'!$L46)</f>
        <v>#REF!</v>
      </c>
      <c r="T30" s="52" t="e">
        <f>S30*(1-'Look Up Data'!$L46)</f>
        <v>#REF!</v>
      </c>
      <c r="U30" s="52" t="e">
        <f>T30*(1-'Look Up Data'!$L46)</f>
        <v>#REF!</v>
      </c>
      <c r="V30" s="52" t="e">
        <f>U30*(1-'Look Up Data'!$L46)</f>
        <v>#REF!</v>
      </c>
      <c r="W30" s="52" t="e">
        <f>V30*(1-'Look Up Data'!$L46)</f>
        <v>#REF!</v>
      </c>
      <c r="X30" s="52" t="e">
        <f>W30*(1-'Look Up Data'!$L46)</f>
        <v>#REF!</v>
      </c>
      <c r="Y30" s="52" t="e">
        <f>X30*(1-'Look Up Data'!$L46)</f>
        <v>#REF!</v>
      </c>
      <c r="Z30" s="52" t="e">
        <f>Y30*(1-'Look Up Data'!$L46)</f>
        <v>#REF!</v>
      </c>
      <c r="AA30" s="52" t="e">
        <f>Z30*(1-'Look Up Data'!$L46)</f>
        <v>#REF!</v>
      </c>
      <c r="AB30" s="52" t="e">
        <f>AA30*(1-'Look Up Data'!$L46)</f>
        <v>#REF!</v>
      </c>
      <c r="AC30" s="52" t="e">
        <f>AB30*(1-'Look Up Data'!$L46)</f>
        <v>#REF!</v>
      </c>
      <c r="AD30" s="52" t="e">
        <f>AC30*(1-'Look Up Data'!$L46)</f>
        <v>#REF!</v>
      </c>
      <c r="AE30" s="52" t="e">
        <f>AD30*(1-'Look Up Data'!$L46)</f>
        <v>#REF!</v>
      </c>
      <c r="AK30" s="5"/>
      <c r="AL30" s="5"/>
      <c r="AM30" s="5"/>
      <c r="AN30" s="5"/>
    </row>
    <row r="31" spans="1:40">
      <c r="A31" s="40" t="s">
        <v>136</v>
      </c>
      <c r="B31" s="50" t="e">
        <f>'Look Up Data'!E47*'Look Up Data'!#REF!</f>
        <v>#REF!</v>
      </c>
      <c r="C31" s="50" t="e">
        <f>'Look Up Data'!F47*'Look Up Data'!#REF!</f>
        <v>#REF!</v>
      </c>
      <c r="D31" s="50" t="e">
        <f>'Look Up Data'!G47*'Look Up Data'!#REF!</f>
        <v>#REF!</v>
      </c>
      <c r="E31" s="50" t="e">
        <f>'Look Up Data'!H47*'Look Up Data'!#REF!</f>
        <v>#REF!</v>
      </c>
      <c r="F31" s="50" t="e">
        <f>'Look Up Data'!I47*'Look Up Data'!#REF!</f>
        <v>#REF!</v>
      </c>
      <c r="G31" s="51" t="e">
        <f>F31*(1-'Look Up Data'!$L47)</f>
        <v>#REF!</v>
      </c>
      <c r="H31" s="52" t="e">
        <f>G31*(1-'Look Up Data'!$L47)</f>
        <v>#REF!</v>
      </c>
      <c r="I31" s="52" t="e">
        <f>H31*(1-'Look Up Data'!$L47)</f>
        <v>#REF!</v>
      </c>
      <c r="J31" s="52" t="e">
        <f>I31*(1-'Look Up Data'!$L47)</f>
        <v>#REF!</v>
      </c>
      <c r="K31" s="52" t="e">
        <f>J31*(1-'Look Up Data'!$L47)</f>
        <v>#REF!</v>
      </c>
      <c r="L31" s="52" t="e">
        <f>K31*(1-'Look Up Data'!$L47)</f>
        <v>#REF!</v>
      </c>
      <c r="M31" s="52" t="e">
        <f>L31*(1-'Look Up Data'!$L47)</f>
        <v>#REF!</v>
      </c>
      <c r="N31" s="52" t="e">
        <f>M31*(1-'Look Up Data'!$L47)</f>
        <v>#REF!</v>
      </c>
      <c r="O31" s="52" t="e">
        <f>N31*(1-'Look Up Data'!$L47)</f>
        <v>#REF!</v>
      </c>
      <c r="P31" s="52" t="e">
        <f>O31*(1-'Look Up Data'!$L47)</f>
        <v>#REF!</v>
      </c>
      <c r="Q31" s="52" t="e">
        <f>P31*(1-'Look Up Data'!$L47)</f>
        <v>#REF!</v>
      </c>
      <c r="R31" s="52" t="e">
        <f>Q31*(1-'Look Up Data'!$L47)</f>
        <v>#REF!</v>
      </c>
      <c r="S31" s="52" t="e">
        <f>R31*(1-'Look Up Data'!$L47)</f>
        <v>#REF!</v>
      </c>
      <c r="T31" s="52" t="e">
        <f>S31*(1-'Look Up Data'!$L47)</f>
        <v>#REF!</v>
      </c>
      <c r="U31" s="52" t="e">
        <f>T31*(1-'Look Up Data'!$L47)</f>
        <v>#REF!</v>
      </c>
      <c r="V31" s="52" t="e">
        <f>U31*(1-'Look Up Data'!$L47)</f>
        <v>#REF!</v>
      </c>
      <c r="W31" s="52" t="e">
        <f>V31*(1-'Look Up Data'!$L47)</f>
        <v>#REF!</v>
      </c>
      <c r="X31" s="52" t="e">
        <f>W31*(1-'Look Up Data'!$L47)</f>
        <v>#REF!</v>
      </c>
      <c r="Y31" s="52" t="e">
        <f>X31*(1-'Look Up Data'!$L47)</f>
        <v>#REF!</v>
      </c>
      <c r="Z31" s="52" t="e">
        <f>Y31*(1-'Look Up Data'!$L47)</f>
        <v>#REF!</v>
      </c>
      <c r="AA31" s="52" t="e">
        <f>Z31*(1-'Look Up Data'!$L47)</f>
        <v>#REF!</v>
      </c>
      <c r="AB31" s="52" t="e">
        <f>AA31*(1-'Look Up Data'!$L47)</f>
        <v>#REF!</v>
      </c>
      <c r="AC31" s="52" t="e">
        <f>AB31*(1-'Look Up Data'!$L47)</f>
        <v>#REF!</v>
      </c>
      <c r="AD31" s="52" t="e">
        <f>AC31*(1-'Look Up Data'!$L47)</f>
        <v>#REF!</v>
      </c>
      <c r="AE31" s="52" t="e">
        <f>AD31*(1-'Look Up Data'!$L47)</f>
        <v>#REF!</v>
      </c>
      <c r="AK31" s="5"/>
      <c r="AL31" s="5"/>
      <c r="AM31" s="5"/>
      <c r="AN31" s="5"/>
    </row>
    <row r="32" spans="1:40">
      <c r="A32" s="40"/>
      <c r="B32" s="30"/>
      <c r="C32" s="30"/>
      <c r="D32" s="30"/>
      <c r="E32" s="30"/>
      <c r="F32" s="30"/>
      <c r="G32" s="30"/>
      <c r="H32" s="30"/>
      <c r="I32" s="30"/>
      <c r="J32" s="30"/>
      <c r="K32" s="49"/>
      <c r="L32" s="30"/>
      <c r="M32" s="30"/>
      <c r="N32" s="30"/>
      <c r="O32" s="30"/>
      <c r="P32" s="30"/>
      <c r="Q32" s="30"/>
      <c r="R32" s="30"/>
      <c r="S32" s="30"/>
      <c r="T32" s="30"/>
      <c r="U32" s="30"/>
      <c r="V32" s="30"/>
      <c r="W32" s="30"/>
      <c r="X32" s="30"/>
      <c r="Y32" s="30"/>
      <c r="Z32" s="29"/>
      <c r="AA32" s="30"/>
      <c r="AB32" s="30"/>
      <c r="AC32" s="30"/>
      <c r="AD32" s="30"/>
      <c r="AE32" s="30"/>
      <c r="AK32" s="5"/>
      <c r="AL32" s="5"/>
      <c r="AM32" s="5"/>
      <c r="AN32" s="5"/>
    </row>
    <row r="33" spans="1:31">
      <c r="A33" s="18"/>
      <c r="B33" s="30"/>
      <c r="C33" s="30"/>
      <c r="D33" s="30"/>
      <c r="E33" s="30"/>
      <c r="F33" s="30"/>
      <c r="G33" s="30"/>
      <c r="H33" s="30"/>
      <c r="I33" s="30"/>
      <c r="J33" s="30"/>
      <c r="K33" s="49"/>
      <c r="L33" s="30"/>
      <c r="M33" s="30"/>
      <c r="N33" s="30"/>
      <c r="O33" s="30"/>
      <c r="P33" s="30"/>
      <c r="Q33" s="30"/>
      <c r="R33" s="30"/>
      <c r="S33" s="30"/>
      <c r="T33" s="30"/>
      <c r="U33" s="30"/>
      <c r="V33" s="30"/>
      <c r="W33" s="30"/>
      <c r="X33" s="30"/>
      <c r="Y33" s="30"/>
      <c r="Z33" s="29"/>
      <c r="AA33" s="30"/>
      <c r="AB33" s="30"/>
      <c r="AC33" s="30"/>
      <c r="AD33" s="30"/>
      <c r="AE33" s="30"/>
    </row>
    <row r="34" spans="1:31">
      <c r="A34" s="10"/>
      <c r="F34" s="36"/>
      <c r="G34" s="2"/>
      <c r="H34" s="2"/>
      <c r="I34" s="2"/>
      <c r="J34" s="2"/>
      <c r="K34" s="2"/>
      <c r="L34" s="2"/>
      <c r="M34" s="2"/>
      <c r="N34" s="2"/>
      <c r="O34" s="2"/>
      <c r="P34" s="2"/>
      <c r="Q34" s="2"/>
      <c r="R34" s="2"/>
      <c r="S34" s="2"/>
      <c r="T34" s="2"/>
      <c r="U34" s="2"/>
      <c r="V34" s="2"/>
      <c r="W34" s="2"/>
      <c r="X34" s="2"/>
      <c r="Y34" s="2"/>
    </row>
    <row r="35" spans="1:31">
      <c r="A35" s="28" t="s">
        <v>139</v>
      </c>
      <c r="G35" s="7"/>
    </row>
    <row r="36" spans="1:31">
      <c r="A36" s="28"/>
      <c r="G36" s="7"/>
    </row>
    <row r="37" spans="1:31">
      <c r="A37" s="26" t="s">
        <v>140</v>
      </c>
      <c r="G37" s="7"/>
    </row>
    <row r="38" spans="1:31">
      <c r="A38" s="27" t="s">
        <v>141</v>
      </c>
      <c r="G38" s="7"/>
    </row>
    <row r="39" spans="1:31">
      <c r="G39" s="7"/>
      <c r="H39" s="9"/>
      <c r="I39" s="9"/>
      <c r="J39" s="9"/>
      <c r="K39" s="9"/>
      <c r="L39" s="9"/>
      <c r="M39" s="9"/>
      <c r="N39" s="9"/>
      <c r="O39" s="9"/>
      <c r="P39" s="9"/>
      <c r="Q39" s="9"/>
      <c r="R39" s="9"/>
      <c r="S39" s="9"/>
      <c r="T39" s="9"/>
      <c r="U39" s="9"/>
      <c r="V39" s="9"/>
      <c r="W39" s="9"/>
      <c r="X39" s="9"/>
      <c r="Y39" s="5"/>
    </row>
  </sheetData>
  <hyperlinks>
    <hyperlink ref="A37" r:id="rId1" xr:uid="{E4AF025F-C7CC-49E7-9342-93A04EFFF1A9}"/>
    <hyperlink ref="A38" r:id="rId2" xr:uid="{330ECC24-729A-4E66-836D-175B34D96AA2}"/>
  </hyperlinks>
  <pageMargins left="0.7" right="0.7" top="0.75" bottom="0.75" header="0.3" footer="0.3"/>
  <pageSetup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257EEF0067683439435D625ED9E0C6F" ma:contentTypeVersion="16" ma:contentTypeDescription="Ein neues Dokument erstellen." ma:contentTypeScope="" ma:versionID="7c3b3c85306a581dfd5d36fe42e921a9">
  <xsd:schema xmlns:xsd="http://www.w3.org/2001/XMLSchema" xmlns:xs="http://www.w3.org/2001/XMLSchema" xmlns:p="http://schemas.microsoft.com/office/2006/metadata/properties" xmlns:ns2="9a903cf6-a1bb-469c-8ec6-069130e1654e" xmlns:ns3="7e168d4e-f650-4b76-bafd-0826542b0a5c" targetNamespace="http://schemas.microsoft.com/office/2006/metadata/properties" ma:root="true" ma:fieldsID="3d4c2e01e92442e639db957a55f7f7c1" ns2:_="" ns3:_="">
    <xsd:import namespace="9a903cf6-a1bb-469c-8ec6-069130e1654e"/>
    <xsd:import namespace="7e168d4e-f650-4b76-bafd-0826542b0a5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03cf6-a1bb-469c-8ec6-069130e165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1483a60f-3d25-42ae-b010-69d7fed13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e168d4e-f650-4b76-bafd-0826542b0a5c"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4d012372-234a-4566-afb8-2340561d1559}" ma:internalName="TaxCatchAll" ma:showField="CatchAllData" ma:web="7e168d4e-f650-4b76-bafd-0826542b0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a903cf6-a1bb-469c-8ec6-069130e1654e">
      <Terms xmlns="http://schemas.microsoft.com/office/infopath/2007/PartnerControls"/>
    </lcf76f155ced4ddcb4097134ff3c332f>
    <TaxCatchAll xmlns="7e168d4e-f650-4b76-bafd-0826542b0a5c" xsi:nil="true"/>
  </documentManagement>
</p:properties>
</file>

<file path=customXml/itemProps1.xml><?xml version="1.0" encoding="utf-8"?>
<ds:datastoreItem xmlns:ds="http://schemas.openxmlformats.org/officeDocument/2006/customXml" ds:itemID="{F17A0DCE-1A1A-4DBC-AE22-18A9FA03A303}">
  <ds:schemaRefs>
    <ds:schemaRef ds:uri="http://schemas.microsoft.com/sharepoint/v3/contenttype/forms"/>
  </ds:schemaRefs>
</ds:datastoreItem>
</file>

<file path=customXml/itemProps2.xml><?xml version="1.0" encoding="utf-8"?>
<ds:datastoreItem xmlns:ds="http://schemas.openxmlformats.org/officeDocument/2006/customXml" ds:itemID="{DF0EDA9C-84DA-4914-B16A-32C7151D8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03cf6-a1bb-469c-8ec6-069130e1654e"/>
    <ds:schemaRef ds:uri="7e168d4e-f650-4b76-bafd-0826542b0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71D9DE-7E29-426F-8C93-5191A37BEACC}">
  <ds:schemaRefs>
    <ds:schemaRef ds:uri="9a903cf6-a1bb-469c-8ec6-069130e1654e"/>
    <ds:schemaRef ds:uri="7e168d4e-f650-4b76-bafd-0826542b0a5c"/>
    <ds:schemaRef ds:uri="http://purl.org/dc/terms/"/>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Results</vt:lpstr>
      <vt:lpstr>Financial Return</vt:lpstr>
      <vt:lpstr>Costs</vt:lpstr>
      <vt:lpstr>Delay Savings - Bridge Link</vt:lpstr>
      <vt:lpstr>Maintenance Cost Savings</vt:lpstr>
      <vt:lpstr>Structurally Deficient Impact</vt:lpstr>
      <vt:lpstr>Unaccomodated Rail Freight</vt:lpstr>
      <vt:lpstr>Truck VMT VHT reductions</vt:lpstr>
      <vt:lpstr>Emissions</vt:lpstr>
      <vt:lpstr>Crash Reduction</vt:lpstr>
      <vt:lpstr>Land Productivity Benefits</vt:lpstr>
      <vt:lpstr>Reduced Pavement Damage</vt:lpstr>
      <vt:lpstr>VMT-PHT Savings - Storm Close</vt:lpstr>
      <vt:lpstr>TT Benefits - Storm Close</vt:lpstr>
      <vt:lpstr>Repair Cost - Storm Close</vt:lpstr>
      <vt:lpstr>VOC Benefits - Storm Close</vt:lpstr>
      <vt:lpstr>Emission Benefits - Storm Close</vt:lpstr>
      <vt:lpstr>Look Up Data</vt:lpstr>
      <vt:lpstr>Avoided Emissions Summary</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 Hirschman</dc:creator>
  <cp:keywords/>
  <dc:description/>
  <cp:lastModifiedBy>Dilara Sisman</cp:lastModifiedBy>
  <cp:revision/>
  <cp:lastPrinted>2022-08-03T20:26:38Z</cp:lastPrinted>
  <dcterms:created xsi:type="dcterms:W3CDTF">2019-10-06T09:35:23Z</dcterms:created>
  <dcterms:modified xsi:type="dcterms:W3CDTF">2022-08-03T20:26:43Z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0x0101008257EEF0067683439435D625ED9E0C6F</vt:lpwstr>
  </property>
  <property fmtid="{D5CDD505-2E9C-101B-9397-08002B2CF9AE}" pid="3" name="MediaServiceImageTags">
    <vt:lpwstr/>
  </property>
</Properties>
</file>