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fldot-my.sharepoint.com/personal/rebecca_marsey_dot_state_fl_us/Documents/Federal Grant Info/Applications/MEGA - Okeechobee Road Projects/Website Documents/"/>
    </mc:Choice>
  </mc:AlternateContent>
  <xr:revisionPtr revIDLastSave="0" documentId="8_{D2FC764C-BCD7-45C2-BCEA-DED99A4AA05D}" xr6:coauthVersionLast="47" xr6:coauthVersionMax="47" xr10:uidLastSave="{00000000-0000-0000-0000-000000000000}"/>
  <bookViews>
    <workbookView xWindow="-120" yWindow="-120" windowWidth="29040" windowHeight="15840" tabRatio="872" activeTab="1" xr2:uid="{00000000-000D-0000-FFFF-FFFF00000000}"/>
  </bookViews>
  <sheets>
    <sheet name="Inputs" sheetId="1" r:id="rId1"/>
    <sheet name="Benefit-Cost Summary" sheetId="14" r:id="rId2"/>
    <sheet name="NPVCalc" sheetId="4" r:id="rId3"/>
    <sheet name="Capital Costs" sheetId="29" r:id="rId4"/>
    <sheet name="NPVCalcVert" sheetId="27" r:id="rId5"/>
    <sheet name="NPVCalcVertPV" sheetId="28" r:id="rId6"/>
    <sheet name="O&amp;M Cost" sheetId="3" r:id="rId7"/>
    <sheet name="Travel Time Benefits " sheetId="2" r:id="rId8"/>
    <sheet name="Vehicle Op Costs (non-fuel)" sheetId="15" r:id="rId9"/>
    <sheet name="Traditional Crash Analysis" sheetId="39" r:id="rId10"/>
    <sheet name="Crash Benefits" sheetId="17" r:id="rId11"/>
    <sheet name="Emission Reduction Savings " sheetId="33" r:id="rId12"/>
    <sheet name="Fuel Cost savings" sheetId="34" r:id="rId13"/>
    <sheet name="Fuel Consumption Factors" sheetId="18" r:id="rId14"/>
    <sheet name="Emission Factors" sheetId="32" r:id="rId15"/>
    <sheet name="Fact sheet and Improvements" sheetId="38" r:id="rId16"/>
    <sheet name="Modeling area" sheetId="36" state="hidden" r:id="rId17"/>
    <sheet name="zzzCrashes 2011 to 2015" sheetId="37" state="hidden" r:id="rId18"/>
    <sheet name="OilImports_A9" sheetId="22" state="hidden" r:id="rId19"/>
  </sheets>
  <externalReferences>
    <externalReference r:id="rId20"/>
  </externalReferences>
  <definedNames>
    <definedName name="Auto_Occ" localSheetId="11">Inputs!#REF!</definedName>
    <definedName name="Auto_Occ" localSheetId="12">Inputs!#REF!</definedName>
    <definedName name="Auto_Occ" localSheetId="4">Inputs!#REF!</definedName>
    <definedName name="Auto_Occ" localSheetId="5">Inputs!#REF!</definedName>
    <definedName name="Auto_Occ">Inputs!#REF!</definedName>
    <definedName name="Auto_Pct" localSheetId="11">Inputs!#REF!</definedName>
    <definedName name="Auto_Pct" localSheetId="12">Inputs!#REF!</definedName>
    <definedName name="Auto_Pct" localSheetId="4">Inputs!#REF!</definedName>
    <definedName name="Auto_Pct" localSheetId="5">Inputs!#REF!</definedName>
    <definedName name="Auto_Pct">Inputs!#REF!</definedName>
    <definedName name="Auto_Time_V">[1]Inputs!$D$28</definedName>
    <definedName name="BR_Delay">[1]Inputs!$E$41</definedName>
    <definedName name="Disc">Inputs!$C$4</definedName>
    <definedName name="Exp_Factor">Inputs!$C$10</definedName>
    <definedName name="Inf">Inputs!$C$7</definedName>
    <definedName name="_xlnm.Print_Area" localSheetId="1">'Benefit-Cost Summary'!$A$2:$C$22</definedName>
    <definedName name="_xlnm.Print_Area" localSheetId="0">Inputs!$A$1:$M$54</definedName>
    <definedName name="_xlnm.Print_Area" localSheetId="18">OilImports_A9!$B$1:$AM$11</definedName>
    <definedName name="_xlnm.Print_Titles" localSheetId="10">'Crash Benefits'!$B:$C</definedName>
    <definedName name="_xlnm.Print_Titles" localSheetId="11">'Emission Reduction Savings '!$B:$G</definedName>
    <definedName name="_xlnm.Print_Titles" localSheetId="12">'Fuel Cost savings'!$B:$D</definedName>
    <definedName name="_xlnm.Print_Titles" localSheetId="0">Inputs!$1:$2</definedName>
    <definedName name="_xlnm.Print_Titles" localSheetId="2">NPVCalc!$B:$G</definedName>
    <definedName name="_xlnm.Print_Titles" localSheetId="4">NPVCalcVert!$A:$A</definedName>
    <definedName name="_xlnm.Print_Titles" localSheetId="5">NPVCalcVertPV!$A:$A</definedName>
    <definedName name="_xlnm.Print_Titles" localSheetId="6">'O&amp;M Cost'!$A:$D</definedName>
    <definedName name="_xlnm.Print_Titles" localSheetId="18">OilImports_A9!$B:$C</definedName>
    <definedName name="_xlnm.Print_Titles" localSheetId="7">'Travel Time Benefits '!$B:$C</definedName>
    <definedName name="_xlnm.Print_Titles" localSheetId="8">'Vehicle Op Costs (non-fuel)'!$B:$D</definedName>
    <definedName name="Rail_DelayCost" localSheetId="11">Inputs!#REF!</definedName>
    <definedName name="Rail_DelayCost" localSheetId="12">Inputs!#REF!</definedName>
    <definedName name="Rail_DelayCost" localSheetId="4">Inputs!#REF!</definedName>
    <definedName name="Rail_DelayCost" localSheetId="5">Inputs!#REF!</definedName>
    <definedName name="Rail_DelayCost">Inputs!#REF!</definedName>
    <definedName name="Rail_OperationDays" localSheetId="11">Inputs!#REF!</definedName>
    <definedName name="Rail_OperationDays" localSheetId="12">Inputs!#REF!</definedName>
    <definedName name="Rail_OperationDays" localSheetId="4">Inputs!#REF!</definedName>
    <definedName name="Rail_OperationDays" localSheetId="5">Inputs!#REF!</definedName>
    <definedName name="Rail_OperationDays">Inputs!#REF!</definedName>
    <definedName name="Truck_Pct" localSheetId="11">Inputs!#REF!</definedName>
    <definedName name="Truck_Pct" localSheetId="12">Inputs!#REF!</definedName>
    <definedName name="Truck_Pct" localSheetId="4">Inputs!#REF!</definedName>
    <definedName name="Truck_Pct" localSheetId="5">Inputs!#REF!</definedName>
    <definedName name="Truck_Pct">Inputs!#REF!</definedName>
    <definedName name="Truck_Time_V">[1]Inputs!$D$29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1" i="14" l="1"/>
  <c r="G11" i="14"/>
  <c r="C6" i="14"/>
  <c r="C5" i="14"/>
  <c r="O5" i="3"/>
  <c r="P5" i="3"/>
  <c r="Q5" i="3"/>
  <c r="R5" i="3"/>
  <c r="S5" i="3"/>
  <c r="T5" i="3"/>
  <c r="U5" i="3"/>
  <c r="V5" i="3"/>
  <c r="W5" i="3"/>
  <c r="X5" i="3"/>
  <c r="Y5" i="3"/>
  <c r="Z5" i="3"/>
  <c r="AA5" i="3"/>
  <c r="AB5" i="3"/>
  <c r="AC5" i="3"/>
  <c r="AD5" i="3"/>
  <c r="AE5" i="3"/>
  <c r="AF5" i="3"/>
  <c r="AG5" i="3"/>
  <c r="N5" i="3"/>
  <c r="J3" i="2"/>
  <c r="J2" i="2"/>
  <c r="AS17" i="4"/>
  <c r="C10" i="29"/>
  <c r="C31" i="29" l="1"/>
  <c r="C33" i="29"/>
  <c r="I22" i="27" l="1"/>
  <c r="H22" i="28" s="1"/>
  <c r="D33" i="29"/>
  <c r="I20" i="27"/>
  <c r="H20" i="28" s="1"/>
  <c r="D31" i="29"/>
  <c r="P5" i="4"/>
  <c r="O5" i="4" s="1"/>
  <c r="N5" i="4" s="1"/>
  <c r="M5" i="4" s="1"/>
  <c r="L5" i="4" s="1"/>
  <c r="K5" i="4" s="1"/>
  <c r="J5" i="4" s="1"/>
  <c r="C32" i="29"/>
  <c r="C30" i="29"/>
  <c r="C26" i="29"/>
  <c r="C27" i="29"/>
  <c r="C28" i="29"/>
  <c r="C29" i="29"/>
  <c r="C25" i="29"/>
  <c r="C24" i="29"/>
  <c r="I13" i="27" s="1"/>
  <c r="H13" i="28" s="1"/>
  <c r="K13" i="28" s="1"/>
  <c r="C23" i="29"/>
  <c r="I12" i="27" s="1"/>
  <c r="H12" i="28" s="1"/>
  <c r="K12" i="28" s="1"/>
  <c r="C22" i="29"/>
  <c r="I11" i="27" s="1"/>
  <c r="H11" i="28" s="1"/>
  <c r="K11" i="28" s="1"/>
  <c r="C21" i="29"/>
  <c r="I10" i="27" s="1"/>
  <c r="H10" i="28" s="1"/>
  <c r="K10" i="28" s="1"/>
  <c r="C20" i="29"/>
  <c r="I9" i="27" s="1"/>
  <c r="H9" i="28" s="1"/>
  <c r="K9" i="28" s="1"/>
  <c r="C19" i="29"/>
  <c r="I8" i="27" s="1"/>
  <c r="H8" i="28" s="1"/>
  <c r="K8" i="28" s="1"/>
  <c r="C18" i="29"/>
  <c r="I7" i="27" s="1"/>
  <c r="H7" i="28" s="1"/>
  <c r="K7" i="28" s="1"/>
  <c r="C17" i="29"/>
  <c r="I6" i="27" s="1"/>
  <c r="H6" i="28" s="1"/>
  <c r="K6" i="28" s="1"/>
  <c r="C16" i="29"/>
  <c r="I5" i="27" s="1"/>
  <c r="H5" i="28" s="1"/>
  <c r="K5" i="28" s="1"/>
  <c r="I2" i="29"/>
  <c r="H22" i="4" l="1"/>
  <c r="H24" i="4" s="1"/>
  <c r="I22" i="4"/>
  <c r="I24" i="4" s="1"/>
  <c r="J22" i="4"/>
  <c r="J24" i="4" s="1"/>
  <c r="K22" i="4"/>
  <c r="K24" i="4" s="1"/>
  <c r="D19" i="29"/>
  <c r="I14" i="27"/>
  <c r="H14" i="28" s="1"/>
  <c r="D25" i="29"/>
  <c r="I18" i="27"/>
  <c r="H18" i="28" s="1"/>
  <c r="D29" i="29"/>
  <c r="I17" i="27"/>
  <c r="H17" i="28" s="1"/>
  <c r="D28" i="29"/>
  <c r="I16" i="27"/>
  <c r="H16" i="28" s="1"/>
  <c r="D27" i="29"/>
  <c r="I19" i="27"/>
  <c r="H19" i="28" s="1"/>
  <c r="D30" i="29"/>
  <c r="I21" i="27"/>
  <c r="H21" i="28" s="1"/>
  <c r="D32" i="29"/>
  <c r="I15" i="27"/>
  <c r="H15" i="28" s="1"/>
  <c r="D26" i="29"/>
  <c r="D23" i="29"/>
  <c r="D18" i="29"/>
  <c r="D17" i="29"/>
  <c r="D24" i="29"/>
  <c r="D22" i="29"/>
  <c r="D20" i="29"/>
  <c r="M22" i="4"/>
  <c r="M24" i="4" s="1"/>
  <c r="N22" i="4"/>
  <c r="N24" i="4" s="1"/>
  <c r="O22" i="4"/>
  <c r="O24" i="4" s="1"/>
  <c r="P22" i="4"/>
  <c r="P24" i="4" s="1"/>
  <c r="L22" i="4"/>
  <c r="L24" i="4" s="1"/>
  <c r="C34" i="29"/>
  <c r="D16" i="29"/>
  <c r="D21" i="29"/>
  <c r="D34" i="29" l="1"/>
  <c r="G22" i="4"/>
  <c r="F22" i="4"/>
  <c r="Y19" i="4" l="1"/>
  <c r="J14" i="2"/>
  <c r="K14" i="2"/>
  <c r="L14" i="2"/>
  <c r="C10" i="1"/>
  <c r="C33" i="39" l="1"/>
  <c r="L5" i="39" s="1"/>
  <c r="C43" i="39"/>
  <c r="L15" i="39" s="1"/>
  <c r="C54" i="39"/>
  <c r="L25" i="39" s="1"/>
  <c r="D24" i="39"/>
  <c r="K6" i="39" s="1"/>
  <c r="L4" i="39" l="1"/>
  <c r="L7" i="39"/>
  <c r="L6" i="39"/>
  <c r="L8" i="39"/>
  <c r="L22" i="39"/>
  <c r="L23" i="39"/>
  <c r="L14" i="39"/>
  <c r="L24" i="39"/>
  <c r="L18" i="39"/>
  <c r="L26" i="39"/>
  <c r="L17" i="39"/>
  <c r="L16" i="39"/>
  <c r="K7" i="39"/>
  <c r="K4" i="39"/>
  <c r="K8" i="39"/>
  <c r="K5" i="39"/>
  <c r="I41" i="27"/>
  <c r="AR17" i="4"/>
  <c r="AR24" i="4"/>
  <c r="B26" i="39"/>
  <c r="D26" i="39" s="1"/>
  <c r="B25" i="39"/>
  <c r="D25" i="39" s="1"/>
  <c r="G21" i="39"/>
  <c r="J26" i="39" s="1"/>
  <c r="F21" i="39"/>
  <c r="J25" i="39" s="1"/>
  <c r="E21" i="39"/>
  <c r="J24" i="39" s="1"/>
  <c r="D21" i="39"/>
  <c r="J23" i="39" s="1"/>
  <c r="C21" i="39"/>
  <c r="J22" i="39" s="1"/>
  <c r="G18" i="39"/>
  <c r="J18" i="39" s="1"/>
  <c r="F18" i="39"/>
  <c r="J17" i="39" s="1"/>
  <c r="E18" i="39"/>
  <c r="J16" i="39" s="1"/>
  <c r="D18" i="39"/>
  <c r="J15" i="39" s="1"/>
  <c r="C18" i="39"/>
  <c r="J14" i="39" s="1"/>
  <c r="G10" i="39"/>
  <c r="F10" i="39"/>
  <c r="E10" i="39"/>
  <c r="D10" i="39"/>
  <c r="C10" i="39"/>
  <c r="M4" i="39" l="1"/>
  <c r="M5" i="39"/>
  <c r="G17" i="4"/>
  <c r="C14" i="14" s="1"/>
  <c r="G8" i="14" s="1"/>
  <c r="F17" i="4"/>
  <c r="F8" i="14" s="1"/>
  <c r="K41" i="27"/>
  <c r="AR19" i="4"/>
  <c r="J41" i="27" s="1"/>
  <c r="K24" i="39"/>
  <c r="M24" i="39" s="1"/>
  <c r="K23" i="39"/>
  <c r="M23" i="39" s="1"/>
  <c r="K17" i="39"/>
  <c r="M17" i="39" s="1"/>
  <c r="K25" i="39"/>
  <c r="M25" i="39" s="1"/>
  <c r="K14" i="39"/>
  <c r="M14" i="39" s="1"/>
  <c r="K15" i="39"/>
  <c r="M15" i="39" s="1"/>
  <c r="K26" i="39"/>
  <c r="M26" i="39" s="1"/>
  <c r="K22" i="39"/>
  <c r="M22" i="39" s="1"/>
  <c r="M8" i="39"/>
  <c r="K16" i="39"/>
  <c r="K18" i="39"/>
  <c r="M18" i="39" s="1"/>
  <c r="Q8" i="39" l="1"/>
  <c r="M19" i="17" s="1"/>
  <c r="N19" i="17" s="1"/>
  <c r="O19" i="17" s="1"/>
  <c r="M16" i="39"/>
  <c r="P6" i="39"/>
  <c r="M14" i="17" s="1"/>
  <c r="N14" i="17" s="1"/>
  <c r="O14" i="17" s="1"/>
  <c r="P5" i="39"/>
  <c r="M15" i="17" s="1"/>
  <c r="N15" i="17" s="1"/>
  <c r="O15" i="17" s="1"/>
  <c r="P4" i="39"/>
  <c r="M16" i="17" s="1"/>
  <c r="N16" i="17" s="1"/>
  <c r="O16" i="17" s="1"/>
  <c r="Q4" i="39"/>
  <c r="M23" i="17" s="1"/>
  <c r="N23" i="17" s="1"/>
  <c r="O23" i="17" s="1"/>
  <c r="P7" i="39"/>
  <c r="M13" i="17" s="1"/>
  <c r="N13" i="17" s="1"/>
  <c r="O13" i="17" s="1"/>
  <c r="Q5" i="39"/>
  <c r="M22" i="17" s="1"/>
  <c r="N22" i="17" s="1"/>
  <c r="O22" i="17" s="1"/>
  <c r="P8" i="39"/>
  <c r="M12" i="17" s="1"/>
  <c r="N12" i="17" s="1"/>
  <c r="O12" i="17" s="1"/>
  <c r="N2" i="3"/>
  <c r="M7" i="39"/>
  <c r="Q7" i="39" s="1"/>
  <c r="M20" i="17" s="1"/>
  <c r="N20" i="17" s="1"/>
  <c r="O20" i="17" s="1"/>
  <c r="M6" i="39"/>
  <c r="Q6" i="39" s="1"/>
  <c r="M21" i="17" s="1"/>
  <c r="N21" i="17" s="1"/>
  <c r="O21" i="17" s="1"/>
  <c r="X23" i="4" l="1"/>
  <c r="Y23" i="4"/>
  <c r="S41" i="37" l="1"/>
  <c r="S40" i="37"/>
  <c r="S39" i="37"/>
  <c r="S42" i="37" s="1"/>
  <c r="S24" i="37"/>
  <c r="S23" i="37"/>
  <c r="S22" i="37"/>
  <c r="S25" i="37" s="1"/>
  <c r="S8" i="37"/>
  <c r="S6" i="37"/>
  <c r="S7" i="37"/>
  <c r="S5" i="37"/>
  <c r="P42" i="37"/>
  <c r="O42" i="37"/>
  <c r="N42" i="37"/>
  <c r="M42" i="37"/>
  <c r="L42" i="37"/>
  <c r="P25" i="37"/>
  <c r="O25" i="37"/>
  <c r="N25" i="37"/>
  <c r="M25" i="37"/>
  <c r="L25" i="37"/>
  <c r="R40" i="37"/>
  <c r="R41" i="37"/>
  <c r="R39" i="37"/>
  <c r="R23" i="37"/>
  <c r="R24" i="37"/>
  <c r="R22" i="37"/>
  <c r="Q41" i="37"/>
  <c r="Q40" i="37"/>
  <c r="Q39" i="37"/>
  <c r="Q42" i="37" s="1"/>
  <c r="Q24" i="37"/>
  <c r="Q23" i="37"/>
  <c r="Q22" i="37"/>
  <c r="R8" i="37"/>
  <c r="R6" i="37"/>
  <c r="R7" i="37"/>
  <c r="R5" i="37"/>
  <c r="M8" i="37"/>
  <c r="N8" i="37"/>
  <c r="O8" i="37"/>
  <c r="P8" i="37"/>
  <c r="Q8" i="37"/>
  <c r="L8" i="37"/>
  <c r="Q6" i="37"/>
  <c r="Q7" i="37"/>
  <c r="Q5" i="37"/>
  <c r="G47" i="37"/>
  <c r="H47" i="37" s="1"/>
  <c r="G46" i="37"/>
  <c r="I46" i="37" s="1"/>
  <c r="G45" i="37"/>
  <c r="H45" i="37" s="1"/>
  <c r="G44" i="37"/>
  <c r="I44" i="37" s="1"/>
  <c r="G43" i="37"/>
  <c r="H43" i="37" s="1"/>
  <c r="G42" i="37"/>
  <c r="I42" i="37" s="1"/>
  <c r="G41" i="37"/>
  <c r="I41" i="37" s="1"/>
  <c r="G40" i="37"/>
  <c r="I40" i="37" s="1"/>
  <c r="G39" i="37"/>
  <c r="G48" i="37" s="1"/>
  <c r="I48" i="37" s="1"/>
  <c r="F48" i="37"/>
  <c r="E48" i="37"/>
  <c r="D48" i="37"/>
  <c r="C48" i="37"/>
  <c r="B48" i="37"/>
  <c r="F31" i="37"/>
  <c r="E31" i="37"/>
  <c r="D31" i="37"/>
  <c r="C31" i="37"/>
  <c r="B31" i="37"/>
  <c r="G30" i="37"/>
  <c r="I30" i="37" s="1"/>
  <c r="G29" i="37"/>
  <c r="I29" i="37" s="1"/>
  <c r="G28" i="37"/>
  <c r="H28" i="37" s="1"/>
  <c r="G27" i="37"/>
  <c r="I27" i="37" s="1"/>
  <c r="G26" i="37"/>
  <c r="I26" i="37" s="1"/>
  <c r="G25" i="37"/>
  <c r="I25" i="37" s="1"/>
  <c r="G24" i="37"/>
  <c r="H24" i="37" s="1"/>
  <c r="G23" i="37"/>
  <c r="I23" i="37" s="1"/>
  <c r="G22" i="37"/>
  <c r="I22" i="37" s="1"/>
  <c r="I14" i="37"/>
  <c r="I6" i="37"/>
  <c r="I7" i="37"/>
  <c r="I8" i="37"/>
  <c r="I9" i="37"/>
  <c r="I10" i="37"/>
  <c r="I11" i="37"/>
  <c r="I12" i="37"/>
  <c r="I13" i="37"/>
  <c r="I5" i="37"/>
  <c r="H14" i="37"/>
  <c r="H6" i="37"/>
  <c r="H7" i="37"/>
  <c r="H8" i="37"/>
  <c r="H9" i="37"/>
  <c r="H10" i="37"/>
  <c r="H11" i="37"/>
  <c r="H12" i="37"/>
  <c r="H13" i="37"/>
  <c r="H5" i="37"/>
  <c r="C14" i="37"/>
  <c r="D14" i="37"/>
  <c r="E14" i="37"/>
  <c r="F14" i="37"/>
  <c r="G14" i="37"/>
  <c r="B14" i="37"/>
  <c r="G6" i="37"/>
  <c r="G7" i="37"/>
  <c r="G8" i="37"/>
  <c r="G9" i="37"/>
  <c r="G10" i="37"/>
  <c r="G11" i="37"/>
  <c r="G12" i="37"/>
  <c r="G13" i="37"/>
  <c r="G5" i="37"/>
  <c r="R25" i="37" l="1"/>
  <c r="R42" i="37"/>
  <c r="Q25" i="37"/>
  <c r="I45" i="37"/>
  <c r="H41" i="37"/>
  <c r="H46" i="37"/>
  <c r="H39" i="37"/>
  <c r="I47" i="37"/>
  <c r="H42" i="37"/>
  <c r="I43" i="37"/>
  <c r="H40" i="37"/>
  <c r="H44" i="37"/>
  <c r="I39" i="37"/>
  <c r="I28" i="37"/>
  <c r="H25" i="37"/>
  <c r="I24" i="37"/>
  <c r="H22" i="37"/>
  <c r="H26" i="37"/>
  <c r="H30" i="37"/>
  <c r="H29" i="37"/>
  <c r="G31" i="37"/>
  <c r="I31" i="37" s="1"/>
  <c r="H23" i="37"/>
  <c r="H27" i="37"/>
  <c r="H48" i="37" l="1"/>
  <c r="H31" i="37"/>
  <c r="U63" i="1"/>
  <c r="T63" i="1"/>
  <c r="R63" i="1"/>
  <c r="Q63" i="1"/>
  <c r="O63" i="1"/>
  <c r="N63" i="1"/>
  <c r="L63" i="1"/>
  <c r="K63" i="1"/>
  <c r="P59" i="1"/>
  <c r="P61" i="1" s="1"/>
  <c r="P55" i="1"/>
  <c r="P56" i="1" l="1"/>
  <c r="C61" i="1" s="1"/>
  <c r="P57" i="1"/>
  <c r="P60" i="1"/>
  <c r="P62" i="1" s="1"/>
  <c r="P63" i="1"/>
  <c r="P58" i="1" l="1"/>
  <c r="C57" i="1"/>
  <c r="X24" i="4"/>
  <c r="D37" i="33" l="1"/>
  <c r="E37" i="33"/>
  <c r="F37" i="33"/>
  <c r="C37" i="33"/>
  <c r="D33" i="33"/>
  <c r="E33" i="33"/>
  <c r="F33" i="33"/>
  <c r="C33" i="33"/>
  <c r="F29" i="33"/>
  <c r="D29" i="33"/>
  <c r="E29" i="33"/>
  <c r="C29" i="33"/>
  <c r="D85" i="1"/>
  <c r="I40" i="27" l="1"/>
  <c r="I39" i="27"/>
  <c r="I38" i="27"/>
  <c r="I37" i="27"/>
  <c r="I36" i="27"/>
  <c r="U23" i="4"/>
  <c r="U24" i="4" s="1"/>
  <c r="T23" i="4"/>
  <c r="W23" i="4" l="1"/>
  <c r="V23" i="4"/>
  <c r="AO24" i="4"/>
  <c r="AP24" i="4"/>
  <c r="AQ24" i="4"/>
  <c r="AC11" i="2"/>
  <c r="AD11" i="2"/>
  <c r="AE11" i="2"/>
  <c r="V59" i="1"/>
  <c r="V61" i="1" s="1"/>
  <c r="V55" i="1"/>
  <c r="S59" i="1"/>
  <c r="S61" i="1" s="1"/>
  <c r="S55" i="1"/>
  <c r="M59" i="1"/>
  <c r="M55" i="1"/>
  <c r="V56" i="1" l="1"/>
  <c r="E61" i="1" s="1"/>
  <c r="V57" i="1"/>
  <c r="M57" i="1"/>
  <c r="M56" i="1"/>
  <c r="S56" i="1"/>
  <c r="E60" i="1" s="1"/>
  <c r="S57" i="1"/>
  <c r="S58" i="1" s="1"/>
  <c r="C60" i="1"/>
  <c r="V60" i="1"/>
  <c r="V62" i="1" s="1"/>
  <c r="M61" i="1"/>
  <c r="M60" i="1"/>
  <c r="S60" i="1"/>
  <c r="S62" i="1" s="1"/>
  <c r="M63" i="1"/>
  <c r="S63" i="1"/>
  <c r="V63" i="1"/>
  <c r="W24" i="4"/>
  <c r="V24" i="4"/>
  <c r="V58" i="1" l="1"/>
  <c r="AD6" i="17"/>
  <c r="AF6" i="34"/>
  <c r="D60" i="1"/>
  <c r="M62" i="1"/>
  <c r="M58" i="1"/>
  <c r="AD7" i="17"/>
  <c r="AG7" i="33"/>
  <c r="D61" i="1"/>
  <c r="E56" i="1"/>
  <c r="D56" i="1" s="1"/>
  <c r="M6" i="2" s="1"/>
  <c r="AD6" i="15"/>
  <c r="AG6" i="33"/>
  <c r="E57" i="1"/>
  <c r="C56" i="1"/>
  <c r="AF7" i="34"/>
  <c r="AD7" i="15"/>
  <c r="O7" i="34" l="1"/>
  <c r="M7" i="15"/>
  <c r="N7" i="15" s="1"/>
  <c r="O7" i="15" s="1"/>
  <c r="P7" i="15" s="1"/>
  <c r="Q7" i="15" s="1"/>
  <c r="R7" i="15" s="1"/>
  <c r="S7" i="15" s="1"/>
  <c r="T7" i="15" s="1"/>
  <c r="U7" i="15" s="1"/>
  <c r="V7" i="15" s="1"/>
  <c r="W7" i="15" s="1"/>
  <c r="X7" i="15" s="1"/>
  <c r="Y7" i="15" s="1"/>
  <c r="Z7" i="15" s="1"/>
  <c r="AA7" i="15" s="1"/>
  <c r="AB7" i="15" s="1"/>
  <c r="AC7" i="15" s="1"/>
  <c r="P7" i="33"/>
  <c r="M7" i="17"/>
  <c r="M6" i="17"/>
  <c r="O6" i="34"/>
  <c r="P6" i="33"/>
  <c r="AH6" i="33" s="1"/>
  <c r="M6" i="15"/>
  <c r="AE6" i="15" s="1"/>
  <c r="AF6" i="15" s="1"/>
  <c r="AH7" i="33"/>
  <c r="P7" i="34"/>
  <c r="Q7" i="34" s="1"/>
  <c r="R7" i="34" s="1"/>
  <c r="S7" i="34" s="1"/>
  <c r="T7" i="34" s="1"/>
  <c r="U7" i="34" s="1"/>
  <c r="V7" i="34" s="1"/>
  <c r="W7" i="34" s="1"/>
  <c r="X7" i="34" s="1"/>
  <c r="Y7" i="34" s="1"/>
  <c r="Z7" i="34" s="1"/>
  <c r="AA7" i="34" s="1"/>
  <c r="AB7" i="34" s="1"/>
  <c r="AC7" i="34" s="1"/>
  <c r="AD7" i="34" s="1"/>
  <c r="AE7" i="34" s="1"/>
  <c r="AG7" i="34"/>
  <c r="AH7" i="34" s="1"/>
  <c r="AI7" i="34" s="1"/>
  <c r="AD7" i="2"/>
  <c r="D57" i="1"/>
  <c r="M7" i="2" s="1"/>
  <c r="AD6" i="2"/>
  <c r="AE7" i="17" l="1"/>
  <c r="AF7" i="17" s="1"/>
  <c r="AE7" i="15"/>
  <c r="AF7" i="15" s="1"/>
  <c r="N6" i="15"/>
  <c r="O6" i="15" s="1"/>
  <c r="P6" i="15" s="1"/>
  <c r="Q6" i="15" s="1"/>
  <c r="R6" i="15" s="1"/>
  <c r="S6" i="15" s="1"/>
  <c r="T6" i="15" s="1"/>
  <c r="U6" i="15" s="1"/>
  <c r="V6" i="15" s="1"/>
  <c r="W6" i="15" s="1"/>
  <c r="X6" i="15" s="1"/>
  <c r="Y6" i="15" s="1"/>
  <c r="Z6" i="15" s="1"/>
  <c r="AA6" i="15" s="1"/>
  <c r="AB6" i="15" s="1"/>
  <c r="AC6" i="15" s="1"/>
  <c r="AI7" i="33"/>
  <c r="AJ7" i="33" s="1"/>
  <c r="Q6" i="33"/>
  <c r="R6" i="33" s="1"/>
  <c r="S6" i="33" s="1"/>
  <c r="T6" i="33" s="1"/>
  <c r="U6" i="33" s="1"/>
  <c r="V6" i="33" s="1"/>
  <c r="W6" i="33" s="1"/>
  <c r="X6" i="33" s="1"/>
  <c r="Y6" i="33" s="1"/>
  <c r="Z6" i="33" s="1"/>
  <c r="AA6" i="33" s="1"/>
  <c r="AB6" i="33" s="1"/>
  <c r="AC6" i="33" s="1"/>
  <c r="AD6" i="33" s="1"/>
  <c r="AE6" i="33" s="1"/>
  <c r="AF6" i="33" s="1"/>
  <c r="AI6" i="33"/>
  <c r="AJ6" i="33" s="1"/>
  <c r="AG6" i="34"/>
  <c r="N6" i="17"/>
  <c r="M37" i="17"/>
  <c r="M35" i="17"/>
  <c r="M36" i="17"/>
  <c r="M38" i="17"/>
  <c r="M39" i="17"/>
  <c r="M29" i="17"/>
  <c r="M30" i="17"/>
  <c r="M31" i="17"/>
  <c r="M32" i="17"/>
  <c r="M28" i="17"/>
  <c r="AE6" i="17"/>
  <c r="AF6" i="17" s="1"/>
  <c r="AH6" i="34"/>
  <c r="AI6" i="34" s="1"/>
  <c r="N7" i="17"/>
  <c r="AE6" i="2"/>
  <c r="AF6" i="2" s="1"/>
  <c r="F56" i="1" s="1"/>
  <c r="N6" i="2"/>
  <c r="AE7" i="2"/>
  <c r="AF7" i="2" s="1"/>
  <c r="F57" i="1" s="1"/>
  <c r="N7" i="2"/>
  <c r="O7" i="2" s="1"/>
  <c r="P7" i="2" s="1"/>
  <c r="Q7" i="2" s="1"/>
  <c r="R7" i="2" s="1"/>
  <c r="S7" i="2" s="1"/>
  <c r="T7" i="2" s="1"/>
  <c r="U7" i="2" s="1"/>
  <c r="V7" i="2" s="1"/>
  <c r="W7" i="2" s="1"/>
  <c r="X7" i="2" s="1"/>
  <c r="Y7" i="2" s="1"/>
  <c r="Z7" i="2" s="1"/>
  <c r="AA7" i="2" s="1"/>
  <c r="AB7" i="2" s="1"/>
  <c r="AC7" i="2" s="1"/>
  <c r="F60" i="1" l="1"/>
  <c r="F61" i="1"/>
  <c r="O6" i="2"/>
  <c r="P6" i="2" s="1"/>
  <c r="Q6" i="2" s="1"/>
  <c r="R6" i="2" s="1"/>
  <c r="S6" i="2" s="1"/>
  <c r="T6" i="2" s="1"/>
  <c r="U6" i="2" s="1"/>
  <c r="V6" i="2" s="1"/>
  <c r="W6" i="2" s="1"/>
  <c r="X6" i="2" s="1"/>
  <c r="Y6" i="2" s="1"/>
  <c r="Z6" i="2" s="1"/>
  <c r="AA6" i="2" s="1"/>
  <c r="AB6" i="2" s="1"/>
  <c r="AC6" i="2" s="1"/>
  <c r="G57" i="1"/>
  <c r="N29" i="17"/>
  <c r="N31" i="17"/>
  <c r="N32" i="17"/>
  <c r="N30" i="17"/>
  <c r="N28" i="17"/>
  <c r="N35" i="17"/>
  <c r="N39" i="17"/>
  <c r="N37" i="17"/>
  <c r="N36" i="17"/>
  <c r="N38" i="17"/>
  <c r="O7" i="17"/>
  <c r="O6" i="17"/>
  <c r="P6" i="17" s="1"/>
  <c r="Q6" i="17" s="1"/>
  <c r="R6" i="17" s="1"/>
  <c r="S6" i="17" s="1"/>
  <c r="T6" i="17" s="1"/>
  <c r="U6" i="17" s="1"/>
  <c r="V6" i="17" s="1"/>
  <c r="W6" i="17" s="1"/>
  <c r="X6" i="17" s="1"/>
  <c r="Y6" i="17" s="1"/>
  <c r="Z6" i="17" s="1"/>
  <c r="AA6" i="17" s="1"/>
  <c r="AB6" i="17" s="1"/>
  <c r="AC6" i="17" s="1"/>
  <c r="D33" i="1"/>
  <c r="J2" i="17" l="1"/>
  <c r="N45" i="17"/>
  <c r="N52" i="17" s="1"/>
  <c r="N43" i="17"/>
  <c r="N50" i="17" s="1"/>
  <c r="G60" i="1"/>
  <c r="N46" i="17"/>
  <c r="N53" i="17" s="1"/>
  <c r="G56" i="1"/>
  <c r="N42" i="17"/>
  <c r="N49" i="17" s="1"/>
  <c r="P7" i="17"/>
  <c r="Q7" i="17" s="1"/>
  <c r="R7" i="17" s="1"/>
  <c r="S7" i="17" s="1"/>
  <c r="T7" i="17" s="1"/>
  <c r="U7" i="17" s="1"/>
  <c r="V7" i="17" s="1"/>
  <c r="W7" i="17" s="1"/>
  <c r="X7" i="17" s="1"/>
  <c r="Y7" i="17" s="1"/>
  <c r="Z7" i="17" s="1"/>
  <c r="AA7" i="17" s="1"/>
  <c r="AB7" i="17" s="1"/>
  <c r="AC7" i="17" s="1"/>
  <c r="G61" i="1" s="1"/>
  <c r="N44" i="17"/>
  <c r="N51" i="17" s="1"/>
  <c r="N55" i="17" s="1"/>
  <c r="D99" i="1"/>
  <c r="J3" i="17" l="1"/>
  <c r="Z10" i="4"/>
  <c r="D23" i="27"/>
  <c r="C23" i="28" s="1"/>
  <c r="D11" i="2"/>
  <c r="E11" i="2"/>
  <c r="F11" i="2"/>
  <c r="G11" i="2"/>
  <c r="H11" i="2"/>
  <c r="I11" i="2"/>
  <c r="J11" i="2"/>
  <c r="K11" i="2"/>
  <c r="L11" i="2"/>
  <c r="M11" i="2"/>
  <c r="N11" i="2"/>
  <c r="O11" i="2"/>
  <c r="P11" i="2"/>
  <c r="Q11" i="2"/>
  <c r="R11" i="2"/>
  <c r="S11" i="2"/>
  <c r="T11" i="2"/>
  <c r="U11" i="2"/>
  <c r="V11" i="2"/>
  <c r="W11" i="2"/>
  <c r="X11" i="2"/>
  <c r="Y11" i="2"/>
  <c r="Z11" i="2"/>
  <c r="AA11" i="2"/>
  <c r="AB11" i="2"/>
  <c r="D89" i="1"/>
  <c r="D88" i="1"/>
  <c r="D87" i="1"/>
  <c r="D84" i="1"/>
  <c r="D86" i="1" l="1"/>
  <c r="P14" i="17" l="1"/>
  <c r="P15" i="17" l="1"/>
  <c r="Q14" i="17"/>
  <c r="R14" i="17" l="1"/>
  <c r="Q15" i="17"/>
  <c r="Q23" i="4"/>
  <c r="S23" i="4"/>
  <c r="R23" i="4"/>
  <c r="F23" i="4" l="1"/>
  <c r="F24" i="4" s="1"/>
  <c r="P20" i="17"/>
  <c r="R15" i="17"/>
  <c r="P13" i="17"/>
  <c r="S14" i="17"/>
  <c r="P22" i="17"/>
  <c r="P23" i="17" l="1"/>
  <c r="Q22" i="17"/>
  <c r="T14" i="17"/>
  <c r="Q13" i="17"/>
  <c r="S15" i="17"/>
  <c r="P16" i="17"/>
  <c r="Q20" i="17"/>
  <c r="P21" i="17"/>
  <c r="U14" i="17" l="1"/>
  <c r="Q16" i="17"/>
  <c r="R13" i="17"/>
  <c r="Q21" i="17"/>
  <c r="R20" i="17"/>
  <c r="R22" i="17"/>
  <c r="T15" i="17"/>
  <c r="Q23" i="17"/>
  <c r="R21" i="17" l="1"/>
  <c r="R23" i="17"/>
  <c r="V14" i="17"/>
  <c r="S13" i="17"/>
  <c r="U15" i="17"/>
  <c r="S22" i="17"/>
  <c r="R16" i="17"/>
  <c r="S20" i="17"/>
  <c r="T13" i="17" l="1"/>
  <c r="V15" i="17"/>
  <c r="W14" i="17"/>
  <c r="S23" i="17"/>
  <c r="T20" i="17"/>
  <c r="S16" i="17"/>
  <c r="T22" i="17"/>
  <c r="S21" i="17"/>
  <c r="T23" i="17" l="1"/>
  <c r="U20" i="17"/>
  <c r="T21" i="17"/>
  <c r="X14" i="17"/>
  <c r="U22" i="17"/>
  <c r="W15" i="17"/>
  <c r="T16" i="17"/>
  <c r="U13" i="17"/>
  <c r="AO19" i="4" l="1"/>
  <c r="J38" i="27" s="1"/>
  <c r="AQ19" i="4"/>
  <c r="J40" i="27" s="1"/>
  <c r="AP19" i="4"/>
  <c r="J39" i="27" s="1"/>
  <c r="V13" i="17"/>
  <c r="Y14" i="17"/>
  <c r="U16" i="17"/>
  <c r="V22" i="17"/>
  <c r="U21" i="17"/>
  <c r="X15" i="17"/>
  <c r="V20" i="17"/>
  <c r="U23" i="17"/>
  <c r="D64" i="1" l="1"/>
  <c r="E10" i="34" s="1"/>
  <c r="E15" i="34" s="1"/>
  <c r="D65" i="1"/>
  <c r="F11" i="34" s="1"/>
  <c r="F16" i="34" s="1"/>
  <c r="V23" i="17"/>
  <c r="W22" i="17"/>
  <c r="P19" i="17"/>
  <c r="W20" i="17"/>
  <c r="Y15" i="17"/>
  <c r="V21" i="17"/>
  <c r="V16" i="17"/>
  <c r="Z14" i="17"/>
  <c r="W13" i="17"/>
  <c r="E10" i="33"/>
  <c r="E18" i="33" s="1"/>
  <c r="F10" i="34"/>
  <c r="F15" i="34" s="1"/>
  <c r="F10" i="33"/>
  <c r="F18" i="33" s="1"/>
  <c r="S19" i="4"/>
  <c r="T19" i="4"/>
  <c r="E11" i="33" l="1"/>
  <c r="E19" i="33" s="1"/>
  <c r="F11" i="33"/>
  <c r="F19" i="33" s="1"/>
  <c r="Y31" i="17"/>
  <c r="Y30" i="17"/>
  <c r="E11" i="34"/>
  <c r="E16" i="34" s="1"/>
  <c r="X20" i="17"/>
  <c r="Q19" i="17"/>
  <c r="W16" i="17"/>
  <c r="X22" i="17"/>
  <c r="X13" i="17"/>
  <c r="AA14" i="17"/>
  <c r="W21" i="17"/>
  <c r="Z15" i="17"/>
  <c r="W23" i="17"/>
  <c r="A15" i="27"/>
  <c r="X21" i="17" l="1"/>
  <c r="Y22" i="17"/>
  <c r="Y38" i="17" s="1"/>
  <c r="AB14" i="17"/>
  <c r="AC14" i="17" s="1"/>
  <c r="X16" i="17"/>
  <c r="X23" i="17"/>
  <c r="AA15" i="17"/>
  <c r="Y13" i="17"/>
  <c r="Y29" i="17" s="1"/>
  <c r="R19" i="17"/>
  <c r="Y20" i="17"/>
  <c r="Y36" i="17" s="1"/>
  <c r="R9" i="4"/>
  <c r="R8" i="4"/>
  <c r="Q9" i="4"/>
  <c r="Q8" i="4"/>
  <c r="T9" i="4"/>
  <c r="T8" i="4"/>
  <c r="AD14" i="17" l="1"/>
  <c r="Z20" i="17"/>
  <c r="Y16" i="17"/>
  <c r="Y32" i="17" s="1"/>
  <c r="P12" i="17"/>
  <c r="Y23" i="17"/>
  <c r="Y39" i="17" s="1"/>
  <c r="S19" i="17"/>
  <c r="Z13" i="17"/>
  <c r="Z22" i="17"/>
  <c r="AB15" i="17"/>
  <c r="AC15" i="17" s="1"/>
  <c r="Y21" i="17"/>
  <c r="Y37" i="17" s="1"/>
  <c r="T32" i="17" l="1"/>
  <c r="T30" i="17"/>
  <c r="T29" i="17"/>
  <c r="T31" i="17"/>
  <c r="AC30" i="17"/>
  <c r="AD15" i="17"/>
  <c r="AC31" i="17"/>
  <c r="AE14" i="17"/>
  <c r="AD30" i="17"/>
  <c r="T19" i="17"/>
  <c r="Z23" i="17"/>
  <c r="AA22" i="17"/>
  <c r="Z21" i="17"/>
  <c r="Q12" i="17"/>
  <c r="Z16" i="17"/>
  <c r="AA13" i="17"/>
  <c r="AA20" i="17"/>
  <c r="D25" i="15"/>
  <c r="D19" i="15"/>
  <c r="D16" i="15"/>
  <c r="D10" i="15"/>
  <c r="C10" i="15"/>
  <c r="AE30" i="17" l="1"/>
  <c r="AF14" i="17"/>
  <c r="AD31" i="17"/>
  <c r="AE15" i="17"/>
  <c r="AB20" i="17"/>
  <c r="AC20" i="17" s="1"/>
  <c r="AD20" i="17" s="1"/>
  <c r="AE20" i="17" s="1"/>
  <c r="AF20" i="17" s="1"/>
  <c r="AB13" i="17"/>
  <c r="AC13" i="17" s="1"/>
  <c r="AB22" i="17"/>
  <c r="AC22" i="17" s="1"/>
  <c r="AD22" i="17" s="1"/>
  <c r="AE22" i="17" s="1"/>
  <c r="AF22" i="17" s="1"/>
  <c r="AA21" i="17"/>
  <c r="AA16" i="17"/>
  <c r="AA23" i="17"/>
  <c r="R12" i="17"/>
  <c r="U19" i="17"/>
  <c r="C13" i="15"/>
  <c r="D22" i="15"/>
  <c r="D20" i="34"/>
  <c r="C20" i="34"/>
  <c r="B2" i="34"/>
  <c r="F25" i="33"/>
  <c r="F24" i="33"/>
  <c r="E25" i="33"/>
  <c r="E24" i="33"/>
  <c r="F22" i="33"/>
  <c r="F21" i="33"/>
  <c r="E22" i="33"/>
  <c r="E21" i="33"/>
  <c r="F16" i="33"/>
  <c r="E16" i="33"/>
  <c r="F15" i="33"/>
  <c r="E15" i="33"/>
  <c r="AF30" i="17" l="1"/>
  <c r="AE31" i="17"/>
  <c r="AF15" i="17"/>
  <c r="AC29" i="17"/>
  <c r="AD13" i="17"/>
  <c r="V19" i="17"/>
  <c r="AB21" i="17"/>
  <c r="AC21" i="17" s="1"/>
  <c r="AD21" i="17" s="1"/>
  <c r="AE21" i="17" s="1"/>
  <c r="AF21" i="17" s="1"/>
  <c r="AB23" i="17"/>
  <c r="AC23" i="17" s="1"/>
  <c r="AD23" i="17" s="1"/>
  <c r="AE23" i="17" s="1"/>
  <c r="AF23" i="17" s="1"/>
  <c r="S12" i="17"/>
  <c r="AB16" i="17"/>
  <c r="AC16" i="17" s="1"/>
  <c r="C16" i="15"/>
  <c r="AF31" i="17" l="1"/>
  <c r="AD16" i="17"/>
  <c r="AC32" i="17"/>
  <c r="AE13" i="17"/>
  <c r="AD29" i="17"/>
  <c r="T12" i="17"/>
  <c r="T28" i="17" s="1"/>
  <c r="W19" i="17"/>
  <c r="AE29" i="17" l="1"/>
  <c r="AF13" i="17"/>
  <c r="AD32" i="17"/>
  <c r="AE16" i="17"/>
  <c r="X19" i="17"/>
  <c r="U12" i="17"/>
  <c r="AE32" i="17" l="1"/>
  <c r="AF16" i="17"/>
  <c r="AF29" i="17"/>
  <c r="V12" i="17"/>
  <c r="Y19" i="17"/>
  <c r="Y35" i="17" s="1"/>
  <c r="AF32" i="17" l="1"/>
  <c r="W12" i="17"/>
  <c r="Z19" i="17"/>
  <c r="AA19" i="17" l="1"/>
  <c r="X12" i="17"/>
  <c r="Y12" i="17" l="1"/>
  <c r="Y28" i="17" s="1"/>
  <c r="AB19" i="17"/>
  <c r="AC19" i="17" s="1"/>
  <c r="AD19" i="17" s="1"/>
  <c r="AE19" i="17" s="1"/>
  <c r="AF19" i="17" s="1"/>
  <c r="Z12" i="17" l="1"/>
  <c r="AA12" i="17" l="1"/>
  <c r="AB12" i="17" l="1"/>
  <c r="AC12" i="17" s="1"/>
  <c r="AD12" i="17" l="1"/>
  <c r="AC28" i="17"/>
  <c r="AE12" i="17" l="1"/>
  <c r="AD28" i="17"/>
  <c r="BB9" i="22"/>
  <c r="AY9" i="22"/>
  <c r="AV9" i="22"/>
  <c r="AU9" i="22"/>
  <c r="AS9" i="22"/>
  <c r="AP9" i="22"/>
  <c r="AM9" i="22"/>
  <c r="AJ9" i="22"/>
  <c r="AI9" i="22"/>
  <c r="AG9" i="22"/>
  <c r="AD9" i="22"/>
  <c r="AA9" i="22"/>
  <c r="X9" i="22"/>
  <c r="W9" i="22"/>
  <c r="U9" i="22"/>
  <c r="R9" i="22"/>
  <c r="O9" i="22"/>
  <c r="L9" i="22"/>
  <c r="K9" i="22"/>
  <c r="I9" i="22"/>
  <c r="BD8" i="22"/>
  <c r="BC8" i="22"/>
  <c r="BB8" i="22"/>
  <c r="BA8" i="22"/>
  <c r="AZ8" i="22"/>
  <c r="AY8" i="22"/>
  <c r="AX8" i="22"/>
  <c r="AW8" i="22"/>
  <c r="AV8" i="22"/>
  <c r="AU8" i="22"/>
  <c r="AT8" i="22"/>
  <c r="AS8" i="22"/>
  <c r="AR8" i="22"/>
  <c r="AQ8" i="22"/>
  <c r="AP8" i="22"/>
  <c r="AO8" i="22"/>
  <c r="AN8" i="22"/>
  <c r="AM8" i="22"/>
  <c r="AL8" i="22"/>
  <c r="AK8" i="22"/>
  <c r="AJ8" i="22"/>
  <c r="AI8" i="22"/>
  <c r="AH8" i="22"/>
  <c r="AG8" i="22"/>
  <c r="AF8" i="22"/>
  <c r="AE8" i="22"/>
  <c r="AD8" i="22"/>
  <c r="AC8" i="22"/>
  <c r="AB8" i="22"/>
  <c r="AA8" i="22"/>
  <c r="Z8" i="22"/>
  <c r="Y8" i="22"/>
  <c r="X8" i="22"/>
  <c r="W8" i="22"/>
  <c r="V8" i="22"/>
  <c r="U8" i="22"/>
  <c r="T8" i="22"/>
  <c r="S8" i="22"/>
  <c r="R8" i="22"/>
  <c r="Q8" i="22"/>
  <c r="P8" i="22"/>
  <c r="O8" i="22"/>
  <c r="N8" i="22"/>
  <c r="M8" i="22"/>
  <c r="L8" i="22"/>
  <c r="K8" i="22"/>
  <c r="J8" i="22"/>
  <c r="I8" i="22"/>
  <c r="H8" i="22"/>
  <c r="G8" i="22"/>
  <c r="BD7" i="22"/>
  <c r="BD9" i="22" s="1"/>
  <c r="BC7" i="22"/>
  <c r="BC9" i="22" s="1"/>
  <c r="BB7" i="22"/>
  <c r="BA7" i="22"/>
  <c r="BA9" i="22" s="1"/>
  <c r="AZ7" i="22"/>
  <c r="AZ9" i="22" s="1"/>
  <c r="AY7" i="22"/>
  <c r="AX7" i="22"/>
  <c r="AX9" i="22" s="1"/>
  <c r="AW7" i="22"/>
  <c r="AW9" i="22" s="1"/>
  <c r="AV7" i="22"/>
  <c r="AU7" i="22"/>
  <c r="AT7" i="22"/>
  <c r="AT9" i="22" s="1"/>
  <c r="AS7" i="22"/>
  <c r="AR7" i="22"/>
  <c r="AR9" i="22" s="1"/>
  <c r="AQ7" i="22"/>
  <c r="AQ9" i="22" s="1"/>
  <c r="AP7" i="22"/>
  <c r="AO7" i="22"/>
  <c r="AO9" i="22" s="1"/>
  <c r="AN7" i="22"/>
  <c r="AN9" i="22" s="1"/>
  <c r="AM7" i="22"/>
  <c r="AL7" i="22"/>
  <c r="AL9" i="22" s="1"/>
  <c r="AK7" i="22"/>
  <c r="AK9" i="22" s="1"/>
  <c r="AJ7" i="22"/>
  <c r="AI7" i="22"/>
  <c r="AH7" i="22"/>
  <c r="AH9" i="22" s="1"/>
  <c r="AG7" i="22"/>
  <c r="AF7" i="22"/>
  <c r="AF9" i="22" s="1"/>
  <c r="AE7" i="22"/>
  <c r="AE9" i="22" s="1"/>
  <c r="AD7" i="22"/>
  <c r="AC7" i="22"/>
  <c r="AC9" i="22" s="1"/>
  <c r="AB7" i="22"/>
  <c r="AB9" i="22" s="1"/>
  <c r="AA7" i="22"/>
  <c r="Z7" i="22"/>
  <c r="Z9" i="22" s="1"/>
  <c r="Y7" i="22"/>
  <c r="Y9" i="22" s="1"/>
  <c r="X7" i="22"/>
  <c r="W7" i="22"/>
  <c r="V7" i="22"/>
  <c r="V9" i="22" s="1"/>
  <c r="U7" i="22"/>
  <c r="T7" i="22"/>
  <c r="T9" i="22" s="1"/>
  <c r="S7" i="22"/>
  <c r="S9" i="22" s="1"/>
  <c r="R7" i="22"/>
  <c r="Q7" i="22"/>
  <c r="Q9" i="22" s="1"/>
  <c r="P7" i="22"/>
  <c r="P9" i="22" s="1"/>
  <c r="O7" i="22"/>
  <c r="N7" i="22"/>
  <c r="N9" i="22" s="1"/>
  <c r="M7" i="22"/>
  <c r="M9" i="22" s="1"/>
  <c r="L7" i="22"/>
  <c r="K7" i="22"/>
  <c r="J7" i="22"/>
  <c r="J9" i="22" s="1"/>
  <c r="I7" i="22"/>
  <c r="H7" i="22"/>
  <c r="H9" i="22" s="1"/>
  <c r="G7" i="22"/>
  <c r="G9" i="22" s="1"/>
  <c r="AN5" i="22"/>
  <c r="AO5" i="22" s="1"/>
  <c r="AP5" i="22" s="1"/>
  <c r="AQ5" i="22" s="1"/>
  <c r="AR5" i="22" s="1"/>
  <c r="AS5" i="22" s="1"/>
  <c r="AT5" i="22" s="1"/>
  <c r="AU5" i="22" s="1"/>
  <c r="AV5" i="22" s="1"/>
  <c r="AW5" i="22" s="1"/>
  <c r="AX5" i="22" s="1"/>
  <c r="AY5" i="22" s="1"/>
  <c r="AZ5" i="22" s="1"/>
  <c r="BA5" i="22" s="1"/>
  <c r="BB5" i="22" s="1"/>
  <c r="BC5" i="22" s="1"/>
  <c r="BD5" i="22" s="1"/>
  <c r="AM5" i="22"/>
  <c r="AL5" i="22"/>
  <c r="G5" i="22"/>
  <c r="H5" i="22" s="1"/>
  <c r="I5" i="22" s="1"/>
  <c r="J5" i="22" s="1"/>
  <c r="K5" i="22" s="1"/>
  <c r="L5" i="22" s="1"/>
  <c r="M5" i="22" s="1"/>
  <c r="N5" i="22" s="1"/>
  <c r="O5" i="22" s="1"/>
  <c r="P5" i="22" s="1"/>
  <c r="Q5" i="22" s="1"/>
  <c r="R5" i="22" s="1"/>
  <c r="S5" i="22" s="1"/>
  <c r="T5" i="22" s="1"/>
  <c r="U5" i="22" s="1"/>
  <c r="V5" i="22" s="1"/>
  <c r="W5" i="22" s="1"/>
  <c r="X5" i="22" s="1"/>
  <c r="Y5" i="22" s="1"/>
  <c r="Z5" i="22" s="1"/>
  <c r="AA5" i="22" s="1"/>
  <c r="AB5" i="22" s="1"/>
  <c r="AC5" i="22" s="1"/>
  <c r="AD5" i="22" s="1"/>
  <c r="AE5" i="22" s="1"/>
  <c r="AF5" i="22" s="1"/>
  <c r="AG5" i="22" s="1"/>
  <c r="AH5" i="22" s="1"/>
  <c r="AI5" i="22" s="1"/>
  <c r="B2" i="22"/>
  <c r="B2" i="15"/>
  <c r="B2" i="33"/>
  <c r="B2" i="17"/>
  <c r="G4" i="3"/>
  <c r="H4" i="3" s="1"/>
  <c r="I4" i="3" s="1"/>
  <c r="J4" i="3" s="1"/>
  <c r="K4" i="3" s="1"/>
  <c r="L4" i="3" s="1"/>
  <c r="M4" i="3" s="1"/>
  <c r="N4" i="3" s="1"/>
  <c r="O4" i="3" s="1"/>
  <c r="P4" i="3" s="1"/>
  <c r="Q4" i="3" s="1"/>
  <c r="R4" i="3" s="1"/>
  <c r="S4" i="3" s="1"/>
  <c r="T4" i="3" s="1"/>
  <c r="U4" i="3" s="1"/>
  <c r="V4" i="3" s="1"/>
  <c r="W4" i="3" s="1"/>
  <c r="X4" i="3" s="1"/>
  <c r="Y4" i="3" s="1"/>
  <c r="Z4" i="3" s="1"/>
  <c r="AA4" i="3" s="1"/>
  <c r="AB4" i="3" s="1"/>
  <c r="AC4" i="3" s="1"/>
  <c r="AD4" i="3" s="1"/>
  <c r="AE4" i="3" s="1"/>
  <c r="AF4" i="3" s="1"/>
  <c r="AG4" i="3" s="1"/>
  <c r="A2" i="3"/>
  <c r="H15" i="2"/>
  <c r="F15" i="2"/>
  <c r="E15" i="2"/>
  <c r="S9" i="4"/>
  <c r="B2" i="2"/>
  <c r="I35" i="27"/>
  <c r="I34" i="27"/>
  <c r="I33" i="27"/>
  <c r="I32" i="27"/>
  <c r="I31" i="27"/>
  <c r="I30" i="27"/>
  <c r="I29" i="27"/>
  <c r="I28" i="27"/>
  <c r="I27" i="27"/>
  <c r="I26" i="27"/>
  <c r="I25" i="27"/>
  <c r="I24" i="27"/>
  <c r="I23" i="27"/>
  <c r="A16" i="27"/>
  <c r="A17" i="27" s="1"/>
  <c r="A18" i="27" s="1"/>
  <c r="A19" i="27" s="1"/>
  <c r="A20" i="27" s="1"/>
  <c r="A21" i="27" s="1"/>
  <c r="A22" i="27" s="1"/>
  <c r="A23" i="27" s="1"/>
  <c r="A24" i="27" s="1"/>
  <c r="A25" i="27" s="1"/>
  <c r="A26" i="27" s="1"/>
  <c r="A27" i="27" s="1"/>
  <c r="A28" i="27" s="1"/>
  <c r="A29" i="27" s="1"/>
  <c r="A30" i="27" s="1"/>
  <c r="A31" i="27" s="1"/>
  <c r="A32" i="27" s="1"/>
  <c r="A33" i="27" s="1"/>
  <c r="A34" i="27" s="1"/>
  <c r="A35" i="27" s="1"/>
  <c r="A36" i="27" s="1"/>
  <c r="A37" i="27" s="1"/>
  <c r="S24" i="4"/>
  <c r="U19" i="4"/>
  <c r="R19" i="4"/>
  <c r="Q19" i="4"/>
  <c r="B1" i="4"/>
  <c r="C77" i="1"/>
  <c r="C67" i="1"/>
  <c r="C64" i="1"/>
  <c r="E62" i="1"/>
  <c r="E58" i="1"/>
  <c r="J5" i="27" l="1"/>
  <c r="J6" i="27"/>
  <c r="J9" i="27"/>
  <c r="J10" i="27"/>
  <c r="J12" i="27"/>
  <c r="J7" i="27"/>
  <c r="J8" i="27"/>
  <c r="J11" i="27"/>
  <c r="J13" i="27"/>
  <c r="J13" i="2"/>
  <c r="J15" i="2" s="1"/>
  <c r="K13" i="2"/>
  <c r="K15" i="2" s="1"/>
  <c r="L13" i="2"/>
  <c r="L15" i="2" s="1"/>
  <c r="M20" i="15"/>
  <c r="M23" i="15"/>
  <c r="M26" i="15"/>
  <c r="M24" i="15"/>
  <c r="M27" i="15"/>
  <c r="M21" i="15"/>
  <c r="M12" i="15"/>
  <c r="M11" i="15"/>
  <c r="M15" i="15"/>
  <c r="M14" i="15"/>
  <c r="M18" i="15"/>
  <c r="M17" i="15"/>
  <c r="AE28" i="17"/>
  <c r="AF12" i="17"/>
  <c r="AF17" i="15"/>
  <c r="AF23" i="15"/>
  <c r="AF18" i="15"/>
  <c r="AF26" i="15"/>
  <c r="AF14" i="15"/>
  <c r="AF20" i="15"/>
  <c r="AF11" i="15"/>
  <c r="AF21" i="15"/>
  <c r="AF27" i="15"/>
  <c r="AF24" i="15"/>
  <c r="AF15" i="15"/>
  <c r="AF12" i="15"/>
  <c r="J14" i="27"/>
  <c r="AD11" i="15"/>
  <c r="AC11" i="15"/>
  <c r="AC26" i="15"/>
  <c r="AE11" i="15"/>
  <c r="AC20" i="15"/>
  <c r="AD20" i="15"/>
  <c r="AE20" i="15"/>
  <c r="AD26" i="15"/>
  <c r="AE26" i="15"/>
  <c r="AE14" i="15"/>
  <c r="AE23" i="15"/>
  <c r="AD23" i="15"/>
  <c r="AD14" i="15"/>
  <c r="AC23" i="15"/>
  <c r="AC14" i="15"/>
  <c r="AE17" i="15"/>
  <c r="AC17" i="15"/>
  <c r="AD17" i="15"/>
  <c r="Y24" i="15"/>
  <c r="Y20" i="15"/>
  <c r="Y14" i="15"/>
  <c r="Y21" i="15"/>
  <c r="Y15" i="15"/>
  <c r="Y12" i="15"/>
  <c r="Y18" i="15"/>
  <c r="Y11" i="15"/>
  <c r="Y26" i="15"/>
  <c r="Y17" i="15"/>
  <c r="Y27" i="15"/>
  <c r="Y23" i="15"/>
  <c r="T26" i="15"/>
  <c r="T23" i="15"/>
  <c r="T20" i="15"/>
  <c r="T14" i="15"/>
  <c r="T11" i="15"/>
  <c r="T17" i="15"/>
  <c r="J18" i="27"/>
  <c r="C10" i="34"/>
  <c r="C15" i="34" s="1"/>
  <c r="D10" i="34"/>
  <c r="D15" i="34" s="1"/>
  <c r="D10" i="33"/>
  <c r="C10" i="33"/>
  <c r="AY11" i="22"/>
  <c r="T11" i="22"/>
  <c r="AQ11" i="22"/>
  <c r="AB11" i="22"/>
  <c r="U11" i="22"/>
  <c r="S11" i="22"/>
  <c r="AC11" i="22"/>
  <c r="AP11" i="22"/>
  <c r="AR11" i="22"/>
  <c r="AS11" i="22"/>
  <c r="BA11" i="22"/>
  <c r="S8" i="4"/>
  <c r="AZ11" i="22"/>
  <c r="R11" i="22"/>
  <c r="BB11" i="22"/>
  <c r="G11" i="22"/>
  <c r="AE11" i="22"/>
  <c r="BC11" i="22"/>
  <c r="AD11" i="22"/>
  <c r="H11" i="22"/>
  <c r="AF11" i="22"/>
  <c r="BD11" i="22"/>
  <c r="I11" i="22"/>
  <c r="AG11" i="22"/>
  <c r="P11" i="22"/>
  <c r="AN11" i="22"/>
  <c r="Q11" i="22"/>
  <c r="AO11" i="22"/>
  <c r="J11" i="22"/>
  <c r="V11" i="22"/>
  <c r="AH11" i="22"/>
  <c r="AT11" i="22"/>
  <c r="K11" i="22"/>
  <c r="W11" i="22"/>
  <c r="AI11" i="22"/>
  <c r="AU11" i="22"/>
  <c r="L11" i="22"/>
  <c r="X11" i="22"/>
  <c r="AJ11" i="22"/>
  <c r="AV11" i="22"/>
  <c r="M11" i="22"/>
  <c r="Y11" i="22"/>
  <c r="AK11" i="22"/>
  <c r="AW11" i="22"/>
  <c r="C69" i="1"/>
  <c r="N11" i="22"/>
  <c r="Z11" i="22"/>
  <c r="AL11" i="22"/>
  <c r="AX11" i="22"/>
  <c r="D62" i="1"/>
  <c r="O11" i="22"/>
  <c r="AA11" i="22"/>
  <c r="AM11" i="22"/>
  <c r="A15" i="28"/>
  <c r="R24" i="4"/>
  <c r="C65" i="1"/>
  <c r="J15" i="27"/>
  <c r="J16" i="27"/>
  <c r="J17" i="27"/>
  <c r="Q18" i="4"/>
  <c r="Q7" i="4"/>
  <c r="R7" i="4"/>
  <c r="R18" i="4"/>
  <c r="R5" i="4"/>
  <c r="Q24" i="4"/>
  <c r="T24" i="4"/>
  <c r="O15" i="34" l="1"/>
  <c r="O25" i="34" s="1"/>
  <c r="AF30" i="15"/>
  <c r="M30" i="15"/>
  <c r="M31" i="15"/>
  <c r="AF28" i="17"/>
  <c r="N15" i="28"/>
  <c r="M15" i="28"/>
  <c r="AF31" i="15"/>
  <c r="AF33" i="15" s="1"/>
  <c r="AD30" i="15"/>
  <c r="Y31" i="15"/>
  <c r="AE30" i="15"/>
  <c r="AC30" i="15"/>
  <c r="T30" i="15"/>
  <c r="Y30" i="15"/>
  <c r="D11" i="34"/>
  <c r="D16" i="34" s="1"/>
  <c r="C11" i="33"/>
  <c r="C11" i="34"/>
  <c r="C16" i="34" s="1"/>
  <c r="O16" i="34" s="1"/>
  <c r="O26" i="34" s="1"/>
  <c r="O28" i="34" s="1"/>
  <c r="D11" i="33"/>
  <c r="C18" i="33"/>
  <c r="C21" i="33"/>
  <c r="P21" i="33" s="1"/>
  <c r="P38" i="33" s="1"/>
  <c r="C24" i="33"/>
  <c r="C15" i="33"/>
  <c r="D18" i="33"/>
  <c r="D24" i="33"/>
  <c r="D21" i="33"/>
  <c r="D15" i="33"/>
  <c r="G15" i="2"/>
  <c r="A16" i="28"/>
  <c r="M16" i="28" s="1"/>
  <c r="S5" i="4"/>
  <c r="P18" i="33" l="1"/>
  <c r="P34" i="33" s="1"/>
  <c r="M33" i="15"/>
  <c r="Y12" i="4"/>
  <c r="E22" i="27"/>
  <c r="D22" i="28" s="1"/>
  <c r="P24" i="33"/>
  <c r="P48" i="33" s="1"/>
  <c r="P15" i="33"/>
  <c r="P30" i="33" s="1"/>
  <c r="P42" i="33" s="1"/>
  <c r="AR13" i="4"/>
  <c r="F41" i="27"/>
  <c r="N16" i="28"/>
  <c r="AC27" i="15"/>
  <c r="AC21" i="15"/>
  <c r="AC15" i="15"/>
  <c r="AC24" i="15"/>
  <c r="AC18" i="15"/>
  <c r="AC12" i="15"/>
  <c r="T38" i="17"/>
  <c r="T45" i="17" s="1"/>
  <c r="T52" i="17" s="1"/>
  <c r="T35" i="17"/>
  <c r="T42" i="17" s="1"/>
  <c r="T49" i="17" s="1"/>
  <c r="T36" i="17"/>
  <c r="T43" i="17" s="1"/>
  <c r="T50" i="17" s="1"/>
  <c r="T37" i="17"/>
  <c r="T44" i="17" s="1"/>
  <c r="T51" i="17" s="1"/>
  <c r="T39" i="17"/>
  <c r="T46" i="17" s="1"/>
  <c r="T53" i="17" s="1"/>
  <c r="T24" i="15"/>
  <c r="T21" i="15"/>
  <c r="T18" i="15"/>
  <c r="T15" i="15"/>
  <c r="T12" i="15"/>
  <c r="T27" i="15"/>
  <c r="D19" i="33"/>
  <c r="D22" i="33"/>
  <c r="D25" i="33"/>
  <c r="D16" i="33"/>
  <c r="C19" i="33"/>
  <c r="P19" i="33" s="1"/>
  <c r="P35" i="33" s="1"/>
  <c r="C16" i="33"/>
  <c r="C22" i="33"/>
  <c r="P22" i="33" s="1"/>
  <c r="P39" i="33" s="1"/>
  <c r="C25" i="33"/>
  <c r="P25" i="33" s="1"/>
  <c r="P49" i="33" s="1"/>
  <c r="P50" i="33" s="1"/>
  <c r="B14" i="28"/>
  <c r="K14" i="28" s="1"/>
  <c r="A17" i="28"/>
  <c r="M17" i="28" s="1"/>
  <c r="B15" i="28"/>
  <c r="K15" i="28" s="1"/>
  <c r="T5" i="4"/>
  <c r="P16" i="33" l="1"/>
  <c r="P31" i="33" s="1"/>
  <c r="Y13" i="4"/>
  <c r="F22" i="27"/>
  <c r="E22" i="28" s="1"/>
  <c r="Y16" i="4"/>
  <c r="H22" i="27"/>
  <c r="G22" i="28" s="1"/>
  <c r="P43" i="33"/>
  <c r="P45" i="33" s="1"/>
  <c r="N17" i="28"/>
  <c r="T31" i="15"/>
  <c r="AC31" i="15"/>
  <c r="AC33" i="15" s="1"/>
  <c r="AC39" i="17"/>
  <c r="AC46" i="17" s="1"/>
  <c r="AC53" i="17" s="1"/>
  <c r="AC36" i="17"/>
  <c r="AC43" i="17" s="1"/>
  <c r="AC50" i="17" s="1"/>
  <c r="AC37" i="17"/>
  <c r="AC44" i="17" s="1"/>
  <c r="AC51" i="17" s="1"/>
  <c r="AC38" i="17"/>
  <c r="AC45" i="17" s="1"/>
  <c r="AC52" i="17" s="1"/>
  <c r="AC35" i="17"/>
  <c r="AC42" i="17" s="1"/>
  <c r="AC49" i="17" s="1"/>
  <c r="AD27" i="15"/>
  <c r="AD15" i="15"/>
  <c r="AD24" i="15"/>
  <c r="AD18" i="15"/>
  <c r="AD12" i="15"/>
  <c r="AD21" i="15"/>
  <c r="V21" i="15"/>
  <c r="V27" i="15"/>
  <c r="V24" i="15"/>
  <c r="V12" i="15"/>
  <c r="V18" i="15"/>
  <c r="V15" i="15"/>
  <c r="U36" i="17"/>
  <c r="U38" i="17"/>
  <c r="U39" i="17"/>
  <c r="U37" i="17"/>
  <c r="U35" i="17"/>
  <c r="A18" i="28"/>
  <c r="M18" i="28" s="1"/>
  <c r="B16" i="28"/>
  <c r="K16" i="28" s="1"/>
  <c r="Z19" i="4"/>
  <c r="AM19" i="4"/>
  <c r="AD19" i="4"/>
  <c r="AK19" i="4"/>
  <c r="W19" i="4"/>
  <c r="J21" i="27" s="1"/>
  <c r="AA19" i="4"/>
  <c r="AI19" i="4"/>
  <c r="AH19" i="4"/>
  <c r="AB19" i="4"/>
  <c r="AL19" i="4"/>
  <c r="V19" i="4"/>
  <c r="AJ19" i="4"/>
  <c r="AE19" i="4"/>
  <c r="AG19" i="4"/>
  <c r="AN19" i="4"/>
  <c r="AF19" i="4"/>
  <c r="X19" i="4"/>
  <c r="AC19" i="4"/>
  <c r="U5" i="4"/>
  <c r="X12" i="15"/>
  <c r="X15" i="15"/>
  <c r="X21" i="15"/>
  <c r="X27" i="15"/>
  <c r="X18" i="15"/>
  <c r="X24" i="15"/>
  <c r="W27" i="15"/>
  <c r="W12" i="15"/>
  <c r="W15" i="15"/>
  <c r="W21" i="15"/>
  <c r="W24" i="15"/>
  <c r="W18" i="15"/>
  <c r="F19" i="4" l="1"/>
  <c r="F9" i="14" s="1"/>
  <c r="Y15" i="4"/>
  <c r="G22" i="27"/>
  <c r="F22" i="28" s="1"/>
  <c r="G19" i="4"/>
  <c r="C16" i="14" s="1"/>
  <c r="G9" i="14" s="1"/>
  <c r="N18" i="28"/>
  <c r="V31" i="15"/>
  <c r="X31" i="15"/>
  <c r="W31" i="15"/>
  <c r="AD31" i="15"/>
  <c r="AD33" i="15" s="1"/>
  <c r="AO13" i="4"/>
  <c r="F38" i="27"/>
  <c r="AC55" i="17"/>
  <c r="AD38" i="17"/>
  <c r="AD45" i="17" s="1"/>
  <c r="AD52" i="17" s="1"/>
  <c r="AD35" i="17"/>
  <c r="AD42" i="17" s="1"/>
  <c r="AD49" i="17" s="1"/>
  <c r="AD36" i="17"/>
  <c r="AD43" i="17" s="1"/>
  <c r="AD50" i="17" s="1"/>
  <c r="AD37" i="17"/>
  <c r="AD44" i="17" s="1"/>
  <c r="AD51" i="17" s="1"/>
  <c r="AD39" i="17"/>
  <c r="AD46" i="17" s="1"/>
  <c r="AD53" i="17" s="1"/>
  <c r="AE27" i="15"/>
  <c r="AE15" i="15"/>
  <c r="AE24" i="15"/>
  <c r="AE18" i="15"/>
  <c r="AE12" i="15"/>
  <c r="AE21" i="15"/>
  <c r="B17" i="28"/>
  <c r="K17" i="28" s="1"/>
  <c r="J19" i="27"/>
  <c r="V38" i="17"/>
  <c r="V36" i="17"/>
  <c r="V39" i="17"/>
  <c r="V37" i="17"/>
  <c r="V35" i="17"/>
  <c r="A19" i="28"/>
  <c r="M19" i="28" s="1"/>
  <c r="J35" i="27"/>
  <c r="AL24" i="4"/>
  <c r="AK24" i="4"/>
  <c r="J34" i="27"/>
  <c r="AE24" i="4"/>
  <c r="J28" i="27"/>
  <c r="AD24" i="4"/>
  <c r="J27" i="27"/>
  <c r="AI24" i="4"/>
  <c r="J32" i="27"/>
  <c r="J30" i="27"/>
  <c r="AG24" i="4"/>
  <c r="AC24" i="4"/>
  <c r="J26" i="27"/>
  <c r="AH24" i="4"/>
  <c r="J31" i="27"/>
  <c r="J36" i="27"/>
  <c r="AM24" i="4"/>
  <c r="AN24" i="4"/>
  <c r="J37" i="27"/>
  <c r="J25" i="27"/>
  <c r="AB24" i="4"/>
  <c r="J22" i="27"/>
  <c r="I22" i="28" s="1"/>
  <c r="Y24" i="4"/>
  <c r="J20" i="27"/>
  <c r="AJ24" i="4"/>
  <c r="J33" i="27"/>
  <c r="AF24" i="4"/>
  <c r="J29" i="27"/>
  <c r="J24" i="27"/>
  <c r="AA24" i="4"/>
  <c r="J23" i="27"/>
  <c r="Z24" i="4"/>
  <c r="V5" i="4"/>
  <c r="G23" i="4" l="1"/>
  <c r="G24" i="4" s="1"/>
  <c r="G31" i="4"/>
  <c r="N19" i="28"/>
  <c r="AF38" i="17"/>
  <c r="AF45" i="17" s="1"/>
  <c r="AF52" i="17" s="1"/>
  <c r="AF39" i="17"/>
  <c r="AF46" i="17" s="1"/>
  <c r="AF53" i="17" s="1"/>
  <c r="AF37" i="17"/>
  <c r="AF44" i="17" s="1"/>
  <c r="AF51" i="17" s="1"/>
  <c r="AF35" i="17"/>
  <c r="AF42" i="17" s="1"/>
  <c r="AF49" i="17" s="1"/>
  <c r="AF36" i="17"/>
  <c r="AF43" i="17" s="1"/>
  <c r="AF50" i="17" s="1"/>
  <c r="AE31" i="15"/>
  <c r="AE33" i="15" s="1"/>
  <c r="AP13" i="4"/>
  <c r="F39" i="27"/>
  <c r="AO10" i="4"/>
  <c r="D38" i="27"/>
  <c r="AD55" i="17"/>
  <c r="AE38" i="17"/>
  <c r="AE45" i="17" s="1"/>
  <c r="AE52" i="17" s="1"/>
  <c r="AE39" i="17"/>
  <c r="AE46" i="17" s="1"/>
  <c r="AE53" i="17" s="1"/>
  <c r="AE36" i="17"/>
  <c r="AE43" i="17" s="1"/>
  <c r="AE50" i="17" s="1"/>
  <c r="AE35" i="17"/>
  <c r="AE42" i="17" s="1"/>
  <c r="AE49" i="17" s="1"/>
  <c r="AE37" i="17"/>
  <c r="AE44" i="17" s="1"/>
  <c r="AE51" i="17" s="1"/>
  <c r="A20" i="28"/>
  <c r="M20" i="28" s="1"/>
  <c r="X36" i="17"/>
  <c r="X38" i="17"/>
  <c r="X39" i="17"/>
  <c r="X37" i="17"/>
  <c r="X35" i="17"/>
  <c r="W36" i="17"/>
  <c r="W38" i="17"/>
  <c r="W37" i="17"/>
  <c r="W39" i="17"/>
  <c r="W35" i="17"/>
  <c r="W5" i="4"/>
  <c r="Z15" i="15"/>
  <c r="Z18" i="15"/>
  <c r="Z24" i="15"/>
  <c r="Z27" i="15"/>
  <c r="Z21" i="15"/>
  <c r="Z12" i="15"/>
  <c r="W31" i="4" l="1"/>
  <c r="U31" i="4"/>
  <c r="V31" i="4"/>
  <c r="S31" i="4"/>
  <c r="Q31" i="4"/>
  <c r="T31" i="4"/>
  <c r="R31" i="4"/>
  <c r="C19" i="14"/>
  <c r="C20" i="14" s="1"/>
  <c r="N20" i="28"/>
  <c r="F62" i="1"/>
  <c r="G62" i="1"/>
  <c r="AF55" i="17"/>
  <c r="Z31" i="15"/>
  <c r="AP10" i="4"/>
  <c r="D39" i="27"/>
  <c r="AQ13" i="4"/>
  <c r="F40" i="27"/>
  <c r="AE55" i="17"/>
  <c r="A21" i="28"/>
  <c r="M21" i="28" s="1"/>
  <c r="X5" i="4"/>
  <c r="AA15" i="15"/>
  <c r="AA18" i="15"/>
  <c r="AA21" i="15"/>
  <c r="AA24" i="15"/>
  <c r="AA12" i="15"/>
  <c r="AA27" i="15"/>
  <c r="AR10" i="4" l="1"/>
  <c r="D41" i="27"/>
  <c r="N21" i="28"/>
  <c r="AA31" i="15"/>
  <c r="AQ10" i="4"/>
  <c r="D40" i="27"/>
  <c r="A22" i="28"/>
  <c r="O36" i="17"/>
  <c r="O38" i="17"/>
  <c r="O39" i="17"/>
  <c r="O37" i="17"/>
  <c r="O35" i="17"/>
  <c r="Z38" i="17"/>
  <c r="Z36" i="17"/>
  <c r="Z37" i="17"/>
  <c r="Z39" i="17"/>
  <c r="Z35" i="17"/>
  <c r="Y5" i="4"/>
  <c r="Z5" i="4" s="1"/>
  <c r="AA5" i="4" s="1"/>
  <c r="AB5" i="4" s="1"/>
  <c r="AC5" i="4" s="1"/>
  <c r="AD5" i="4" s="1"/>
  <c r="AE5" i="4" s="1"/>
  <c r="AF5" i="4" s="1"/>
  <c r="AG5" i="4" s="1"/>
  <c r="AH5" i="4" s="1"/>
  <c r="AI5" i="4" s="1"/>
  <c r="AJ5" i="4" s="1"/>
  <c r="AK5" i="4" s="1"/>
  <c r="AL5" i="4" s="1"/>
  <c r="AM5" i="4" s="1"/>
  <c r="AN5" i="4" s="1"/>
  <c r="AO5" i="4" s="1"/>
  <c r="AP5" i="4" s="1"/>
  <c r="AQ5" i="4" s="1"/>
  <c r="AR5" i="4" s="1"/>
  <c r="N15" i="15"/>
  <c r="N18" i="15"/>
  <c r="N24" i="15"/>
  <c r="N21" i="15"/>
  <c r="N27" i="15"/>
  <c r="N12" i="15"/>
  <c r="AB18" i="15"/>
  <c r="AB21" i="15"/>
  <c r="AB27" i="15"/>
  <c r="AB24" i="15"/>
  <c r="AB15" i="15"/>
  <c r="AB12" i="15"/>
  <c r="N31" i="15" l="1"/>
  <c r="AB31" i="15"/>
  <c r="A23" i="28"/>
  <c r="AA36" i="17"/>
  <c r="AA38" i="17"/>
  <c r="AA37" i="17"/>
  <c r="AA39" i="17"/>
  <c r="AA35" i="17"/>
  <c r="P36" i="17"/>
  <c r="P38" i="17"/>
  <c r="P37" i="17"/>
  <c r="P39" i="17"/>
  <c r="P35" i="17"/>
  <c r="O15" i="15"/>
  <c r="O18" i="15"/>
  <c r="O21" i="15"/>
  <c r="O27" i="15"/>
  <c r="O12" i="15"/>
  <c r="O24" i="15"/>
  <c r="H23" i="28" l="1"/>
  <c r="I23" i="28"/>
  <c r="O31" i="15"/>
  <c r="A24" i="28"/>
  <c r="Q36" i="17"/>
  <c r="Q38" i="17"/>
  <c r="Q37" i="17"/>
  <c r="Q39" i="17"/>
  <c r="Q35" i="17"/>
  <c r="AB36" i="17"/>
  <c r="AB38" i="17"/>
  <c r="AB37" i="17"/>
  <c r="AB39" i="17"/>
  <c r="AB35" i="17"/>
  <c r="P18" i="15"/>
  <c r="P21" i="15"/>
  <c r="P27" i="15"/>
  <c r="P12" i="15"/>
  <c r="P24" i="15"/>
  <c r="P15" i="15"/>
  <c r="H24" i="28" l="1"/>
  <c r="I24" i="28"/>
  <c r="A25" i="28"/>
  <c r="A26" i="28" s="1"/>
  <c r="P31" i="15"/>
  <c r="R38" i="17"/>
  <c r="R36" i="17"/>
  <c r="R39" i="17"/>
  <c r="R37" i="17"/>
  <c r="R35" i="17"/>
  <c r="Q18" i="15"/>
  <c r="Q21" i="15"/>
  <c r="Q24" i="15"/>
  <c r="Q12" i="15"/>
  <c r="Q27" i="15"/>
  <c r="Q15" i="15"/>
  <c r="I26" i="28" l="1"/>
  <c r="H26" i="28"/>
  <c r="H25" i="28"/>
  <c r="I25" i="28"/>
  <c r="Q31" i="15"/>
  <c r="S38" i="17"/>
  <c r="S36" i="17"/>
  <c r="S39" i="17"/>
  <c r="S37" i="17"/>
  <c r="S35" i="17"/>
  <c r="A27" i="28"/>
  <c r="R21" i="15"/>
  <c r="R24" i="15"/>
  <c r="R12" i="15"/>
  <c r="R18" i="15"/>
  <c r="R27" i="15"/>
  <c r="R15" i="15"/>
  <c r="H27" i="28" l="1"/>
  <c r="I27" i="28"/>
  <c r="R31" i="15"/>
  <c r="A28" i="28"/>
  <c r="S21" i="15"/>
  <c r="S24" i="15"/>
  <c r="S27" i="15"/>
  <c r="S18" i="15"/>
  <c r="S12" i="15"/>
  <c r="S15" i="15"/>
  <c r="H28" i="28" l="1"/>
  <c r="I28" i="28"/>
  <c r="S31" i="15"/>
  <c r="A29" i="28"/>
  <c r="H29" i="28" l="1"/>
  <c r="I29" i="28"/>
  <c r="A30" i="28"/>
  <c r="U24" i="15"/>
  <c r="U27" i="15"/>
  <c r="U12" i="15"/>
  <c r="U21" i="15"/>
  <c r="U15" i="15"/>
  <c r="U18" i="15"/>
  <c r="I30" i="28" l="1"/>
  <c r="H30" i="28"/>
  <c r="U31" i="15"/>
  <c r="A31" i="28"/>
  <c r="I31" i="28" l="1"/>
  <c r="H31" i="28"/>
  <c r="A32" i="28"/>
  <c r="I32" i="28" l="1"/>
  <c r="H32" i="28"/>
  <c r="A33" i="28"/>
  <c r="I33" i="28" l="1"/>
  <c r="H33" i="28"/>
  <c r="A34" i="28"/>
  <c r="I34" i="28" l="1"/>
  <c r="H34" i="28"/>
  <c r="A35" i="28"/>
  <c r="H35" i="28" l="1"/>
  <c r="I35" i="28"/>
  <c r="A36" i="28"/>
  <c r="S7" i="4"/>
  <c r="S18" i="4"/>
  <c r="H36" i="28" l="1"/>
  <c r="I36" i="28"/>
  <c r="A37" i="28"/>
  <c r="T7" i="4"/>
  <c r="T18" i="4"/>
  <c r="H37" i="28" l="1"/>
  <c r="I37" i="28"/>
  <c r="A38" i="28"/>
  <c r="E38" i="28" l="1"/>
  <c r="C38" i="28"/>
  <c r="H38" i="28"/>
  <c r="I38" i="28"/>
  <c r="A39" i="28"/>
  <c r="E39" i="28" l="1"/>
  <c r="C39" i="28"/>
  <c r="H39" i="28"/>
  <c r="I39" i="28"/>
  <c r="A40" i="28"/>
  <c r="E40" i="28" l="1"/>
  <c r="C40" i="28"/>
  <c r="H40" i="28"/>
  <c r="I40" i="28"/>
  <c r="A41" i="28"/>
  <c r="J41" i="28" s="1"/>
  <c r="J42" i="28" l="1"/>
  <c r="E41" i="28"/>
  <c r="C41" i="28"/>
  <c r="H41" i="28"/>
  <c r="H42" i="28" s="1"/>
  <c r="I41" i="28"/>
  <c r="I42" i="28" s="1"/>
  <c r="N17" i="15"/>
  <c r="N14" i="15"/>
  <c r="N23" i="15"/>
  <c r="N11" i="15"/>
  <c r="N26" i="15"/>
  <c r="N20" i="15"/>
  <c r="R47" i="28" l="1"/>
  <c r="N30" i="15"/>
  <c r="N33" i="15" s="1"/>
  <c r="O23" i="15"/>
  <c r="O20" i="15"/>
  <c r="O11" i="15"/>
  <c r="O26" i="15"/>
  <c r="O14" i="15"/>
  <c r="O17" i="15"/>
  <c r="O30" i="15" l="1"/>
  <c r="O33" i="15" s="1"/>
  <c r="Z13" i="4"/>
  <c r="F23" i="27"/>
  <c r="E23" i="28" s="1"/>
  <c r="P23" i="15"/>
  <c r="P17" i="15"/>
  <c r="P14" i="15"/>
  <c r="P20" i="15"/>
  <c r="P11" i="15"/>
  <c r="P26" i="15"/>
  <c r="P30" i="15" l="1"/>
  <c r="P33" i="15" s="1"/>
  <c r="F25" i="27" s="1"/>
  <c r="E25" i="28" s="1"/>
  <c r="AA13" i="4"/>
  <c r="F24" i="27"/>
  <c r="E24" i="28" s="1"/>
  <c r="Q14" i="15"/>
  <c r="Q20" i="15"/>
  <c r="Q17" i="15"/>
  <c r="Q26" i="15"/>
  <c r="Q11" i="15"/>
  <c r="Q23" i="15"/>
  <c r="Q30" i="15" l="1"/>
  <c r="Q33" i="15" s="1"/>
  <c r="AC13" i="4" s="1"/>
  <c r="AB13" i="4"/>
  <c r="R17" i="15"/>
  <c r="R20" i="15"/>
  <c r="R11" i="15"/>
  <c r="R26" i="15"/>
  <c r="R23" i="15"/>
  <c r="R14" i="15"/>
  <c r="R30" i="15" l="1"/>
  <c r="R33" i="15" s="1"/>
  <c r="F26" i="27"/>
  <c r="E26" i="28" s="1"/>
  <c r="S26" i="15"/>
  <c r="S23" i="15"/>
  <c r="S14" i="15"/>
  <c r="S11" i="15"/>
  <c r="S17" i="15"/>
  <c r="S20" i="15"/>
  <c r="S30" i="15" l="1"/>
  <c r="S33" i="15" s="1"/>
  <c r="F27" i="27"/>
  <c r="E27" i="28" s="1"/>
  <c r="AD13" i="4"/>
  <c r="AE13" i="4" l="1"/>
  <c r="F28" i="27"/>
  <c r="E28" i="28" s="1"/>
  <c r="T33" i="15"/>
  <c r="F29" i="27" l="1"/>
  <c r="E29" i="28" s="1"/>
  <c r="AF13" i="4"/>
  <c r="V23" i="15" l="1"/>
  <c r="V14" i="15"/>
  <c r="V11" i="15"/>
  <c r="V26" i="15"/>
  <c r="V17" i="15"/>
  <c r="V20" i="15"/>
  <c r="U17" i="15"/>
  <c r="V30" i="15" l="1"/>
  <c r="V33" i="15" s="1"/>
  <c r="F31" i="27" s="1"/>
  <c r="E31" i="28" s="1"/>
  <c r="W17" i="15"/>
  <c r="W26" i="15"/>
  <c r="W23" i="15"/>
  <c r="W11" i="15"/>
  <c r="W20" i="15"/>
  <c r="W14" i="15"/>
  <c r="U26" i="15"/>
  <c r="U14" i="15"/>
  <c r="U23" i="15"/>
  <c r="U11" i="15"/>
  <c r="U20" i="15"/>
  <c r="U30" i="15" l="1"/>
  <c r="W30" i="15"/>
  <c r="W33" i="15" s="1"/>
  <c r="F32" i="27" s="1"/>
  <c r="E32" i="28" s="1"/>
  <c r="AH13" i="4"/>
  <c r="U33" i="15"/>
  <c r="X17" i="15"/>
  <c r="X23" i="15"/>
  <c r="X20" i="15"/>
  <c r="X26" i="15"/>
  <c r="X14" i="15"/>
  <c r="X11" i="15"/>
  <c r="X30" i="15" l="1"/>
  <c r="X33" i="15" s="1"/>
  <c r="AI13" i="4"/>
  <c r="F30" i="27"/>
  <c r="E30" i="28" s="1"/>
  <c r="AG13" i="4"/>
  <c r="Y33" i="15" l="1"/>
  <c r="Z14" i="15"/>
  <c r="Z17" i="15"/>
  <c r="Z20" i="15"/>
  <c r="Z26" i="15"/>
  <c r="Z23" i="15"/>
  <c r="Z11" i="15"/>
  <c r="F33" i="27"/>
  <c r="E33" i="28" s="1"/>
  <c r="AJ13" i="4"/>
  <c r="Z30" i="15" l="1"/>
  <c r="Z33" i="15" s="1"/>
  <c r="AL13" i="4" s="1"/>
  <c r="AA23" i="15"/>
  <c r="AA14" i="15"/>
  <c r="AA11" i="15"/>
  <c r="AA26" i="15"/>
  <c r="AA17" i="15"/>
  <c r="AA20" i="15"/>
  <c r="F34" i="27"/>
  <c r="E34" i="28" s="1"/>
  <c r="AK13" i="4"/>
  <c r="AA30" i="15" l="1"/>
  <c r="AA33" i="15" s="1"/>
  <c r="F35" i="27"/>
  <c r="E35" i="28" s="1"/>
  <c r="AB26" i="15"/>
  <c r="AB23" i="15"/>
  <c r="AB11" i="15"/>
  <c r="AB14" i="15"/>
  <c r="AB20" i="15"/>
  <c r="AB17" i="15"/>
  <c r="AB30" i="15" l="1"/>
  <c r="AB33" i="15" s="1"/>
  <c r="F36" i="27"/>
  <c r="E36" i="28" s="1"/>
  <c r="AM13" i="4"/>
  <c r="F37" i="27" l="1"/>
  <c r="E37" i="28" s="1"/>
  <c r="E42" i="28" s="1"/>
  <c r="AN13" i="4"/>
  <c r="G13" i="4" l="1"/>
  <c r="C10" i="14" s="1"/>
  <c r="F13" i="4"/>
  <c r="U30" i="17"/>
  <c r="U44" i="17" s="1"/>
  <c r="U51" i="17" s="1"/>
  <c r="U31" i="17"/>
  <c r="U45" i="17" s="1"/>
  <c r="U52" i="17" s="1"/>
  <c r="U29" i="17"/>
  <c r="U43" i="17" s="1"/>
  <c r="U50" i="17" s="1"/>
  <c r="U32" i="17"/>
  <c r="U46" i="17" s="1"/>
  <c r="U53" i="17" s="1"/>
  <c r="U28" i="17"/>
  <c r="U42" i="17" s="1"/>
  <c r="U49" i="17" s="1"/>
  <c r="T55" i="17"/>
  <c r="V30" i="17" l="1"/>
  <c r="V44" i="17" s="1"/>
  <c r="V51" i="17" s="1"/>
  <c r="V31" i="17"/>
  <c r="V45" i="17" s="1"/>
  <c r="V52" i="17" s="1"/>
  <c r="V29" i="17"/>
  <c r="V43" i="17" s="1"/>
  <c r="V50" i="17" s="1"/>
  <c r="V32" i="17"/>
  <c r="V46" i="17" s="1"/>
  <c r="V53" i="17" s="1"/>
  <c r="V28" i="17"/>
  <c r="V42" i="17" s="1"/>
  <c r="V49" i="17" s="1"/>
  <c r="U55" i="17"/>
  <c r="AF10" i="4"/>
  <c r="D29" i="27"/>
  <c r="C29" i="28" s="1"/>
  <c r="W30" i="17" l="1"/>
  <c r="W44" i="17" s="1"/>
  <c r="W51" i="17" s="1"/>
  <c r="W31" i="17"/>
  <c r="W45" i="17" s="1"/>
  <c r="W52" i="17" s="1"/>
  <c r="W29" i="17"/>
  <c r="W43" i="17" s="1"/>
  <c r="W50" i="17" s="1"/>
  <c r="W32" i="17"/>
  <c r="W46" i="17" s="1"/>
  <c r="W53" i="17" s="1"/>
  <c r="W28" i="17"/>
  <c r="W42" i="17" s="1"/>
  <c r="W49" i="17" s="1"/>
  <c r="AG10" i="4"/>
  <c r="D30" i="27"/>
  <c r="C30" i="28" s="1"/>
  <c r="M45" i="17" l="1"/>
  <c r="M44" i="17"/>
  <c r="M51" i="17" s="1"/>
  <c r="M43" i="17"/>
  <c r="M50" i="17" s="1"/>
  <c r="M46" i="17"/>
  <c r="M42" i="17"/>
  <c r="M49" i="17" s="1"/>
  <c r="X30" i="17"/>
  <c r="X44" i="17" s="1"/>
  <c r="X51" i="17" s="1"/>
  <c r="X31" i="17"/>
  <c r="X45" i="17" s="1"/>
  <c r="X52" i="17" s="1"/>
  <c r="X29" i="17"/>
  <c r="X43" i="17" s="1"/>
  <c r="X50" i="17" s="1"/>
  <c r="X32" i="17"/>
  <c r="X46" i="17" s="1"/>
  <c r="X53" i="17" s="1"/>
  <c r="X28" i="17"/>
  <c r="X42" i="17" s="1"/>
  <c r="X49" i="17" s="1"/>
  <c r="W55" i="17"/>
  <c r="M52" i="17" l="1"/>
  <c r="M53" i="17"/>
  <c r="Y44" i="17"/>
  <c r="Y51" i="17" s="1"/>
  <c r="Y45" i="17"/>
  <c r="Y52" i="17" s="1"/>
  <c r="Y43" i="17"/>
  <c r="Y50" i="17" s="1"/>
  <c r="Y46" i="17"/>
  <c r="Y53" i="17" s="1"/>
  <c r="Y42" i="17"/>
  <c r="Y49" i="17" s="1"/>
  <c r="O30" i="17"/>
  <c r="O44" i="17" s="1"/>
  <c r="O51" i="17" s="1"/>
  <c r="O31" i="17"/>
  <c r="O45" i="17" s="1"/>
  <c r="O52" i="17" s="1"/>
  <c r="O29" i="17"/>
  <c r="O43" i="17" s="1"/>
  <c r="O50" i="17" s="1"/>
  <c r="O32" i="17"/>
  <c r="O46" i="17" s="1"/>
  <c r="O28" i="17"/>
  <c r="O42" i="17" s="1"/>
  <c r="V55" i="17"/>
  <c r="D31" i="27" s="1"/>
  <c r="C31" i="28" s="1"/>
  <c r="D32" i="27"/>
  <c r="C32" i="28" s="1"/>
  <c r="AI10" i="4"/>
  <c r="X55" i="17"/>
  <c r="O53" i="17" l="1"/>
  <c r="O49" i="17"/>
  <c r="AH10" i="4"/>
  <c r="P30" i="17"/>
  <c r="P44" i="17" s="1"/>
  <c r="P31" i="17"/>
  <c r="P45" i="17" s="1"/>
  <c r="P52" i="17" s="1"/>
  <c r="P29" i="17"/>
  <c r="P43" i="17" s="1"/>
  <c r="P32" i="17"/>
  <c r="P46" i="17" s="1"/>
  <c r="P53" i="17" s="1"/>
  <c r="P28" i="17"/>
  <c r="P42" i="17" s="1"/>
  <c r="P49" i="17" s="1"/>
  <c r="Z30" i="17"/>
  <c r="Z44" i="17" s="1"/>
  <c r="Z51" i="17" s="1"/>
  <c r="Z31" i="17"/>
  <c r="Z45" i="17" s="1"/>
  <c r="Z52" i="17" s="1"/>
  <c r="Z29" i="17"/>
  <c r="Z43" i="17" s="1"/>
  <c r="Z50" i="17" s="1"/>
  <c r="Z32" i="17"/>
  <c r="Z46" i="17" s="1"/>
  <c r="Z53" i="17" s="1"/>
  <c r="Z28" i="17"/>
  <c r="Z42" i="17" s="1"/>
  <c r="Z49" i="17" s="1"/>
  <c r="Y55" i="17"/>
  <c r="D33" i="27"/>
  <c r="C33" i="28" s="1"/>
  <c r="AJ10" i="4"/>
  <c r="M55" i="17"/>
  <c r="O55" i="17" l="1"/>
  <c r="D24" i="27" s="1"/>
  <c r="C24" i="28" s="1"/>
  <c r="P50" i="17"/>
  <c r="P51" i="17"/>
  <c r="AA30" i="17"/>
  <c r="AA44" i="17" s="1"/>
  <c r="AA51" i="17" s="1"/>
  <c r="AA31" i="17"/>
  <c r="AA45" i="17" s="1"/>
  <c r="AA52" i="17" s="1"/>
  <c r="AA29" i="17"/>
  <c r="AA43" i="17" s="1"/>
  <c r="AA50" i="17" s="1"/>
  <c r="AA32" i="17"/>
  <c r="AA46" i="17" s="1"/>
  <c r="AA53" i="17" s="1"/>
  <c r="AA28" i="17"/>
  <c r="AA42" i="17" s="1"/>
  <c r="AA49" i="17" s="1"/>
  <c r="Q30" i="17"/>
  <c r="Q44" i="17" s="1"/>
  <c r="Q31" i="17"/>
  <c r="Q45" i="17" s="1"/>
  <c r="Q29" i="17"/>
  <c r="Q43" i="17" s="1"/>
  <c r="Q50" i="17" s="1"/>
  <c r="Q32" i="17"/>
  <c r="Q46" i="17" s="1"/>
  <c r="Q28" i="17"/>
  <c r="Q42" i="17" s="1"/>
  <c r="Q49" i="17" s="1"/>
  <c r="Z55" i="17"/>
  <c r="Y10" i="4"/>
  <c r="D22" i="27"/>
  <c r="C22" i="28" s="1"/>
  <c r="D34" i="27"/>
  <c r="C34" i="28" s="1"/>
  <c r="AK10" i="4"/>
  <c r="AA10" i="4" l="1"/>
  <c r="Q53" i="17"/>
  <c r="Q52" i="17"/>
  <c r="Q51" i="17"/>
  <c r="AB30" i="17"/>
  <c r="AB44" i="17" s="1"/>
  <c r="AB51" i="17" s="1"/>
  <c r="AB31" i="17"/>
  <c r="AB45" i="17" s="1"/>
  <c r="AB52" i="17" s="1"/>
  <c r="AB29" i="17"/>
  <c r="AB43" i="17" s="1"/>
  <c r="AB32" i="17"/>
  <c r="AB46" i="17" s="1"/>
  <c r="AB53" i="17" s="1"/>
  <c r="AB28" i="17"/>
  <c r="AB42" i="17" s="1"/>
  <c r="R30" i="17"/>
  <c r="R44" i="17" s="1"/>
  <c r="R51" i="17" s="1"/>
  <c r="R31" i="17"/>
  <c r="R45" i="17" s="1"/>
  <c r="R52" i="17" s="1"/>
  <c r="R29" i="17"/>
  <c r="R43" i="17" s="1"/>
  <c r="R50" i="17" s="1"/>
  <c r="R32" i="17"/>
  <c r="R46" i="17" s="1"/>
  <c r="R28" i="17"/>
  <c r="R42" i="17" s="1"/>
  <c r="AA55" i="17"/>
  <c r="P55" i="17"/>
  <c r="AL10" i="4"/>
  <c r="D35" i="27"/>
  <c r="C35" i="28" s="1"/>
  <c r="AB49" i="17" l="1"/>
  <c r="AB50" i="17"/>
  <c r="R53" i="17"/>
  <c r="R49" i="17"/>
  <c r="S30" i="17"/>
  <c r="S44" i="17" s="1"/>
  <c r="S31" i="17"/>
  <c r="S45" i="17" s="1"/>
  <c r="S52" i="17" s="1"/>
  <c r="S29" i="17"/>
  <c r="S43" i="17" s="1"/>
  <c r="D43" i="17" s="1"/>
  <c r="S32" i="17"/>
  <c r="S46" i="17" s="1"/>
  <c r="S53" i="17" s="1"/>
  <c r="S28" i="17"/>
  <c r="S42" i="17" s="1"/>
  <c r="S49" i="17" s="1"/>
  <c r="Q55" i="17"/>
  <c r="D36" i="27"/>
  <c r="C36" i="28" s="1"/>
  <c r="AM10" i="4"/>
  <c r="D25" i="27"/>
  <c r="C25" i="28" s="1"/>
  <c r="AB10" i="4"/>
  <c r="AB55" i="17" l="1"/>
  <c r="D37" i="27" s="1"/>
  <c r="C37" i="28" s="1"/>
  <c r="R55" i="17"/>
  <c r="AD10" i="4" s="1"/>
  <c r="D42" i="17"/>
  <c r="D46" i="17"/>
  <c r="S51" i="17"/>
  <c r="D44" i="17"/>
  <c r="S50" i="17"/>
  <c r="D45" i="17"/>
  <c r="D26" i="27"/>
  <c r="C26" i="28" s="1"/>
  <c r="AC10" i="4"/>
  <c r="AN10" i="4" l="1"/>
  <c r="D27" i="27"/>
  <c r="C27" i="28" s="1"/>
  <c r="S55" i="17"/>
  <c r="AE10" i="4" s="1"/>
  <c r="F10" i="4" l="1"/>
  <c r="F5" i="14" s="1"/>
  <c r="G10" i="4"/>
  <c r="C7" i="14" s="1"/>
  <c r="G5" i="14" s="1"/>
  <c r="D28" i="27"/>
  <c r="C28" i="28" s="1"/>
  <c r="C42" i="28" s="1"/>
  <c r="K3" i="17"/>
  <c r="D48" i="17" l="1"/>
  <c r="B19" i="28" l="1"/>
  <c r="K19" i="28" s="1"/>
  <c r="AD8" i="2" l="1"/>
  <c r="AD14" i="2" l="1"/>
  <c r="AD13" i="2"/>
  <c r="AP9" i="4" l="1"/>
  <c r="C39" i="27"/>
  <c r="N39" i="28" s="1"/>
  <c r="B39" i="27"/>
  <c r="M39" i="28" s="1"/>
  <c r="AD15" i="2"/>
  <c r="AP8" i="4"/>
  <c r="AP7" i="4" l="1"/>
  <c r="B39" i="28"/>
  <c r="I13" i="2" l="1"/>
  <c r="I14" i="2"/>
  <c r="U9" i="4" l="1"/>
  <c r="U8" i="4"/>
  <c r="I15" i="2"/>
  <c r="B18" i="28" l="1"/>
  <c r="K18" i="28" s="1"/>
  <c r="V8" i="4"/>
  <c r="V9" i="4"/>
  <c r="W9" i="4" s="1"/>
  <c r="X9" i="4" s="1"/>
  <c r="U7" i="4"/>
  <c r="U18" i="4"/>
  <c r="B20" i="28"/>
  <c r="K20" i="28" s="1"/>
  <c r="W8" i="4" l="1"/>
  <c r="V7" i="4"/>
  <c r="V18" i="4"/>
  <c r="X8" i="4" l="1"/>
  <c r="W7" i="4"/>
  <c r="W18" i="4"/>
  <c r="X7" i="4" l="1"/>
  <c r="B21" i="28"/>
  <c r="K21" i="28" s="1"/>
  <c r="AG18" i="33" l="1"/>
  <c r="AG34" i="33" s="1"/>
  <c r="AG24" i="33"/>
  <c r="AG48" i="33" s="1"/>
  <c r="AG15" i="33"/>
  <c r="AG30" i="33" s="1"/>
  <c r="AG21" i="33"/>
  <c r="AG38" i="33" s="1"/>
  <c r="AG42" i="33" l="1"/>
  <c r="X18" i="33"/>
  <c r="X34" i="33" s="1"/>
  <c r="AF18" i="33"/>
  <c r="AF34" i="33" s="1"/>
  <c r="R15" i="33"/>
  <c r="R30" i="33" s="1"/>
  <c r="U21" i="33"/>
  <c r="U38" i="33" s="1"/>
  <c r="V15" i="33"/>
  <c r="V30" i="33" s="1"/>
  <c r="AA15" i="33"/>
  <c r="AA30" i="33" s="1"/>
  <c r="Q18" i="33"/>
  <c r="Q34" i="33" s="1"/>
  <c r="S24" i="33"/>
  <c r="S48" i="33" s="1"/>
  <c r="AB18" i="33"/>
  <c r="AB34" i="33" s="1"/>
  <c r="AA21" i="33"/>
  <c r="AA38" i="33" s="1"/>
  <c r="AC15" i="33"/>
  <c r="AC30" i="33" s="1"/>
  <c r="AF15" i="33"/>
  <c r="AF30" i="33" s="1"/>
  <c r="V18" i="33"/>
  <c r="V34" i="33" s="1"/>
  <c r="U24" i="33"/>
  <c r="U48" i="33" s="1"/>
  <c r="Z24" i="33"/>
  <c r="Z48" i="33" s="1"/>
  <c r="T21" i="33"/>
  <c r="T38" i="33" s="1"/>
  <c r="AC24" i="33"/>
  <c r="AC48" i="33" s="1"/>
  <c r="S18" i="33"/>
  <c r="S34" i="33" s="1"/>
  <c r="AB15" i="33"/>
  <c r="AB30" i="33" s="1"/>
  <c r="Q15" i="33"/>
  <c r="Q30" i="33" s="1"/>
  <c r="S21" i="33"/>
  <c r="S38" i="33" s="1"/>
  <c r="Y18" i="33"/>
  <c r="Y34" i="33" s="1"/>
  <c r="AD18" i="33"/>
  <c r="AD34" i="33" s="1"/>
  <c r="AD21" i="33"/>
  <c r="AD38" i="33" s="1"/>
  <c r="R24" i="33"/>
  <c r="R48" i="33" s="1"/>
  <c r="Q24" i="33"/>
  <c r="Q48" i="33" s="1"/>
  <c r="AC18" i="33"/>
  <c r="AC34" i="33" s="1"/>
  <c r="AE15" i="33"/>
  <c r="AE30" i="33" s="1"/>
  <c r="W21" i="33"/>
  <c r="W38" i="33" s="1"/>
  <c r="W18" i="33"/>
  <c r="W34" i="33" s="1"/>
  <c r="AA18" i="33"/>
  <c r="AA34" i="33" s="1"/>
  <c r="Q21" i="33"/>
  <c r="Q38" i="33" s="1"/>
  <c r="AE21" i="33"/>
  <c r="AE38" i="33" s="1"/>
  <c r="U15" i="33"/>
  <c r="U30" i="33" s="1"/>
  <c r="R21" i="33"/>
  <c r="R38" i="33" s="1"/>
  <c r="X15" i="33"/>
  <c r="X30" i="33" s="1"/>
  <c r="Y21" i="33"/>
  <c r="Y38" i="33" s="1"/>
  <c r="V24" i="33"/>
  <c r="V48" i="33" s="1"/>
  <c r="Z21" i="33"/>
  <c r="Z38" i="33" s="1"/>
  <c r="AB24" i="33"/>
  <c r="AB48" i="33" s="1"/>
  <c r="T24" i="33"/>
  <c r="T48" i="33" s="1"/>
  <c r="Z18" i="33"/>
  <c r="Z34" i="33" s="1"/>
  <c r="X24" i="33"/>
  <c r="X48" i="33" s="1"/>
  <c r="U18" i="33"/>
  <c r="U34" i="33" s="1"/>
  <c r="T15" i="33"/>
  <c r="T30" i="33" s="1"/>
  <c r="Y15" i="33"/>
  <c r="Y30" i="33" s="1"/>
  <c r="Y42" i="33" s="1"/>
  <c r="Y24" i="33"/>
  <c r="Y48" i="33" s="1"/>
  <c r="AD24" i="33"/>
  <c r="AD48" i="33" s="1"/>
  <c r="S15" i="33"/>
  <c r="S30" i="33" s="1"/>
  <c r="W24" i="33"/>
  <c r="W48" i="33" s="1"/>
  <c r="AB21" i="33"/>
  <c r="AB38" i="33" s="1"/>
  <c r="W15" i="33"/>
  <c r="W30" i="33" s="1"/>
  <c r="AA24" i="33"/>
  <c r="AA48" i="33" s="1"/>
  <c r="AD15" i="33"/>
  <c r="AD30" i="33" s="1"/>
  <c r="Z15" i="33"/>
  <c r="Z30" i="33" s="1"/>
  <c r="V21" i="33"/>
  <c r="V38" i="33" s="1"/>
  <c r="AC21" i="33"/>
  <c r="AC38" i="33" s="1"/>
  <c r="T18" i="33"/>
  <c r="T34" i="33" s="1"/>
  <c r="AE24" i="33"/>
  <c r="AE48" i="33" s="1"/>
  <c r="AE18" i="33"/>
  <c r="AE34" i="33" s="1"/>
  <c r="R18" i="33"/>
  <c r="R34" i="33" s="1"/>
  <c r="AF21" i="33"/>
  <c r="AF38" i="33" s="1"/>
  <c r="X21" i="33"/>
  <c r="X38" i="33" s="1"/>
  <c r="AF24" i="33"/>
  <c r="AF48" i="33" s="1"/>
  <c r="AB42" i="33" l="1"/>
  <c r="AD42" i="33"/>
  <c r="AE42" i="33"/>
  <c r="Q42" i="33"/>
  <c r="AC42" i="33"/>
  <c r="AA42" i="33"/>
  <c r="V42" i="33"/>
  <c r="W42" i="33"/>
  <c r="Z42" i="33"/>
  <c r="R42" i="33"/>
  <c r="T42" i="33"/>
  <c r="X42" i="33"/>
  <c r="U42" i="33"/>
  <c r="S42" i="33"/>
  <c r="AF42" i="33"/>
  <c r="AH24" i="33"/>
  <c r="AH48" i="33" s="1"/>
  <c r="AH21" i="33"/>
  <c r="AH38" i="33" s="1"/>
  <c r="AH18" i="33"/>
  <c r="AH34" i="33" s="1"/>
  <c r="AH15" i="33"/>
  <c r="AH30" i="33" s="1"/>
  <c r="AH42" i="33" l="1"/>
  <c r="AI21" i="33"/>
  <c r="AI38" i="33" s="1"/>
  <c r="AI18" i="33"/>
  <c r="AI34" i="33" s="1"/>
  <c r="AI24" i="33"/>
  <c r="AI48" i="33" s="1"/>
  <c r="AI15" i="33"/>
  <c r="AI30" i="33" s="1"/>
  <c r="AI42" i="33" l="1"/>
  <c r="AJ24" i="33"/>
  <c r="AJ48" i="33" s="1"/>
  <c r="AJ15" i="33"/>
  <c r="AJ30" i="33" s="1"/>
  <c r="AJ21" i="33"/>
  <c r="AJ38" i="33" s="1"/>
  <c r="AJ18" i="33"/>
  <c r="AJ34" i="33" s="1"/>
  <c r="AJ42" i="33" l="1"/>
  <c r="AF16" i="34"/>
  <c r="AF26" i="34" s="1"/>
  <c r="AE16" i="34" l="1"/>
  <c r="AE26" i="34" s="1"/>
  <c r="S16" i="34"/>
  <c r="S26" i="34" s="1"/>
  <c r="Z16" i="34"/>
  <c r="Z26" i="34" s="1"/>
  <c r="AA16" i="34"/>
  <c r="AA26" i="34" s="1"/>
  <c r="R16" i="34"/>
  <c r="R26" i="34" s="1"/>
  <c r="U16" i="34"/>
  <c r="U26" i="34" s="1"/>
  <c r="T16" i="34"/>
  <c r="T26" i="34" s="1"/>
  <c r="Q16" i="34"/>
  <c r="Q26" i="34" s="1"/>
  <c r="W16" i="34"/>
  <c r="W26" i="34" s="1"/>
  <c r="AG16" i="34"/>
  <c r="AG26" i="34" s="1"/>
  <c r="P16" i="34"/>
  <c r="P26" i="34" s="1"/>
  <c r="V16" i="34"/>
  <c r="V26" i="34" s="1"/>
  <c r="Y16" i="34"/>
  <c r="Y26" i="34" s="1"/>
  <c r="X16" i="34"/>
  <c r="X26" i="34" s="1"/>
  <c r="AB16" i="34" l="1"/>
  <c r="AB26" i="34" s="1"/>
  <c r="AD16" i="34"/>
  <c r="AD26" i="34" s="1"/>
  <c r="AC16" i="34"/>
  <c r="AC26" i="34" s="1"/>
  <c r="X18" i="4"/>
  <c r="AI16" i="34" l="1"/>
  <c r="AI26" i="34" s="1"/>
  <c r="AH16" i="34"/>
  <c r="AH26" i="34" s="1"/>
  <c r="D58" i="1" l="1"/>
  <c r="M8" i="2" l="1"/>
  <c r="N8" i="2" l="1"/>
  <c r="M13" i="2"/>
  <c r="M14" i="2"/>
  <c r="Y9" i="4" l="1"/>
  <c r="C22" i="27"/>
  <c r="N22" i="28" s="1"/>
  <c r="Y8" i="4"/>
  <c r="B22" i="27"/>
  <c r="M22" i="28" s="1"/>
  <c r="Y7" i="4"/>
  <c r="Y18" i="4"/>
  <c r="M15" i="2"/>
  <c r="O8" i="2"/>
  <c r="N13" i="2"/>
  <c r="N14" i="2"/>
  <c r="N18" i="2"/>
  <c r="B22" i="28" l="1"/>
  <c r="K22" i="28"/>
  <c r="Z9" i="4"/>
  <c r="C23" i="27"/>
  <c r="N23" i="28" s="1"/>
  <c r="P8" i="2"/>
  <c r="N15" i="2"/>
  <c r="N19" i="2" s="1"/>
  <c r="Z8" i="4"/>
  <c r="B23" i="27"/>
  <c r="M23" i="28" s="1"/>
  <c r="B23" i="28" s="1"/>
  <c r="O14" i="2"/>
  <c r="O18" i="2"/>
  <c r="O13" i="2"/>
  <c r="AA8" i="4" l="1"/>
  <c r="B24" i="27"/>
  <c r="M24" i="28" s="1"/>
  <c r="O15" i="2"/>
  <c r="O19" i="2" s="1"/>
  <c r="Q8" i="2"/>
  <c r="P18" i="2"/>
  <c r="P14" i="2"/>
  <c r="P13" i="2"/>
  <c r="C24" i="27"/>
  <c r="N24" i="28" s="1"/>
  <c r="AA9" i="4"/>
  <c r="Z7" i="4"/>
  <c r="B24" i="28" l="1"/>
  <c r="B25" i="27"/>
  <c r="M25" i="28" s="1"/>
  <c r="P15" i="2"/>
  <c r="P19" i="2" s="1"/>
  <c r="AB8" i="4"/>
  <c r="C25" i="27"/>
  <c r="N25" i="28" s="1"/>
  <c r="AB9" i="4"/>
  <c r="R8" i="2"/>
  <c r="AA7" i="4"/>
  <c r="Q13" i="2"/>
  <c r="Q18" i="2"/>
  <c r="Q14" i="2"/>
  <c r="B26" i="27" l="1"/>
  <c r="M26" i="28" s="1"/>
  <c r="Q15" i="2"/>
  <c r="Q19" i="2" s="1"/>
  <c r="AC8" i="4"/>
  <c r="R14" i="2"/>
  <c r="R18" i="2"/>
  <c r="R13" i="2"/>
  <c r="AB7" i="4"/>
  <c r="S8" i="2"/>
  <c r="C26" i="27"/>
  <c r="N26" i="28" s="1"/>
  <c r="AC9" i="4"/>
  <c r="B25" i="28"/>
  <c r="T8" i="2" l="1"/>
  <c r="B27" i="27"/>
  <c r="M27" i="28" s="1"/>
  <c r="AD8" i="4"/>
  <c r="R15" i="2"/>
  <c r="R19" i="2" s="1"/>
  <c r="AD9" i="4"/>
  <c r="C27" i="27"/>
  <c r="N27" i="28" s="1"/>
  <c r="AC7" i="4"/>
  <c r="S14" i="2"/>
  <c r="S13" i="2"/>
  <c r="S18" i="2"/>
  <c r="B26" i="28"/>
  <c r="T18" i="2" l="1"/>
  <c r="T13" i="2"/>
  <c r="T14" i="2"/>
  <c r="S15" i="2"/>
  <c r="S19" i="2" s="1"/>
  <c r="B28" i="27"/>
  <c r="M28" i="28" s="1"/>
  <c r="AE8" i="4"/>
  <c r="C28" i="27"/>
  <c r="N28" i="28" s="1"/>
  <c r="AE9" i="4"/>
  <c r="AD7" i="4"/>
  <c r="B27" i="28"/>
  <c r="U8" i="2"/>
  <c r="V8" i="2" l="1"/>
  <c r="U13" i="2"/>
  <c r="U18" i="2"/>
  <c r="U14" i="2"/>
  <c r="AF9" i="4"/>
  <c r="C29" i="27"/>
  <c r="N29" i="28" s="1"/>
  <c r="B28" i="28"/>
  <c r="T15" i="2"/>
  <c r="T19" i="2" s="1"/>
  <c r="B29" i="27"/>
  <c r="M29" i="28" s="1"/>
  <c r="AF8" i="4"/>
  <c r="AE7" i="4"/>
  <c r="B29" i="28" l="1"/>
  <c r="AF7" i="4"/>
  <c r="C30" i="27"/>
  <c r="N30" i="28" s="1"/>
  <c r="AG9" i="4"/>
  <c r="W8" i="2"/>
  <c r="AG8" i="4"/>
  <c r="U15" i="2"/>
  <c r="U19" i="2" s="1"/>
  <c r="B30" i="27"/>
  <c r="M30" i="28" s="1"/>
  <c r="B30" i="28" s="1"/>
  <c r="V14" i="2"/>
  <c r="V18" i="2"/>
  <c r="V13" i="2"/>
  <c r="AG7" i="4" l="1"/>
  <c r="B31" i="27"/>
  <c r="M31" i="28" s="1"/>
  <c r="AH8" i="4"/>
  <c r="V15" i="2"/>
  <c r="V19" i="2" s="1"/>
  <c r="X8" i="2"/>
  <c r="W14" i="2"/>
  <c r="W18" i="2"/>
  <c r="W13" i="2"/>
  <c r="C31" i="27"/>
  <c r="N31" i="28" s="1"/>
  <c r="AH9" i="4"/>
  <c r="B32" i="27" l="1"/>
  <c r="M32" i="28" s="1"/>
  <c r="W15" i="2"/>
  <c r="W19" i="2" s="1"/>
  <c r="AI8" i="4"/>
  <c r="C32" i="27"/>
  <c r="N32" i="28" s="1"/>
  <c r="AI9" i="4"/>
  <c r="X13" i="2"/>
  <c r="X18" i="2"/>
  <c r="X14" i="2"/>
  <c r="AH7" i="4"/>
  <c r="B31" i="28"/>
  <c r="AE8" i="2"/>
  <c r="Y8" i="2"/>
  <c r="Z8" i="2" l="1"/>
  <c r="AI7" i="4"/>
  <c r="AJ9" i="4"/>
  <c r="C33" i="27"/>
  <c r="N33" i="28" s="1"/>
  <c r="B33" i="27"/>
  <c r="M33" i="28" s="1"/>
  <c r="AJ8" i="4"/>
  <c r="X15" i="2"/>
  <c r="X19" i="2" s="1"/>
  <c r="Y13" i="2"/>
  <c r="Y18" i="2"/>
  <c r="Y14" i="2"/>
  <c r="AE13" i="2"/>
  <c r="AE18" i="2"/>
  <c r="AE14" i="2"/>
  <c r="B32" i="28"/>
  <c r="B33" i="28" l="1"/>
  <c r="AK8" i="4"/>
  <c r="B34" i="27"/>
  <c r="M34" i="28" s="1"/>
  <c r="Y15" i="2"/>
  <c r="Y19" i="2" s="1"/>
  <c r="AF8" i="2"/>
  <c r="AF18" i="2" s="1"/>
  <c r="AJ7" i="4"/>
  <c r="AQ9" i="4"/>
  <c r="C40" i="27"/>
  <c r="N40" i="28" s="1"/>
  <c r="AA8" i="2"/>
  <c r="B40" i="27"/>
  <c r="M40" i="28" s="1"/>
  <c r="AQ8" i="4"/>
  <c r="AE15" i="2"/>
  <c r="AE19" i="2" s="1"/>
  <c r="C34" i="27"/>
  <c r="N34" i="28" s="1"/>
  <c r="AK9" i="4"/>
  <c r="Z18" i="2"/>
  <c r="Z14" i="2"/>
  <c r="Z13" i="2"/>
  <c r="B40" i="28" l="1"/>
  <c r="AA13" i="2"/>
  <c r="AA18" i="2"/>
  <c r="AA14" i="2"/>
  <c r="AL9" i="4"/>
  <c r="C35" i="27"/>
  <c r="N35" i="28" s="1"/>
  <c r="AL8" i="4"/>
  <c r="B35" i="27"/>
  <c r="M35" i="28" s="1"/>
  <c r="B35" i="28" s="1"/>
  <c r="Z15" i="2"/>
  <c r="Z19" i="2" s="1"/>
  <c r="B34" i="28"/>
  <c r="AB8" i="2"/>
  <c r="AC8" i="2"/>
  <c r="K3" i="2"/>
  <c r="F58" i="1"/>
  <c r="AF14" i="2"/>
  <c r="AF13" i="2"/>
  <c r="AQ7" i="4"/>
  <c r="AK7" i="4"/>
  <c r="AC13" i="2" l="1"/>
  <c r="AC18" i="2"/>
  <c r="AD18" i="2"/>
  <c r="AC14" i="2"/>
  <c r="AL7" i="4"/>
  <c r="AM9" i="4"/>
  <c r="C36" i="27"/>
  <c r="N36" i="28" s="1"/>
  <c r="B41" i="27"/>
  <c r="M41" i="28" s="1"/>
  <c r="AF15" i="2"/>
  <c r="AF19" i="2" s="1"/>
  <c r="AR8" i="4"/>
  <c r="G58" i="1"/>
  <c r="AB14" i="2"/>
  <c r="AB18" i="2"/>
  <c r="AB13" i="2"/>
  <c r="AR9" i="4"/>
  <c r="C41" i="27"/>
  <c r="N41" i="28" s="1"/>
  <c r="AM8" i="4"/>
  <c r="AA15" i="2"/>
  <c r="AA19" i="2" s="1"/>
  <c r="B36" i="27"/>
  <c r="M36" i="28" s="1"/>
  <c r="B36" i="28" s="1"/>
  <c r="AR7" i="4" l="1"/>
  <c r="AM7" i="4"/>
  <c r="B37" i="27"/>
  <c r="M37" i="28" s="1"/>
  <c r="AN8" i="4"/>
  <c r="AB15" i="2"/>
  <c r="AB19" i="2" s="1"/>
  <c r="C37" i="27"/>
  <c r="N37" i="28" s="1"/>
  <c r="AN9" i="4"/>
  <c r="B41" i="28"/>
  <c r="C38" i="27"/>
  <c r="N38" i="28" s="1"/>
  <c r="AO9" i="4"/>
  <c r="G9" i="4" s="1"/>
  <c r="B38" i="27"/>
  <c r="M38" i="28" s="1"/>
  <c r="AC15" i="2"/>
  <c r="AO8" i="4"/>
  <c r="F8" i="4" l="1"/>
  <c r="F9" i="4"/>
  <c r="G8" i="4"/>
  <c r="AO7" i="4"/>
  <c r="AN7" i="4"/>
  <c r="S2" i="4" s="1"/>
  <c r="AC19" i="2"/>
  <c r="AD19" i="2"/>
  <c r="B38" i="28"/>
  <c r="B37" i="28"/>
  <c r="B42" i="28" l="1"/>
  <c r="F7" i="4"/>
  <c r="F4" i="14" s="1"/>
  <c r="C4" i="14"/>
  <c r="G7" i="4"/>
  <c r="G4" i="14" l="1"/>
  <c r="AG25" i="33" l="1"/>
  <c r="AG49" i="33" s="1"/>
  <c r="AG50" i="33" s="1"/>
  <c r="Q7" i="33"/>
  <c r="Q25" i="33" s="1"/>
  <c r="Q49" i="33" s="1"/>
  <c r="Q50" i="33" s="1"/>
  <c r="AG19" i="33"/>
  <c r="AG35" i="33" s="1"/>
  <c r="AG22" i="33"/>
  <c r="AG39" i="33" s="1"/>
  <c r="AG16" i="33"/>
  <c r="AG31" i="33" s="1"/>
  <c r="AG43" i="33" l="1"/>
  <c r="AG45" i="33" s="1"/>
  <c r="Q19" i="33"/>
  <c r="Q35" i="33" s="1"/>
  <c r="R7" i="33"/>
  <c r="Z16" i="4"/>
  <c r="H23" i="27"/>
  <c r="G23" i="28" s="1"/>
  <c r="H39" i="27"/>
  <c r="G39" i="28" s="1"/>
  <c r="AP16" i="4"/>
  <c r="R19" i="33"/>
  <c r="R35" i="33" s="1"/>
  <c r="Q16" i="33"/>
  <c r="Q31" i="33" s="1"/>
  <c r="Q22" i="33"/>
  <c r="Q39" i="33" s="1"/>
  <c r="Q43" i="33" l="1"/>
  <c r="Q45" i="33" s="1"/>
  <c r="S7" i="33"/>
  <c r="R16" i="33"/>
  <c r="R31" i="33" s="1"/>
  <c r="R22" i="33"/>
  <c r="R39" i="33" s="1"/>
  <c r="R25" i="33"/>
  <c r="R49" i="33" s="1"/>
  <c r="R50" i="33" s="1"/>
  <c r="AP15" i="4"/>
  <c r="G39" i="27"/>
  <c r="F39" i="28" s="1"/>
  <c r="AH25" i="33"/>
  <c r="AH49" i="33" s="1"/>
  <c r="AH50" i="33" s="1"/>
  <c r="AH22" i="33"/>
  <c r="AH39" i="33" s="1"/>
  <c r="AH19" i="33"/>
  <c r="AH35" i="33" s="1"/>
  <c r="AH16" i="33"/>
  <c r="AH31" i="33" s="1"/>
  <c r="R43" i="33" l="1"/>
  <c r="R45" i="33" s="1"/>
  <c r="AH43" i="33"/>
  <c r="AH45" i="33" s="1"/>
  <c r="H24" i="27"/>
  <c r="G24" i="28" s="1"/>
  <c r="AA16" i="4"/>
  <c r="T7" i="33"/>
  <c r="S19" i="33"/>
  <c r="S35" i="33" s="1"/>
  <c r="S25" i="33"/>
  <c r="S49" i="33" s="1"/>
  <c r="S50" i="33" s="1"/>
  <c r="S22" i="33"/>
  <c r="S39" i="33" s="1"/>
  <c r="S16" i="33"/>
  <c r="S31" i="33" s="1"/>
  <c r="G23" i="27"/>
  <c r="F23" i="28" s="1"/>
  <c r="Z15" i="4"/>
  <c r="AQ16" i="4"/>
  <c r="H40" i="27"/>
  <c r="G40" i="28" s="1"/>
  <c r="AI16" i="33"/>
  <c r="AI31" i="33" s="1"/>
  <c r="AI25" i="33"/>
  <c r="AI49" i="33" s="1"/>
  <c r="AI50" i="33" s="1"/>
  <c r="AI19" i="33"/>
  <c r="AI35" i="33" s="1"/>
  <c r="AI22" i="33"/>
  <c r="AI39" i="33" s="1"/>
  <c r="AA15" i="4" l="1"/>
  <c r="G24" i="27"/>
  <c r="F24" i="28" s="1"/>
  <c r="AI43" i="33"/>
  <c r="AI45" i="33" s="1"/>
  <c r="G41" i="27" s="1"/>
  <c r="F41" i="28" s="1"/>
  <c r="S43" i="33"/>
  <c r="S45" i="33" s="1"/>
  <c r="AB16" i="4"/>
  <c r="H25" i="27"/>
  <c r="G25" i="28" s="1"/>
  <c r="U7" i="33"/>
  <c r="T16" i="33"/>
  <c r="T31" i="33" s="1"/>
  <c r="T25" i="33"/>
  <c r="T49" i="33" s="1"/>
  <c r="T50" i="33" s="1"/>
  <c r="T19" i="33"/>
  <c r="T35" i="33" s="1"/>
  <c r="T22" i="33"/>
  <c r="T39" i="33" s="1"/>
  <c r="H41" i="27"/>
  <c r="G41" i="28" s="1"/>
  <c r="AR16" i="4"/>
  <c r="AJ19" i="33"/>
  <c r="AJ35" i="33" s="1"/>
  <c r="AJ22" i="33"/>
  <c r="AJ39" i="33" s="1"/>
  <c r="AJ25" i="33"/>
  <c r="AJ49" i="33" s="1"/>
  <c r="AJ50" i="33" s="1"/>
  <c r="AJ16" i="33"/>
  <c r="AJ31" i="33" s="1"/>
  <c r="AJ43" i="33" s="1"/>
  <c r="G40" i="27"/>
  <c r="F40" i="28" s="1"/>
  <c r="AQ15" i="4"/>
  <c r="T43" i="33" l="1"/>
  <c r="T45" i="33" s="1"/>
  <c r="AB15" i="4"/>
  <c r="G25" i="27"/>
  <c r="F25" i="28" s="1"/>
  <c r="V7" i="33"/>
  <c r="U22" i="33"/>
  <c r="U39" i="33" s="1"/>
  <c r="U19" i="33"/>
  <c r="U35" i="33" s="1"/>
  <c r="U25" i="33"/>
  <c r="U49" i="33" s="1"/>
  <c r="U50" i="33" s="1"/>
  <c r="U16" i="33"/>
  <c r="U31" i="33" s="1"/>
  <c r="AC16" i="4"/>
  <c r="H26" i="27"/>
  <c r="G26" i="28" s="1"/>
  <c r="AR15" i="4"/>
  <c r="AJ45" i="33"/>
  <c r="U43" i="33" l="1"/>
  <c r="U45" i="33" s="1"/>
  <c r="G26" i="27"/>
  <c r="F26" i="28" s="1"/>
  <c r="AC15" i="4"/>
  <c r="AD16" i="4"/>
  <c r="H27" i="27"/>
  <c r="G27" i="28" s="1"/>
  <c r="W7" i="33"/>
  <c r="V25" i="33"/>
  <c r="V49" i="33" s="1"/>
  <c r="V50" i="33" s="1"/>
  <c r="V19" i="33"/>
  <c r="V35" i="33" s="1"/>
  <c r="V22" i="33"/>
  <c r="V39" i="33" s="1"/>
  <c r="V16" i="33"/>
  <c r="V31" i="33" s="1"/>
  <c r="AD15" i="4" l="1"/>
  <c r="G27" i="27"/>
  <c r="F27" i="28" s="1"/>
  <c r="V43" i="33"/>
  <c r="V45" i="33" s="1"/>
  <c r="X7" i="33"/>
  <c r="W16" i="33"/>
  <c r="W31" i="33" s="1"/>
  <c r="W25" i="33"/>
  <c r="W49" i="33" s="1"/>
  <c r="W50" i="33" s="1"/>
  <c r="W19" i="33"/>
  <c r="W35" i="33" s="1"/>
  <c r="W22" i="33"/>
  <c r="W39" i="33" s="1"/>
  <c r="H28" i="27"/>
  <c r="G28" i="28" s="1"/>
  <c r="AE16" i="4"/>
  <c r="AE15" i="4" l="1"/>
  <c r="G28" i="27"/>
  <c r="F28" i="28" s="1"/>
  <c r="W43" i="33"/>
  <c r="W45" i="33" s="1"/>
  <c r="AF16" i="4"/>
  <c r="H29" i="27"/>
  <c r="G29" i="28" s="1"/>
  <c r="Y7" i="33"/>
  <c r="X25" i="33"/>
  <c r="X49" i="33" s="1"/>
  <c r="X50" i="33" s="1"/>
  <c r="X16" i="33"/>
  <c r="X31" i="33" s="1"/>
  <c r="X19" i="33"/>
  <c r="X35" i="33" s="1"/>
  <c r="X22" i="33"/>
  <c r="X39" i="33" s="1"/>
  <c r="AF15" i="34"/>
  <c r="AF25" i="34" s="1"/>
  <c r="AF28" i="34" s="1"/>
  <c r="P6" i="34"/>
  <c r="P15" i="34" s="1"/>
  <c r="P25" i="34" s="1"/>
  <c r="P28" i="34" s="1"/>
  <c r="X43" i="33" l="1"/>
  <c r="X45" i="33"/>
  <c r="AF15" i="4"/>
  <c r="G29" i="27"/>
  <c r="F29" i="28" s="1"/>
  <c r="Z7" i="33"/>
  <c r="Y25" i="33"/>
  <c r="Y49" i="33" s="1"/>
  <c r="Y50" i="33" s="1"/>
  <c r="Y19" i="33"/>
  <c r="Y35" i="33" s="1"/>
  <c r="Y16" i="33"/>
  <c r="Y31" i="33" s="1"/>
  <c r="Y22" i="33"/>
  <c r="Y39" i="33" s="1"/>
  <c r="H30" i="27"/>
  <c r="G30" i="28" s="1"/>
  <c r="AG16" i="4"/>
  <c r="Q6" i="34"/>
  <c r="E23" i="27"/>
  <c r="D23" i="28" s="1"/>
  <c r="Z12" i="4"/>
  <c r="E39" i="27"/>
  <c r="D39" i="28" s="1"/>
  <c r="K39" i="28" s="1"/>
  <c r="AP12" i="4"/>
  <c r="AP18" i="4" s="1"/>
  <c r="AG15" i="34"/>
  <c r="AG25" i="34" s="1"/>
  <c r="AG28" i="34" s="1"/>
  <c r="Y43" i="33" l="1"/>
  <c r="K23" i="28"/>
  <c r="Y45" i="33"/>
  <c r="AG15" i="4"/>
  <c r="G30" i="27"/>
  <c r="F30" i="28" s="1"/>
  <c r="R6" i="34"/>
  <c r="Q15" i="34"/>
  <c r="Q25" i="34" s="1"/>
  <c r="Q28" i="34" s="1"/>
  <c r="H31" i="27"/>
  <c r="G31" i="28" s="1"/>
  <c r="AH16" i="4"/>
  <c r="AA7" i="33"/>
  <c r="Z22" i="33"/>
  <c r="Z39" i="33" s="1"/>
  <c r="Z16" i="33"/>
  <c r="Z31" i="33" s="1"/>
  <c r="Z25" i="33"/>
  <c r="Z49" i="33" s="1"/>
  <c r="Z50" i="33" s="1"/>
  <c r="Z19" i="33"/>
  <c r="Z35" i="33" s="1"/>
  <c r="Z18" i="4"/>
  <c r="E40" i="27"/>
  <c r="D40" i="28" s="1"/>
  <c r="K40" i="28" s="1"/>
  <c r="AQ12" i="4"/>
  <c r="AQ18" i="4" s="1"/>
  <c r="Z43" i="33" l="1"/>
  <c r="Z45" i="33" s="1"/>
  <c r="AH15" i="4"/>
  <c r="G31" i="27"/>
  <c r="F31" i="28" s="1"/>
  <c r="AI16" i="4"/>
  <c r="H32" i="27"/>
  <c r="G32" i="28" s="1"/>
  <c r="AA12" i="4"/>
  <c r="E24" i="27"/>
  <c r="D24" i="28" s="1"/>
  <c r="AB7" i="33"/>
  <c r="AA22" i="33"/>
  <c r="AA39" i="33" s="1"/>
  <c r="AA25" i="33"/>
  <c r="AA49" i="33" s="1"/>
  <c r="AA50" i="33" s="1"/>
  <c r="AA19" i="33"/>
  <c r="AA35" i="33" s="1"/>
  <c r="AA16" i="33"/>
  <c r="AA31" i="33" s="1"/>
  <c r="S6" i="34"/>
  <c r="R15" i="34"/>
  <c r="R25" i="34" s="1"/>
  <c r="R28" i="34" s="1"/>
  <c r="AH15" i="34"/>
  <c r="AH25" i="34" s="1"/>
  <c r="AH28" i="34" s="1"/>
  <c r="AI15" i="34"/>
  <c r="AI25" i="34" s="1"/>
  <c r="AI28" i="34" s="1"/>
  <c r="K24" i="28" l="1"/>
  <c r="AI15" i="4"/>
  <c r="G32" i="27"/>
  <c r="F32" i="28" s="1"/>
  <c r="AA43" i="33"/>
  <c r="AA45" i="33" s="1"/>
  <c r="T6" i="34"/>
  <c r="S15" i="34"/>
  <c r="S25" i="34" s="1"/>
  <c r="S28" i="34" s="1"/>
  <c r="AC7" i="33"/>
  <c r="AB22" i="33"/>
  <c r="AB39" i="33" s="1"/>
  <c r="AB25" i="33"/>
  <c r="AB49" i="33" s="1"/>
  <c r="AB50" i="33" s="1"/>
  <c r="AB16" i="33"/>
  <c r="AB31" i="33" s="1"/>
  <c r="AB19" i="33"/>
  <c r="AB35" i="33" s="1"/>
  <c r="AB12" i="4"/>
  <c r="AB18" i="4" s="1"/>
  <c r="E25" i="27"/>
  <c r="D25" i="28" s="1"/>
  <c r="K25" i="28" s="1"/>
  <c r="AJ16" i="4"/>
  <c r="H33" i="27"/>
  <c r="G33" i="28" s="1"/>
  <c r="AA18" i="4"/>
  <c r="AR12" i="4"/>
  <c r="E41" i="27"/>
  <c r="D41" i="28" s="1"/>
  <c r="K41" i="28" s="1"/>
  <c r="AB43" i="33" l="1"/>
  <c r="AB45" i="33" s="1"/>
  <c r="AJ15" i="4"/>
  <c r="G33" i="27"/>
  <c r="F33" i="28" s="1"/>
  <c r="AD7" i="33"/>
  <c r="AC25" i="33"/>
  <c r="AC49" i="33" s="1"/>
  <c r="AC50" i="33" s="1"/>
  <c r="AC22" i="33"/>
  <c r="AC39" i="33" s="1"/>
  <c r="AC16" i="33"/>
  <c r="AC31" i="33" s="1"/>
  <c r="AC19" i="33"/>
  <c r="AC35" i="33" s="1"/>
  <c r="AC12" i="4"/>
  <c r="AC18" i="4" s="1"/>
  <c r="E26" i="27"/>
  <c r="D26" i="28" s="1"/>
  <c r="K26" i="28" s="1"/>
  <c r="AK16" i="4"/>
  <c r="H34" i="27"/>
  <c r="G34" i="28" s="1"/>
  <c r="U6" i="34"/>
  <c r="T15" i="34"/>
  <c r="T25" i="34" s="1"/>
  <c r="T28" i="34" s="1"/>
  <c r="AR18" i="4"/>
  <c r="G34" i="27" l="1"/>
  <c r="F34" i="28" s="1"/>
  <c r="AK15" i="4"/>
  <c r="AC43" i="33"/>
  <c r="AC45" i="33" s="1"/>
  <c r="V6" i="34"/>
  <c r="W6" i="34" s="1"/>
  <c r="U15" i="34"/>
  <c r="U25" i="34" s="1"/>
  <c r="U28" i="34" s="1"/>
  <c r="H35" i="27"/>
  <c r="G35" i="28" s="1"/>
  <c r="AL16" i="4"/>
  <c r="AD12" i="4"/>
  <c r="E27" i="27"/>
  <c r="D27" i="28" s="1"/>
  <c r="K27" i="28" s="1"/>
  <c r="AE7" i="33"/>
  <c r="AD16" i="33"/>
  <c r="AD31" i="33" s="1"/>
  <c r="AD22" i="33"/>
  <c r="AD39" i="33" s="1"/>
  <c r="AD25" i="33"/>
  <c r="AD49" i="33" s="1"/>
  <c r="AD50" i="33" s="1"/>
  <c r="AD19" i="33"/>
  <c r="AD35" i="33" s="1"/>
  <c r="AL15" i="4" l="1"/>
  <c r="G35" i="27"/>
  <c r="F35" i="28" s="1"/>
  <c r="AD43" i="33"/>
  <c r="AD45" i="33" s="1"/>
  <c r="H36" i="27"/>
  <c r="G36" i="28" s="1"/>
  <c r="AM16" i="4"/>
  <c r="AF7" i="33"/>
  <c r="AE19" i="33"/>
  <c r="AE35" i="33" s="1"/>
  <c r="AE22" i="33"/>
  <c r="AE39" i="33" s="1"/>
  <c r="AE25" i="33"/>
  <c r="AE49" i="33" s="1"/>
  <c r="AE50" i="33" s="1"/>
  <c r="AE16" i="33"/>
  <c r="AE31" i="33" s="1"/>
  <c r="AD18" i="4"/>
  <c r="AE12" i="4"/>
  <c r="AE18" i="4" s="1"/>
  <c r="E28" i="27"/>
  <c r="D28" i="28" s="1"/>
  <c r="K28" i="28" s="1"/>
  <c r="X6" i="34"/>
  <c r="W15" i="34"/>
  <c r="W25" i="34" s="1"/>
  <c r="W28" i="34" s="1"/>
  <c r="AM15" i="4" l="1"/>
  <c r="G36" i="27"/>
  <c r="F36" i="28" s="1"/>
  <c r="AE43" i="33"/>
  <c r="AE45" i="33" s="1"/>
  <c r="AF25" i="33"/>
  <c r="AF49" i="33" s="1"/>
  <c r="AF50" i="33" s="1"/>
  <c r="AF22" i="33"/>
  <c r="AF39" i="33" s="1"/>
  <c r="AF19" i="33"/>
  <c r="AF35" i="33" s="1"/>
  <c r="AF16" i="33"/>
  <c r="AF31" i="33" s="1"/>
  <c r="AG12" i="4"/>
  <c r="AG18" i="4" s="1"/>
  <c r="E30" i="27"/>
  <c r="D30" i="28" s="1"/>
  <c r="K30" i="28" s="1"/>
  <c r="Y6" i="34"/>
  <c r="X15" i="34"/>
  <c r="X25" i="34" s="1"/>
  <c r="X28" i="34" s="1"/>
  <c r="H37" i="27"/>
  <c r="G37" i="28" s="1"/>
  <c r="AN16" i="4"/>
  <c r="G37" i="27" l="1"/>
  <c r="F37" i="28" s="1"/>
  <c r="AN15" i="4"/>
  <c r="AF43" i="33"/>
  <c r="AF45" i="33" s="1"/>
  <c r="E31" i="27"/>
  <c r="D31" i="28" s="1"/>
  <c r="K31" i="28" s="1"/>
  <c r="AH12" i="4"/>
  <c r="AH18" i="4" s="1"/>
  <c r="Z6" i="34"/>
  <c r="Y15" i="34"/>
  <c r="Y25" i="34" s="1"/>
  <c r="Y28" i="34" s="1"/>
  <c r="AO16" i="4"/>
  <c r="H38" i="27"/>
  <c r="G38" i="28" s="1"/>
  <c r="G42" i="28" s="1"/>
  <c r="AO15" i="4" l="1"/>
  <c r="F15" i="4" s="1"/>
  <c r="G38" i="27"/>
  <c r="F38" i="28" s="1"/>
  <c r="F42" i="28" s="1"/>
  <c r="AA6" i="34"/>
  <c r="Z15" i="34"/>
  <c r="Z25" i="34" s="1"/>
  <c r="Z28" i="34" s="1"/>
  <c r="AI12" i="4"/>
  <c r="AI18" i="4" s="1"/>
  <c r="E32" i="27"/>
  <c r="D32" i="28" s="1"/>
  <c r="K32" i="28" s="1"/>
  <c r="F16" i="4"/>
  <c r="G16" i="4"/>
  <c r="C13" i="14" s="1"/>
  <c r="G15" i="4" l="1"/>
  <c r="C12" i="14" s="1"/>
  <c r="G7" i="14" s="1"/>
  <c r="F7" i="14"/>
  <c r="AJ12" i="4"/>
  <c r="AJ18" i="4" s="1"/>
  <c r="E33" i="27"/>
  <c r="D33" i="28" s="1"/>
  <c r="K33" i="28" s="1"/>
  <c r="AB6" i="34"/>
  <c r="V15" i="34"/>
  <c r="V25" i="34" s="1"/>
  <c r="V28" i="34" s="1"/>
  <c r="AA15" i="34"/>
  <c r="AA25" i="34" s="1"/>
  <c r="AA28" i="34" s="1"/>
  <c r="E34" i="27" l="1"/>
  <c r="D34" i="28" s="1"/>
  <c r="K34" i="28" s="1"/>
  <c r="AK12" i="4"/>
  <c r="AK18" i="4" s="1"/>
  <c r="E29" i="27"/>
  <c r="D29" i="28" s="1"/>
  <c r="K29" i="28" s="1"/>
  <c r="AF12" i="4"/>
  <c r="AC6" i="34"/>
  <c r="AB15" i="34"/>
  <c r="AB25" i="34" s="1"/>
  <c r="AB28" i="34" s="1"/>
  <c r="AL12" i="4" l="1"/>
  <c r="AL18" i="4" s="1"/>
  <c r="E35" i="27"/>
  <c r="D35" i="28" s="1"/>
  <c r="K35" i="28" s="1"/>
  <c r="AD6" i="34"/>
  <c r="AC15" i="34"/>
  <c r="AC25" i="34" s="1"/>
  <c r="AC28" i="34" s="1"/>
  <c r="AF18" i="4"/>
  <c r="E36" i="27" l="1"/>
  <c r="D36" i="28" s="1"/>
  <c r="K36" i="28" s="1"/>
  <c r="AM12" i="4"/>
  <c r="AE6" i="34"/>
  <c r="AE15" i="34" s="1"/>
  <c r="AE25" i="34" s="1"/>
  <c r="AE28" i="34" s="1"/>
  <c r="AD15" i="34"/>
  <c r="AD25" i="34" s="1"/>
  <c r="AD28" i="34" s="1"/>
  <c r="AN12" i="4" l="1"/>
  <c r="AN18" i="4" s="1"/>
  <c r="E37" i="27"/>
  <c r="D37" i="28" s="1"/>
  <c r="K37" i="28" s="1"/>
  <c r="E38" i="27"/>
  <c r="D38" i="28" s="1"/>
  <c r="AO12" i="4"/>
  <c r="AO18" i="4" s="1"/>
  <c r="AM18" i="4"/>
  <c r="G12" i="4"/>
  <c r="C9" i="14" s="1"/>
  <c r="F12" i="4" l="1"/>
  <c r="F18" i="4" s="1"/>
  <c r="F20" i="4" s="1"/>
  <c r="F6" i="14"/>
  <c r="K38" i="28"/>
  <c r="K42" i="28" s="1"/>
  <c r="D42" i="28"/>
  <c r="G6" i="14"/>
  <c r="C15" i="14"/>
  <c r="C17" i="14" s="1"/>
  <c r="G18" i="4"/>
  <c r="G20" i="4" s="1"/>
  <c r="R46" i="28"/>
  <c r="R48" i="28" s="1"/>
  <c r="F14" i="14" l="1"/>
  <c r="F13" i="14"/>
  <c r="C22" i="14"/>
  <c r="C21" i="14"/>
  <c r="G26" i="4"/>
  <c r="G27" i="4"/>
  <c r="G14" i="14" l="1"/>
  <c r="H11" i="14"/>
  <c r="H9" i="14"/>
  <c r="H8" i="14"/>
  <c r="H5" i="14"/>
  <c r="G13" i="14"/>
  <c r="H4" i="14"/>
  <c r="H7" i="14"/>
  <c r="H6" i="1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kplaystead</author>
  </authors>
  <commentList>
    <comment ref="D13" authorId="0" shapeId="0" xr:uid="{00000000-0006-0000-0900-000001000000}">
      <text>
        <r>
          <rPr>
            <b/>
            <sz val="9"/>
            <color indexed="81"/>
            <rFont val="Tahoma"/>
            <family val="2"/>
          </rPr>
          <t>kplaystead:</t>
        </r>
        <r>
          <rPr>
            <sz val="9"/>
            <color indexed="81"/>
            <rFont val="Tahoma"/>
            <family val="2"/>
          </rPr>
          <t xml:space="preserve">
per US DOT Guidance, excluded for trucks</t>
        </r>
      </text>
    </comment>
    <comment ref="C19" authorId="0" shapeId="0" xr:uid="{00000000-0006-0000-0900-000002000000}">
      <text>
        <r>
          <rPr>
            <b/>
            <sz val="9"/>
            <color indexed="81"/>
            <rFont val="Tahoma"/>
            <family val="2"/>
          </rPr>
          <t>kplaystead:</t>
        </r>
        <r>
          <rPr>
            <sz val="9"/>
            <color indexed="81"/>
            <rFont val="Tahoma"/>
            <family val="2"/>
          </rPr>
          <t xml:space="preserve">
per US DOT Guidance, excluded for auto</t>
        </r>
      </text>
    </comment>
    <comment ref="C22" authorId="0" shapeId="0" xr:uid="{00000000-0006-0000-0900-000003000000}">
      <text>
        <r>
          <rPr>
            <b/>
            <sz val="9"/>
            <color indexed="81"/>
            <rFont val="Tahoma"/>
            <family val="2"/>
          </rPr>
          <t>kplaystead:</t>
        </r>
        <r>
          <rPr>
            <sz val="9"/>
            <color indexed="81"/>
            <rFont val="Tahoma"/>
            <family val="2"/>
          </rPr>
          <t xml:space="preserve">
per US DOT Guidance, excluded for auto</t>
        </r>
      </text>
    </comment>
    <comment ref="C25" authorId="0" shapeId="0" xr:uid="{00000000-0006-0000-0900-000004000000}">
      <text>
        <r>
          <rPr>
            <b/>
            <sz val="9"/>
            <color indexed="81"/>
            <rFont val="Tahoma"/>
            <family val="2"/>
          </rPr>
          <t>kplaystead:</t>
        </r>
        <r>
          <rPr>
            <sz val="9"/>
            <color indexed="81"/>
            <rFont val="Tahoma"/>
            <family val="2"/>
          </rPr>
          <t xml:space="preserve">
per US DOT Guidance, excluded for auto</t>
        </r>
      </text>
    </comment>
  </commentList>
</comments>
</file>

<file path=xl/sharedStrings.xml><?xml version="1.0" encoding="utf-8"?>
<sst xmlns="http://schemas.openxmlformats.org/spreadsheetml/2006/main" count="762" uniqueCount="436">
  <si>
    <t>Inputs</t>
  </si>
  <si>
    <t>O&amp;M Price Inflation</t>
  </si>
  <si>
    <t>Months per Year</t>
  </si>
  <si>
    <t>Expansion factor - daily traffic to annual</t>
  </si>
  <si>
    <t xml:space="preserve"> </t>
  </si>
  <si>
    <t>Trucks</t>
  </si>
  <si>
    <t>Value of Time</t>
  </si>
  <si>
    <t>Auto</t>
  </si>
  <si>
    <t>Truck</t>
  </si>
  <si>
    <t>TOTAL</t>
  </si>
  <si>
    <t>Annual Cost Calculations</t>
  </si>
  <si>
    <t>No Build</t>
  </si>
  <si>
    <t xml:space="preserve">  Difference from No Build</t>
  </si>
  <si>
    <t>Total</t>
  </si>
  <si>
    <t>Present Value of Benefits and Costs</t>
  </si>
  <si>
    <t>Present Value</t>
  </si>
  <si>
    <t>Benefits and (Disbenefits)</t>
  </si>
  <si>
    <t>Travel time benefits</t>
  </si>
  <si>
    <t>Total Benefits</t>
  </si>
  <si>
    <t>Benefit/Cost Ratio</t>
  </si>
  <si>
    <t>Source: Weight Conversion, http://www.speckdesign.com/Tweight.html</t>
  </si>
  <si>
    <t>Conversion Factors:</t>
  </si>
  <si>
    <t>From Grams/Mile to Grams/Hour</t>
  </si>
  <si>
    <t>Nominal Wage Escalation Rate</t>
  </si>
  <si>
    <t>Commercial travel-trucks</t>
  </si>
  <si>
    <t>VOC</t>
  </si>
  <si>
    <t>Present Value of Net Benefits</t>
  </si>
  <si>
    <t>Personal vehicles</t>
  </si>
  <si>
    <t>Build Alternative</t>
  </si>
  <si>
    <t>Build</t>
  </si>
  <si>
    <t>CO2</t>
  </si>
  <si>
    <t>No Build Alt VMT</t>
  </si>
  <si>
    <t>Build Alt VMT</t>
  </si>
  <si>
    <t>Annual VHT</t>
  </si>
  <si>
    <t>Cost per mile</t>
  </si>
  <si>
    <t xml:space="preserve">   Build Alt</t>
  </si>
  <si>
    <t xml:space="preserve">   No-Build Alt</t>
  </si>
  <si>
    <t>Operating Cost</t>
  </si>
  <si>
    <t xml:space="preserve">Real Discount Rate </t>
  </si>
  <si>
    <t>Benefits (Disbenefits)</t>
  </si>
  <si>
    <t>Total Travel Time Benefits/Disbenefits</t>
  </si>
  <si>
    <t>Project start</t>
  </si>
  <si>
    <t>Base Year</t>
  </si>
  <si>
    <t>Design Year</t>
  </si>
  <si>
    <t>Annual VMT</t>
  </si>
  <si>
    <t>Percent Autos</t>
  </si>
  <si>
    <t>Percent Trucks</t>
  </si>
  <si>
    <t>Vehicle occupancy factor for autos</t>
  </si>
  <si>
    <t>Miles per Hour</t>
  </si>
  <si>
    <t>%</t>
  </si>
  <si>
    <t>Vehicle operating cost changes</t>
  </si>
  <si>
    <t>Air emission reduction benefits</t>
  </si>
  <si>
    <t>Gallons per mile</t>
  </si>
  <si>
    <t>Speed (mph)</t>
  </si>
  <si>
    <t xml:space="preserve">   Autos</t>
  </si>
  <si>
    <t xml:space="preserve">   Trucks</t>
  </si>
  <si>
    <t xml:space="preserve">      Total</t>
  </si>
  <si>
    <t>Fuel savings</t>
  </si>
  <si>
    <t>PM10</t>
  </si>
  <si>
    <t>Fuel Savings</t>
  </si>
  <si>
    <t>Economic Savings from Reduced Oil Imports</t>
  </si>
  <si>
    <t>Insurance ($/mile)</t>
  </si>
  <si>
    <t>License, Registration, Taxes ($/mile)</t>
  </si>
  <si>
    <t>Finance Charge ($/mile)</t>
  </si>
  <si>
    <t>Calculation of Operating Costs (non-fuel)</t>
  </si>
  <si>
    <t>Other operating costs</t>
  </si>
  <si>
    <t>Car</t>
  </si>
  <si>
    <t>Alternative</t>
  </si>
  <si>
    <t>O&amp;M Costs</t>
  </si>
  <si>
    <t>Appendix A-9</t>
  </si>
  <si>
    <t>From Long Tons to Short Tons</t>
  </si>
  <si>
    <t>Project Name:</t>
  </si>
  <si>
    <t>Value of Reductions</t>
  </si>
  <si>
    <t>Annual VHT Savings</t>
  </si>
  <si>
    <t>Annual Cost</t>
  </si>
  <si>
    <t>maintenance</t>
  </si>
  <si>
    <t xml:space="preserve">Insurance </t>
  </si>
  <si>
    <t xml:space="preserve">License, Registration, Taxes </t>
  </si>
  <si>
    <t xml:space="preserve">Finance Charge </t>
  </si>
  <si>
    <t xml:space="preserve">Average Miles:  </t>
  </si>
  <si>
    <t xml:space="preserve">Emissions  </t>
  </si>
  <si>
    <t>Automobile</t>
  </si>
  <si>
    <t>Crash Costs</t>
  </si>
  <si>
    <t>Crash reduction savings</t>
  </si>
  <si>
    <t>VHT - Build Alternative</t>
  </si>
  <si>
    <t>Design and Construction Costs</t>
  </si>
  <si>
    <t>Calculation of Crash Costs</t>
  </si>
  <si>
    <t>Crashes per 100 million miles</t>
  </si>
  <si>
    <t>Dollar Value of Crash Reduction</t>
  </si>
  <si>
    <t>Crashes per Year</t>
  </si>
  <si>
    <t>Crash Reduction per Year</t>
  </si>
  <si>
    <t>Net Benefits</t>
  </si>
  <si>
    <t xml:space="preserve">Benefit/Cost Ratio </t>
  </si>
  <si>
    <t>Annual Maintenance Cost</t>
  </si>
  <si>
    <t>Roadway and Bridge O&amp;M</t>
  </si>
  <si>
    <t>Costs</t>
  </si>
  <si>
    <t>Total Costs</t>
  </si>
  <si>
    <t>Benefits and Costs</t>
  </si>
  <si>
    <t>Benefits (and Disbenefits)</t>
  </si>
  <si>
    <t>Year</t>
  </si>
  <si>
    <t>depreciation</t>
  </si>
  <si>
    <t>License, Registration, Taxes</t>
  </si>
  <si>
    <t>Truck Travel Time Savings</t>
  </si>
  <si>
    <t>Auto Travel Time Savings</t>
  </si>
  <si>
    <t>Time savings increase</t>
  </si>
  <si>
    <t>Dollar increase</t>
  </si>
  <si>
    <t>INTERIM CALCULATION - NOT FOR PRESENTATION</t>
  </si>
  <si>
    <t>Source checked and data confirmed; link still accurate</t>
  </si>
  <si>
    <t>Truck - Truck Drivers</t>
  </si>
  <si>
    <t>Total Costs, not discounted</t>
  </si>
  <si>
    <t>Inflation Adjustment Values</t>
  </si>
  <si>
    <t>Base Year of Nominal Dollars</t>
  </si>
  <si>
    <t>Maintenance</t>
  </si>
  <si>
    <t>Vehicle Operating Costs (average for all vehicles)</t>
  </si>
  <si>
    <t>Emissions Tables</t>
  </si>
  <si>
    <t>HIGHWAY EMISSIONS FACTORS (g/mi)</t>
  </si>
  <si>
    <t>Mode</t>
  </si>
  <si>
    <t>Speed</t>
  </si>
  <si>
    <t>CO</t>
  </si>
  <si>
    <t>Bus</t>
  </si>
  <si>
    <t>Notes: 1) Zero mph corresponds to starts, 2) Other emissions factors include idling emissions and exclude diurnal and evaporative emissions, 3) Five mph is best estimate for idling</t>
  </si>
  <si>
    <t>Calculation of Emission Costs (non-fuel)</t>
  </si>
  <si>
    <t xml:space="preserve">Cost </t>
  </si>
  <si>
    <t>Average Speed (mph)</t>
  </si>
  <si>
    <t>Fuel</t>
  </si>
  <si>
    <t>Fuel Savings Cost</t>
  </si>
  <si>
    <t>Tires</t>
  </si>
  <si>
    <t>Preliminary Engg, Design and Construction Costs</t>
  </si>
  <si>
    <t xml:space="preserve">No Build Alt VMT </t>
  </si>
  <si>
    <t>No-Build</t>
  </si>
  <si>
    <t>Base</t>
  </si>
  <si>
    <t>Fuel Consumption Rates (gal/veh-mi)</t>
  </si>
  <si>
    <t>* Includes motorcycles &amp; motorhomes</t>
  </si>
  <si>
    <t>Note: Five mph is best estimate for idling</t>
  </si>
  <si>
    <t>Source: California Air Resources Board,</t>
  </si>
  <si>
    <t>EMFAC2014, 2016 &amp; 2036 average</t>
  </si>
  <si>
    <t>Auto*</t>
  </si>
  <si>
    <t>Right-of-Way</t>
  </si>
  <si>
    <t>Construction</t>
  </si>
  <si>
    <t>Roadway</t>
  </si>
  <si>
    <t>Utilities</t>
  </si>
  <si>
    <t>Total Cost</t>
  </si>
  <si>
    <t>Emissions Reduction Cost</t>
  </si>
  <si>
    <t>NO (grams)</t>
  </si>
  <si>
    <t>PM2.5 (grams)</t>
  </si>
  <si>
    <t>SO2 (grams)</t>
  </si>
  <si>
    <t>CO2 (grams)</t>
  </si>
  <si>
    <t>Please refer  "Emission Factors" tab in this excel sheet for Emission rates</t>
  </si>
  <si>
    <t>Residual Value</t>
  </si>
  <si>
    <t>O - No Injury</t>
  </si>
  <si>
    <t>C - Possible Injury</t>
  </si>
  <si>
    <t>B - Non-incapacitating</t>
  </si>
  <si>
    <t>A - Incapacitating</t>
  </si>
  <si>
    <t>K - Killed</t>
  </si>
  <si>
    <t>U - Injured (Severity Unknown)</t>
  </si>
  <si>
    <t>KABCO Level</t>
  </si>
  <si>
    <t># Accidents Reported (Unknown if Injured)</t>
  </si>
  <si>
    <t>Benefits</t>
  </si>
  <si>
    <t>B/C</t>
  </si>
  <si>
    <t>Design year</t>
  </si>
  <si>
    <t>Please refer  "Fuel consumption Factors" tab in this excel sheet for Gallon per mile rates</t>
  </si>
  <si>
    <t>Preferred Alternative</t>
  </si>
  <si>
    <t>Check</t>
  </si>
  <si>
    <t>Capital  Costs</t>
  </si>
  <si>
    <t>Total Benefits - Disbenefits</t>
  </si>
  <si>
    <t>residual value</t>
  </si>
  <si>
    <t>Travel Time benefits</t>
  </si>
  <si>
    <t>Total Benefits/Disbenefits</t>
  </si>
  <si>
    <t>VHT - No-Build</t>
  </si>
  <si>
    <t>No-Build Alt VMT</t>
  </si>
  <si>
    <t>Tires ($/mile)</t>
  </si>
  <si>
    <t>Depreciation ($/mile)</t>
  </si>
  <si>
    <t>Maintenance ($/mile)</t>
  </si>
  <si>
    <t>Depreciation</t>
  </si>
  <si>
    <t>Other Operating costs</t>
  </si>
  <si>
    <t>Phase of Capital Costs (Year)</t>
  </si>
  <si>
    <t>Business</t>
  </si>
  <si>
    <t>Auto, Local Travel - Personal</t>
  </si>
  <si>
    <t>BUS Drivers</t>
  </si>
  <si>
    <t>PM2.5</t>
  </si>
  <si>
    <t>Base year</t>
  </si>
  <si>
    <t>2027-2046</t>
  </si>
  <si>
    <t>Model Year 2020</t>
  </si>
  <si>
    <t>Model Year 2040</t>
  </si>
  <si>
    <t>NOX</t>
  </si>
  <si>
    <t>SOX</t>
  </si>
  <si>
    <t>Source: California Air Resources Board, EMFAC 2017</t>
  </si>
  <si>
    <t>Fuel Consumption</t>
  </si>
  <si>
    <t>Reference: An Analysis of the Operational Costs of Trucking: 2020 Update. https://truckingresearch.org/wp-content/uploads/2020/11/ATRI-Operational-Costs-of-Trucking-2020.pdf</t>
  </si>
  <si>
    <t>Source:  AAA; Your Driving Costs: How Much Are You Really Paying to Drive, 2019; https://exchange.aaa.com/wp-content/uploads/2019/09/AAA-Your-Driving-Costs-2019.pdf</t>
  </si>
  <si>
    <t>Maintenance, repair and tires</t>
  </si>
  <si>
    <t>NOx</t>
  </si>
  <si>
    <r>
      <t>PM</t>
    </r>
    <r>
      <rPr>
        <vertAlign val="subscript"/>
        <sz val="9"/>
        <rFont val="Calibri"/>
        <family val="2"/>
        <scheme val="minor"/>
      </rPr>
      <t>2.5</t>
    </r>
    <r>
      <rPr>
        <sz val="9"/>
        <rFont val="Calibri"/>
        <family val="2"/>
        <scheme val="minor"/>
      </rPr>
      <t xml:space="preserve"> </t>
    </r>
  </si>
  <si>
    <r>
      <t>SO</t>
    </r>
    <r>
      <rPr>
        <vertAlign val="subscript"/>
        <sz val="9"/>
        <rFont val="Calibri"/>
        <family val="2"/>
        <scheme val="minor"/>
      </rPr>
      <t xml:space="preserve">2 </t>
    </r>
  </si>
  <si>
    <t>2030 &amp; Above</t>
  </si>
  <si>
    <t>Year 2027</t>
  </si>
  <si>
    <t>From Grams to Metric (Long) Tons</t>
  </si>
  <si>
    <t>*Grams</t>
  </si>
  <si>
    <t>Emission Reduction Benefits</t>
  </si>
  <si>
    <t>CO2 reduction benefits</t>
  </si>
  <si>
    <r>
      <t>CO</t>
    </r>
    <r>
      <rPr>
        <b/>
        <vertAlign val="subscript"/>
        <sz val="9"/>
        <rFont val="Calibri"/>
        <family val="2"/>
        <scheme val="minor"/>
      </rPr>
      <t>2</t>
    </r>
  </si>
  <si>
    <t xml:space="preserve">Cost varies and provided in Input Sheet: Column E26 onwards </t>
  </si>
  <si>
    <t>Discounted with 3% discount rate in NPVCalc sheet</t>
  </si>
  <si>
    <r>
      <t>CO</t>
    </r>
    <r>
      <rPr>
        <vertAlign val="sub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 xml:space="preserve"> Benefits Discount Rate</t>
    </r>
  </si>
  <si>
    <t>Service Life (years)</t>
  </si>
  <si>
    <t>Design Life (years)</t>
  </si>
  <si>
    <r>
      <t>CO</t>
    </r>
    <r>
      <rPr>
        <vertAlign val="subscript"/>
        <sz val="8"/>
        <rFont val="Calibri"/>
        <family val="2"/>
        <scheme val="minor"/>
      </rPr>
      <t>2</t>
    </r>
    <r>
      <rPr>
        <sz val="8"/>
        <rFont val="Calibri"/>
        <family val="2"/>
        <scheme val="minor"/>
      </rPr>
      <t xml:space="preserve"> reduction benefits (3% discount rate)</t>
    </r>
  </si>
  <si>
    <r>
      <t>VOC, Nox, SO</t>
    </r>
    <r>
      <rPr>
        <vertAlign val="subscript"/>
        <sz val="8"/>
        <rFont val="Calibri"/>
        <family val="2"/>
        <scheme val="minor"/>
      </rPr>
      <t>2</t>
    </r>
    <r>
      <rPr>
        <sz val="8"/>
        <rFont val="Calibri"/>
        <family val="2"/>
        <scheme val="minor"/>
      </rPr>
      <t>, PM</t>
    </r>
    <r>
      <rPr>
        <vertAlign val="subscript"/>
        <sz val="8"/>
        <rFont val="Calibri"/>
        <family val="2"/>
        <scheme val="minor"/>
      </rPr>
      <t>2.5</t>
    </r>
    <r>
      <rPr>
        <sz val="8"/>
        <rFont val="Calibri"/>
        <family val="2"/>
        <scheme val="minor"/>
      </rPr>
      <t xml:space="preserve"> reduction benefits</t>
    </r>
  </si>
  <si>
    <r>
      <t>VOC, Nox, SO</t>
    </r>
    <r>
      <rPr>
        <vertAlign val="sub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, PM</t>
    </r>
    <r>
      <rPr>
        <vertAlign val="subscript"/>
        <sz val="11"/>
        <rFont val="Calibri"/>
        <family val="2"/>
        <scheme val="minor"/>
      </rPr>
      <t>2.5</t>
    </r>
    <r>
      <rPr>
        <sz val="11"/>
        <rFont val="Calibri"/>
        <family val="2"/>
        <scheme val="minor"/>
      </rPr>
      <t xml:space="preserve"> reduction benefits</t>
    </r>
  </si>
  <si>
    <r>
      <t>CO</t>
    </r>
    <r>
      <rPr>
        <vertAlign val="sub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 xml:space="preserve"> reduction benefits</t>
    </r>
  </si>
  <si>
    <r>
      <t>Air emission reduction benefits (CO</t>
    </r>
    <r>
      <rPr>
        <b/>
        <vertAlign val="subscript"/>
        <sz val="10"/>
        <rFont val="Calibri"/>
        <family val="2"/>
        <scheme val="minor"/>
      </rPr>
      <t>2</t>
    </r>
    <r>
      <rPr>
        <b/>
        <sz val="10"/>
        <rFont val="Calibri"/>
        <family val="2"/>
        <scheme val="minor"/>
      </rPr>
      <t>)</t>
    </r>
  </si>
  <si>
    <r>
      <t>Air emission reduction benefits (VOC, Nox, SO</t>
    </r>
    <r>
      <rPr>
        <b/>
        <vertAlign val="subscript"/>
        <sz val="10"/>
        <rFont val="Calibri"/>
        <family val="2"/>
        <scheme val="minor"/>
      </rPr>
      <t>2</t>
    </r>
    <r>
      <rPr>
        <b/>
        <sz val="10"/>
        <rFont val="Calibri"/>
        <family val="2"/>
        <scheme val="minor"/>
      </rPr>
      <t>, PM</t>
    </r>
    <r>
      <rPr>
        <b/>
        <vertAlign val="subscript"/>
        <sz val="10"/>
        <rFont val="Calibri"/>
        <family val="2"/>
        <scheme val="minor"/>
      </rPr>
      <t>2.5</t>
    </r>
    <r>
      <rPr>
        <b/>
        <sz val="10"/>
        <rFont val="Calibri"/>
        <family val="2"/>
        <scheme val="minor"/>
      </rPr>
      <t>)</t>
    </r>
  </si>
  <si>
    <t>O</t>
  </si>
  <si>
    <t>C</t>
  </si>
  <si>
    <t>B</t>
  </si>
  <si>
    <t>A</t>
  </si>
  <si>
    <t>K</t>
  </si>
  <si>
    <t>CMF</t>
  </si>
  <si>
    <r>
      <t>PM</t>
    </r>
    <r>
      <rPr>
        <vertAlign val="subscript"/>
        <sz val="11"/>
        <rFont val="Calibri"/>
        <family val="2"/>
        <scheme val="minor"/>
      </rPr>
      <t>2.5</t>
    </r>
  </si>
  <si>
    <r>
      <t>SO</t>
    </r>
    <r>
      <rPr>
        <vertAlign val="subscript"/>
        <sz val="11"/>
        <rFont val="Calibri"/>
        <family val="2"/>
        <scheme val="minor"/>
      </rPr>
      <t>2</t>
    </r>
  </si>
  <si>
    <r>
      <t>CO</t>
    </r>
    <r>
      <rPr>
        <vertAlign val="sub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 xml:space="preserve"> (year 2024 to year 2046)</t>
    </r>
  </si>
  <si>
    <t>Emission reduction benefits</t>
  </si>
  <si>
    <t>Vehicle Operating Cost benefits</t>
  </si>
  <si>
    <t>Roadway O&amp;M Cost</t>
  </si>
  <si>
    <t>Construction Engineering</t>
  </si>
  <si>
    <t>Clearinghouse CMF ID</t>
  </si>
  <si>
    <t>Improvements</t>
  </si>
  <si>
    <t>Detailed crash rate calculatation is provided in "Traditional Crash Analysis" tab</t>
  </si>
  <si>
    <t>Travel Time savings</t>
  </si>
  <si>
    <t>Roadway O&amp;M</t>
  </si>
  <si>
    <t>Average effects of CMF</t>
  </si>
  <si>
    <t>Detailed crash rate calculation are provided in "Traditional Crash Analysis" tab in this sheet</t>
  </si>
  <si>
    <t>Base Year (2025)</t>
  </si>
  <si>
    <t>Design Year (2045)</t>
  </si>
  <si>
    <t>AM</t>
  </si>
  <si>
    <t>PM</t>
  </si>
  <si>
    <t>Benefit/Cost Summary (2020 $)</t>
  </si>
  <si>
    <t>Monetized Value (2020$)</t>
  </si>
  <si>
    <t>2020$</t>
  </si>
  <si>
    <t>Emission damage (2020$/Metric Ton)</t>
  </si>
  <si>
    <r>
      <t>SR 826 at NW 74</t>
    </r>
    <r>
      <rPr>
        <sz val="7"/>
        <color rgb="FF000000"/>
        <rFont val="Calibri"/>
        <family val="2"/>
      </rPr>
      <t xml:space="preserve">th </t>
    </r>
    <r>
      <rPr>
        <sz val="11"/>
        <color rgb="FF000000"/>
        <rFont val="Calibri"/>
        <family val="2"/>
      </rPr>
      <t>Street</t>
    </r>
  </si>
  <si>
    <t>STUDY INTERCHANGE: SR 826 at Okeechobee Road</t>
  </si>
  <si>
    <r>
      <rPr>
        <sz val="11"/>
        <color rgb="FF000000"/>
        <rFont val="Calibri"/>
        <family val="2"/>
      </rPr>
      <t>SR 826 at NW 103</t>
    </r>
    <r>
      <rPr>
        <sz val="7"/>
        <color rgb="FF000000"/>
        <rFont val="Calibri"/>
        <family val="2"/>
      </rPr>
      <t xml:space="preserve">rd </t>
    </r>
    <r>
      <rPr>
        <sz val="11"/>
        <color rgb="FF000000"/>
        <rFont val="Calibri"/>
        <family val="2"/>
      </rPr>
      <t>Street</t>
    </r>
  </si>
  <si>
    <t>Study Area includes following Interchanges</t>
  </si>
  <si>
    <t>Source: Interchange Modification Report</t>
  </si>
  <si>
    <t>Source: Miami Metro Average Prices, Las Vegas. Available at: https://gasprices.aaa.com/page/14/?state=FL. Accessed on 3/31/22</t>
  </si>
  <si>
    <t>Source: Miami Metro Average Prices, Las Vegas. Available at:  https://gasprices.aaa.com/page/14/?state=FL. Accessed on 3/31/22</t>
  </si>
  <si>
    <t>Table 3-8 – SR 826 Crash Summary (2011 to 2015)</t>
  </si>
  <si>
    <t>Crash Type</t>
  </si>
  <si>
    <t>Front to Rear (Rear
End)</t>
  </si>
  <si>
    <t xml:space="preserve">Front to Front </t>
  </si>
  <si>
    <t xml:space="preserve">Angle </t>
  </si>
  <si>
    <t>Sideswipe, same
direction</t>
  </si>
  <si>
    <t>Sideswipe, opposite
direction</t>
  </si>
  <si>
    <t xml:space="preserve">Rear to Side </t>
  </si>
  <si>
    <t xml:space="preserve">Rear to Rear </t>
  </si>
  <si>
    <t xml:space="preserve">Other </t>
  </si>
  <si>
    <t xml:space="preserve">Unknown </t>
  </si>
  <si>
    <t xml:space="preserve">Total Crashes </t>
  </si>
  <si>
    <t>5-year total crashes</t>
  </si>
  <si>
    <t>% of Total</t>
  </si>
  <si>
    <t>Number of Crashes</t>
  </si>
  <si>
    <t>Table 3-9 – SR 826 Crash Severity Summary (2011 to 2015)</t>
  </si>
  <si>
    <t xml:space="preserve">Injury Crash </t>
  </si>
  <si>
    <t xml:space="preserve">Fatal Crash </t>
  </si>
  <si>
    <t xml:space="preserve">Total Crash </t>
  </si>
  <si>
    <t>PDO Crash</t>
  </si>
  <si>
    <t>Table 3-10 – Okeechobee Road Crash Summary (2011 to 2015)</t>
  </si>
  <si>
    <t xml:space="preserve">Front to Rear (Rear End) </t>
  </si>
  <si>
    <t xml:space="preserve">Sideswipe, same direction </t>
  </si>
  <si>
    <t>Table 3-11 – Okeechobee Crash Severity Summary (2011 to 2015)</t>
  </si>
  <si>
    <t>Table 3-12 – South River Drive Crash Summary (2011 to 2015)</t>
  </si>
  <si>
    <t>Table 3-13 – South River Drive Crash Severity Summary (2011 to 2015)</t>
  </si>
  <si>
    <t>Mean Crashes per year</t>
  </si>
  <si>
    <t>Source: US DOT. Benefit Cost Analysis Guidance for Discretionary Grant Programs March 2022</t>
  </si>
  <si>
    <t>Source: US DOT. Benefit Cost Analysis Guidance for Discretionary Grant Programs March 2022; Table A-6</t>
  </si>
  <si>
    <t>Source: US DOT. Benefit Cost Analysis Guidance for Discretionary Grant Programs March 2022; Table A-3</t>
  </si>
  <si>
    <t>Source: US DOT. Benefit Cost Analysis Guidance for Discretionary Grant Programs March 2022; Table A-1</t>
  </si>
  <si>
    <t>Source: US DOT. Benefit Cost Analysis Guidance for Discretionary Grant Programs March 2022; Table A-5</t>
  </si>
  <si>
    <t>Source: US DOT. Benefit Cost Analysis Guidance for Discretionary Grant Programs March 2022; Table A-7</t>
  </si>
  <si>
    <t>Mitigation</t>
  </si>
  <si>
    <t>Contract Bonus</t>
  </si>
  <si>
    <t>Multiplier to Adjust to 2020$</t>
  </si>
  <si>
    <t>Summary of Geometric Changes – INTERCHANGE:</t>
  </si>
  <si>
    <t>SB Exit ramp at US 27:</t>
  </si>
  <si>
    <t>Existing lanes:   T   T/L   L   L</t>
  </si>
  <si>
    <t>Future lanes:     T    L      L   L</t>
  </si>
  <si>
    <t>Repave and restripe</t>
  </si>
  <si>
    <t xml:space="preserve">NB Exit ramp at US 27:      </t>
  </si>
  <si>
    <t>Existing lanes:   L   L   T/R   R</t>
  </si>
  <si>
    <r>
      <t>Future lanes:     L   L   T    T/R   R/turbo (EB past N. 18</t>
    </r>
    <r>
      <rPr>
        <b/>
        <vertAlign val="superscript"/>
        <sz val="12"/>
        <rFont val="Calibri"/>
        <family val="2"/>
      </rPr>
      <t>th</t>
    </r>
    <r>
      <rPr>
        <b/>
        <sz val="12"/>
        <rFont val="Calibri"/>
        <family val="2"/>
      </rPr>
      <t xml:space="preserve"> Ave. signal)</t>
    </r>
  </si>
  <si>
    <t>Bridge widened for extra lane, turbo treatment B downstream of far right lane</t>
  </si>
  <si>
    <t>Three new directional ramps:</t>
  </si>
  <si>
    <t>Ramp A:</t>
  </si>
  <si>
    <t>NB 826 to WB US 27</t>
  </si>
  <si>
    <r>
      <t>Elevated over both diamond ramp intersections and over NW 79</t>
    </r>
    <r>
      <rPr>
        <b/>
        <vertAlign val="superscript"/>
        <sz val="12"/>
        <rFont val="Calibri"/>
        <family val="2"/>
      </rPr>
      <t>th</t>
    </r>
    <r>
      <rPr>
        <b/>
        <sz val="12"/>
        <rFont val="Calibri"/>
        <family val="2"/>
      </rPr>
      <t xml:space="preserve"> Ave. to west of interchange</t>
    </r>
  </si>
  <si>
    <t>Ramp B:</t>
  </si>
  <si>
    <t xml:space="preserve">EB US 27 to SB 826 </t>
  </si>
  <si>
    <r>
      <t>Elevated over NW 79</t>
    </r>
    <r>
      <rPr>
        <b/>
        <vertAlign val="superscript"/>
        <sz val="12"/>
        <rFont val="Calibri"/>
        <family val="2"/>
      </rPr>
      <t>th</t>
    </r>
    <r>
      <rPr>
        <b/>
        <sz val="12"/>
        <rFont val="Calibri"/>
        <family val="2"/>
      </rPr>
      <t xml:space="preserve"> Ave. intersection and westernmost of the diamond ramp intersection</t>
    </r>
  </si>
  <si>
    <t>Ramp C:</t>
  </si>
  <si>
    <r>
      <t>Elevated over NW 79</t>
    </r>
    <r>
      <rPr>
        <b/>
        <vertAlign val="superscript"/>
        <sz val="12"/>
        <rFont val="Calibri"/>
        <family val="2"/>
      </rPr>
      <t>th</t>
    </r>
    <r>
      <rPr>
        <b/>
        <sz val="12"/>
        <rFont val="Calibri"/>
        <family val="2"/>
      </rPr>
      <t xml:space="preserve"> Ave. to west of interchange and both diamond ramp intersections </t>
    </r>
  </si>
  <si>
    <t>Summary of Geometric Changes – US 27 East:</t>
  </si>
  <si>
    <r>
      <t>NW 18</t>
    </r>
    <r>
      <rPr>
        <b/>
        <vertAlign val="superscript"/>
        <sz val="12"/>
        <rFont val="Calibri"/>
        <family val="2"/>
      </rPr>
      <t>th</t>
    </r>
    <r>
      <rPr>
        <b/>
        <sz val="12"/>
        <rFont val="Calibri"/>
        <family val="2"/>
      </rPr>
      <t xml:space="preserve"> Ave. intersection</t>
    </r>
  </si>
  <si>
    <t>EB to NB left turn:</t>
  </si>
  <si>
    <t>Revised from 2 lane LT to 3 lane LT with added receiving lane.</t>
  </si>
  <si>
    <t>Turbo lane from ramp signal to the west is extended EB through this intersection.</t>
  </si>
  <si>
    <t>See attachment showing 3 lane LT EB (p 40).</t>
  </si>
  <si>
    <t>Summary of Geometric Changes – US 27 West:</t>
  </si>
  <si>
    <t>General:  US 27 EB and WB lanes are shifted to accept Ramp A and Ramp B terminals</t>
  </si>
  <si>
    <r>
      <t>US 27/NW 79</t>
    </r>
    <r>
      <rPr>
        <b/>
        <vertAlign val="superscript"/>
        <sz val="12"/>
        <rFont val="Calibri"/>
        <family val="2"/>
      </rPr>
      <t>th</t>
    </r>
    <r>
      <rPr>
        <b/>
        <sz val="12"/>
        <rFont val="Calibri"/>
        <family val="2"/>
      </rPr>
      <t xml:space="preserve"> Ave. intersection</t>
    </r>
  </si>
  <si>
    <t>Same basic lane arrangement with turbo intersection on US 27.</t>
  </si>
  <si>
    <r>
      <t>NW South River Drive at NW 79</t>
    </r>
    <r>
      <rPr>
        <b/>
        <vertAlign val="superscript"/>
        <sz val="12"/>
        <rFont val="Calibri"/>
        <family val="2"/>
      </rPr>
      <t>th</t>
    </r>
    <r>
      <rPr>
        <b/>
        <sz val="12"/>
        <rFont val="Calibri"/>
        <family val="2"/>
      </rPr>
      <t xml:space="preserve"> Ave. intersection</t>
    </r>
  </si>
  <si>
    <t>SB to WB RT – new receiving lane for the RT</t>
  </si>
  <si>
    <t>WB to SB LT – goes from 1 lane to 2 LT lanes</t>
  </si>
  <si>
    <t>WB to NB RT – new RT only lane added</t>
  </si>
  <si>
    <r>
      <t>US 27/Frontage Road intersection (near NW 95</t>
    </r>
    <r>
      <rPr>
        <b/>
        <vertAlign val="superscript"/>
        <sz val="12"/>
        <rFont val="Calibri"/>
        <family val="2"/>
      </rPr>
      <t>th</t>
    </r>
    <r>
      <rPr>
        <b/>
        <sz val="12"/>
        <rFont val="Calibri"/>
        <family val="2"/>
      </rPr>
      <t xml:space="preserve"> St.)</t>
    </r>
  </si>
  <si>
    <t>New inside lane for the WB end of new Ramp A.</t>
  </si>
  <si>
    <t>US 27 EB through lanes through turbo increased from 2 lanes to 3 lanes.</t>
  </si>
  <si>
    <t>SB approach from frontage road widened from 1 LT only lane to 2 LT only lanes</t>
  </si>
  <si>
    <t>N. Frontage Rd. Connection at N. Frontage Rd.</t>
  </si>
  <si>
    <t>WB LT lane longer</t>
  </si>
  <si>
    <t>NB approach widened by one lane for 2 LT only lanes and 1 RT only lane</t>
  </si>
  <si>
    <t>Geometry improved to better accommodate trucks</t>
  </si>
  <si>
    <t xml:space="preserve">From </t>
  </si>
  <si>
    <t>To</t>
  </si>
  <si>
    <t>Crash Severity</t>
  </si>
  <si>
    <t>NW 72/16</t>
  </si>
  <si>
    <t>W 18th Avenue</t>
  </si>
  <si>
    <t>18th Ave</t>
  </si>
  <si>
    <t>NB off-ramp</t>
  </si>
  <si>
    <t>SB off-ramp</t>
  </si>
  <si>
    <t>NW 79th Avenue</t>
  </si>
  <si>
    <t>NW 95th St</t>
  </si>
  <si>
    <t>98th St</t>
  </si>
  <si>
    <t>18th Avenue</t>
  </si>
  <si>
    <t>79th Avenue</t>
  </si>
  <si>
    <t>95th Street</t>
  </si>
  <si>
    <t>SR 826</t>
  </si>
  <si>
    <t>AADT</t>
  </si>
  <si>
    <t>Traffic Signal backboards conspicuity</t>
  </si>
  <si>
    <t>Improving signal visibility</t>
  </si>
  <si>
    <t>provide a left-turn on major-road approach</t>
  </si>
  <si>
    <t>Provide a right turn lane on one major-road approach</t>
  </si>
  <si>
    <t>Install Additional lane</t>
  </si>
  <si>
    <t>Segment - US 27/Okee Rd</t>
  </si>
  <si>
    <t>US 27 Intersections - Intersection Enter Vol</t>
  </si>
  <si>
    <t xml:space="preserve">Speed </t>
  </si>
  <si>
    <t>3 peak hours of AM</t>
  </si>
  <si>
    <t>3 peak hours of PM</t>
  </si>
  <si>
    <t>rest of the day</t>
  </si>
  <si>
    <t>(260 Week days and 52 Saturdays)</t>
  </si>
  <si>
    <t>Years</t>
  </si>
  <si>
    <t>AVMT</t>
  </si>
  <si>
    <t>Total Crahes</t>
  </si>
  <si>
    <t>Crashes</t>
  </si>
  <si>
    <t>Existing Crash Rate</t>
  </si>
  <si>
    <t>Intersections on W Okeechoobee Road (US 27)</t>
  </si>
  <si>
    <t>Segment Crashes on W Okeechoobee Road (US 27)</t>
  </si>
  <si>
    <t>SR 826 (Segment including Ramps) Total Crashes</t>
  </si>
  <si>
    <t>Assumption:</t>
  </si>
  <si>
    <t>Annual maintenance cost is assumed to be 1% of construction cost (170,572,022) every year</t>
  </si>
  <si>
    <t>Highway Interchange Lighting</t>
  </si>
  <si>
    <t>Urban Freeway: Directional Widening 2 to 3 Lanes</t>
  </si>
  <si>
    <t>Source: https://smartscale.org/documents/ss_planning_level_cmfs_092116.pdf</t>
  </si>
  <si>
    <t>Source: https://azdot.gov/sites/default/files/2019/06/hsip-appendixB.pdf</t>
  </si>
  <si>
    <t>Average Effects of CMF</t>
  </si>
  <si>
    <t>Comment: Average effect of CMF is considered as multiplicative effects will be overestimation of reduction of crashes</t>
  </si>
  <si>
    <t>Also there are many improvements for which CMF is unavailable.</t>
  </si>
  <si>
    <t>Length (Miles)</t>
  </si>
  <si>
    <t>Crash rate per 100 million vehicles</t>
  </si>
  <si>
    <t>Crash Modification Factor SR 826 Interchange</t>
  </si>
  <si>
    <t>Crash Modificaion Factor Okeechoobee Road (US 27) Intersections</t>
  </si>
  <si>
    <t>Crash Modification Factor for Okeechoobee Road Segments</t>
  </si>
  <si>
    <t>Roadway Segment Lighting</t>
  </si>
  <si>
    <t>Extend Ramp length (acceleration length)</t>
  </si>
  <si>
    <t>Add Freeway Independent Loop or Directional Ramp Entrances</t>
  </si>
  <si>
    <t>Replace Arterial Turns with Loops or Directional Ramps</t>
  </si>
  <si>
    <t>New Turn lane (None present)</t>
  </si>
  <si>
    <t>Minimum Crash Reduction CMF is considered</t>
  </si>
  <si>
    <t>Comment: Minimum effect (crash reduction) of CMF is considered as Lighting are related to night-time crashes only</t>
  </si>
  <si>
    <t>Improvement on roadway crashes due to Signal Optimization</t>
  </si>
  <si>
    <t>Opening Year</t>
  </si>
  <si>
    <t>Opening Year (2028)</t>
  </si>
  <si>
    <t>FY</t>
  </si>
  <si>
    <t>Present Day Cost</t>
  </si>
  <si>
    <t>2020 $</t>
  </si>
  <si>
    <t>Inflator/Deflator</t>
  </si>
  <si>
    <t>Discounted</t>
  </si>
  <si>
    <t>Planning, PD&amp;E, Preliminary Engg, ROW</t>
  </si>
  <si>
    <t>Total Non-Discounted Value</t>
  </si>
  <si>
    <t>Cost/mile (2020$)</t>
  </si>
  <si>
    <t>Inflation Adjustment Values - FDOT</t>
  </si>
  <si>
    <t>Source: FDOT, District 6 Annual Work Program</t>
  </si>
  <si>
    <t>PE, Design, ROW and Construction Costs</t>
  </si>
  <si>
    <t>Planning, PD&amp;E, PCR, PE</t>
  </si>
  <si>
    <t>Crash reduction benefits</t>
  </si>
  <si>
    <t>Percent of Total</t>
  </si>
  <si>
    <t>Travel Time Costs</t>
  </si>
  <si>
    <t>Vehicle Operating Costs</t>
  </si>
  <si>
    <t>Crash Reduction Costs</t>
  </si>
  <si>
    <t>Emissions Savings</t>
  </si>
  <si>
    <t>Operations and Maintenance</t>
  </si>
  <si>
    <t>Unquantified Benefits</t>
  </si>
  <si>
    <t>N/A</t>
  </si>
  <si>
    <t>US 27 PALMETTO Project</t>
  </si>
  <si>
    <t>Total Benefits or Disbenefits (Undiscounted)</t>
  </si>
  <si>
    <t>Service Life Year 2047</t>
  </si>
  <si>
    <t>2028 to 2047</t>
  </si>
  <si>
    <t>Crashes from 2015 to 2019 (Source: FDOT Crash Database)</t>
  </si>
  <si>
    <t>Build Crash Rate</t>
  </si>
  <si>
    <t>Overall Corridor Crash Rate per 100 million vehicles</t>
  </si>
  <si>
    <t>Capital Costs by Year (2020 $)</t>
  </si>
  <si>
    <t>Not Discounted</t>
  </si>
  <si>
    <t>Peak Period VHT &amp; VMT from PROJECTS's CORSIM Modeling</t>
  </si>
  <si>
    <t>Weakday off Peak Period VMT (miles)</t>
  </si>
  <si>
    <t>Saturday Peak Period VMT (miles)</t>
  </si>
  <si>
    <t>Weakday Peak Period VHT (hours)</t>
  </si>
  <si>
    <t>Weakday off peak period VHT (hours)</t>
  </si>
  <si>
    <t>Saturday peak period VHT (hours)</t>
  </si>
  <si>
    <t>Total Annual VMT (miles)</t>
  </si>
  <si>
    <t>Total Annual VHT (hours)</t>
  </si>
  <si>
    <t>AM Peak Period</t>
  </si>
  <si>
    <t>PM Peak Period</t>
  </si>
  <si>
    <t>Off Peak Period</t>
  </si>
  <si>
    <t>Saturday Peak Period</t>
  </si>
  <si>
    <t>6 peak hours of Saturday (Saturday peak hours traffic is 75% of weekday peak hours traffic. However, only 50% weak day metrics is considered to be conservative)</t>
  </si>
  <si>
    <t>Data from US 27 PALMETTO Interchange Modification Report (Corsim Modeling)</t>
  </si>
  <si>
    <t>Weakday Peak Period VMT (miles)</t>
  </si>
  <si>
    <t>Fuel*</t>
  </si>
  <si>
    <t>*Fuel is not considered as it is estimated through fuel-cost savings</t>
  </si>
  <si>
    <t>Fuel cost - gasoline*</t>
  </si>
  <si>
    <t>Fuel cost - diesel*</t>
  </si>
  <si>
    <t>*used average values from a year ago period as fuel prices are increased now</t>
  </si>
  <si>
    <t>US 27 PALMETTO Interchange Project</t>
  </si>
  <si>
    <t>US 27 PALMETTO Interchange Project Benefit-Cost Analysis (2020 $)</t>
  </si>
  <si>
    <t>Present Value          (7% Discount Rate)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</si>
</sst>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2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&quot;$&quot;#,##0.00"/>
    <numFmt numFmtId="166" formatCode="0.0"/>
    <numFmt numFmtId="167" formatCode="&quot;$&quot;#,##0"/>
    <numFmt numFmtId="168" formatCode="_(* #,##0_);_(* \(#,##0\);_(* &quot;-&quot;??_);_(@_)"/>
    <numFmt numFmtId="169" formatCode="_(&quot;$&quot;* #,##0.000_);_(&quot;$&quot;* \(#,##0.000\);_(&quot;$&quot;* &quot;-&quot;??_);_(@_)"/>
    <numFmt numFmtId="170" formatCode="0_);[Red]\(0\)"/>
    <numFmt numFmtId="171" formatCode="&quot;$&quot;#,##0.000_);[Red]\(&quot;$&quot;#,##0.000\)"/>
    <numFmt numFmtId="172" formatCode="&quot;$&quot;#,##0.0000_);[Red]\(&quot;$&quot;#,##0.0000\)"/>
    <numFmt numFmtId="173" formatCode="0.000000"/>
    <numFmt numFmtId="174" formatCode="0.0000"/>
    <numFmt numFmtId="175" formatCode="0.000"/>
    <numFmt numFmtId="176" formatCode="&quot;$&quot;#,##0.000"/>
    <numFmt numFmtId="177" formatCode="&quot;$&quot;#,##0.0000"/>
    <numFmt numFmtId="178" formatCode="_(&quot;$&quot;* #,##0_);_(&quot;$&quot;* \(#,##0\);_(&quot;$&quot;* &quot;-&quot;??_);_(@_)"/>
    <numFmt numFmtId="179" formatCode="#,##0.0"/>
    <numFmt numFmtId="180" formatCode="&quot;$&quot;#,##0.0"/>
    <numFmt numFmtId="181" formatCode="_(* #,##0.0000_);_(* \(#,##0.0000\);_(* &quot;-&quot;??_);_(@_)"/>
  </numFmts>
  <fonts count="5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i/>
      <sz val="20"/>
      <name val="Arial"/>
      <family val="2"/>
    </font>
    <font>
      <b/>
      <sz val="8"/>
      <name val="Arial"/>
      <family val="2"/>
    </font>
    <font>
      <b/>
      <sz val="14"/>
      <name val="Arial Narrow"/>
      <family val="2"/>
    </font>
    <font>
      <b/>
      <sz val="11"/>
      <name val="Arial Narrow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12"/>
      <name val="Calibri"/>
      <family val="2"/>
      <scheme val="minor"/>
    </font>
    <font>
      <sz val="11"/>
      <color indexed="10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b/>
      <i/>
      <sz val="8"/>
      <name val="Calibri"/>
      <family val="2"/>
      <scheme val="minor"/>
    </font>
    <font>
      <sz val="10"/>
      <name val="Calibri"/>
      <family val="2"/>
      <scheme val="minor"/>
    </font>
    <font>
      <b/>
      <i/>
      <sz val="9"/>
      <name val="Calibri"/>
      <family val="2"/>
      <scheme val="minor"/>
    </font>
    <font>
      <b/>
      <sz val="11"/>
      <color rgb="FF007434"/>
      <name val="Calibri"/>
      <family val="2"/>
      <scheme val="minor"/>
    </font>
    <font>
      <b/>
      <sz val="11"/>
      <color indexed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indexed="16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4"/>
      <color indexed="16"/>
      <name val="Calibri"/>
      <family val="2"/>
      <scheme val="minor"/>
    </font>
    <font>
      <b/>
      <vertAlign val="subscript"/>
      <sz val="10"/>
      <name val="Calibri"/>
      <family val="2"/>
      <scheme val="minor"/>
    </font>
    <font>
      <sz val="11"/>
      <color rgb="FF000000"/>
      <name val="Calibri"/>
      <family val="2"/>
    </font>
    <font>
      <b/>
      <sz val="10"/>
      <color indexed="18"/>
      <name val="Arial"/>
      <family val="2"/>
    </font>
    <font>
      <sz val="10"/>
      <color indexed="16"/>
      <name val="Arial"/>
      <family val="2"/>
    </font>
    <font>
      <i/>
      <sz val="10"/>
      <name val="Arial"/>
      <family val="2"/>
    </font>
    <font>
      <vertAlign val="subscript"/>
      <sz val="9"/>
      <name val="Calibri"/>
      <family val="2"/>
      <scheme val="minor"/>
    </font>
    <font>
      <vertAlign val="subscript"/>
      <sz val="8"/>
      <name val="Calibri"/>
      <family val="2"/>
      <scheme val="minor"/>
    </font>
    <font>
      <b/>
      <vertAlign val="subscript"/>
      <sz val="9"/>
      <name val="Calibri"/>
      <family val="2"/>
      <scheme val="minor"/>
    </font>
    <font>
      <vertAlign val="subscript"/>
      <sz val="11"/>
      <name val="Calibri"/>
      <family val="2"/>
      <scheme val="minor"/>
    </font>
    <font>
      <sz val="7"/>
      <color rgb="FF000000"/>
      <name val="Calibri"/>
      <family val="2"/>
    </font>
    <font>
      <b/>
      <sz val="11"/>
      <color rgb="FF000000"/>
      <name val="Calibri"/>
      <family val="2"/>
      <scheme val="minor"/>
    </font>
    <font>
      <b/>
      <sz val="12"/>
      <name val="Calibri"/>
      <family val="2"/>
    </font>
    <font>
      <b/>
      <vertAlign val="superscript"/>
      <sz val="12"/>
      <name val="Calibri"/>
      <family val="2"/>
    </font>
    <font>
      <b/>
      <sz val="14"/>
      <color theme="1"/>
      <name val="Calibri"/>
      <family val="2"/>
      <scheme val="minor"/>
    </font>
    <font>
      <sz val="10"/>
      <color rgb="FFFF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6666"/>
        <bgColor indexed="64"/>
      </patternFill>
    </fill>
    <fill>
      <patternFill patternType="solid">
        <fgColor rgb="FFDEF3FA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6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2"/>
      </left>
      <right/>
      <top style="thin">
        <color indexed="64"/>
      </top>
      <bottom style="thin">
        <color indexed="64"/>
      </bottom>
      <diagonal/>
    </border>
    <border>
      <left style="thin">
        <color theme="2"/>
      </left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rgb="FFFFFFFF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rgb="FF33B4DF"/>
      </top>
      <bottom style="medium">
        <color rgb="FF33B4D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6">
    <xf numFmtId="0" fontId="0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547">
    <xf numFmtId="0" fontId="0" fillId="0" borderId="0" xfId="0"/>
    <xf numFmtId="0" fontId="8" fillId="0" borderId="0" xfId="0" applyFont="1"/>
    <xf numFmtId="49" fontId="9" fillId="0" borderId="0" xfId="0" applyNumberFormat="1" applyFont="1" applyBorder="1" applyAlignment="1">
      <alignment horizontal="left" vertical="center"/>
    </xf>
    <xf numFmtId="0" fontId="10" fillId="0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0" fontId="8" fillId="0" borderId="2" xfId="0" applyFont="1" applyBorder="1"/>
    <xf numFmtId="0" fontId="8" fillId="0" borderId="0" xfId="0" applyFont="1" applyFill="1"/>
    <xf numFmtId="166" fontId="6" fillId="0" borderId="0" xfId="0" applyNumberFormat="1" applyFont="1" applyFill="1" applyAlignment="1">
      <alignment horizontal="center"/>
    </xf>
    <xf numFmtId="166" fontId="6" fillId="0" borderId="0" xfId="0" applyNumberFormat="1" applyFont="1" applyFill="1" applyBorder="1" applyAlignment="1">
      <alignment horizontal="center"/>
    </xf>
    <xf numFmtId="3" fontId="8" fillId="0" borderId="0" xfId="0" applyNumberFormat="1" applyFont="1"/>
    <xf numFmtId="49" fontId="11" fillId="0" borderId="0" xfId="0" applyNumberFormat="1" applyFont="1" applyBorder="1" applyAlignment="1">
      <alignment horizontal="left" vertical="center"/>
    </xf>
    <xf numFmtId="49" fontId="12" fillId="0" borderId="0" xfId="0" applyNumberFormat="1" applyFont="1" applyBorder="1" applyAlignment="1">
      <alignment horizontal="left" vertical="center"/>
    </xf>
    <xf numFmtId="0" fontId="10" fillId="0" borderId="2" xfId="0" applyFont="1" applyBorder="1"/>
    <xf numFmtId="0" fontId="10" fillId="0" borderId="2" xfId="0" applyFont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7" fillId="0" borderId="2" xfId="0" applyFont="1" applyFill="1" applyBorder="1"/>
    <xf numFmtId="6" fontId="10" fillId="0" borderId="2" xfId="0" applyNumberFormat="1" applyFont="1" applyBorder="1"/>
    <xf numFmtId="0" fontId="15" fillId="0" borderId="0" xfId="0" applyFont="1"/>
    <xf numFmtId="0" fontId="15" fillId="0" borderId="0" xfId="0" applyFont="1" applyAlignment="1">
      <alignment horizontal="center"/>
    </xf>
    <xf numFmtId="0" fontId="16" fillId="0" borderId="0" xfId="0" applyFont="1"/>
    <xf numFmtId="175" fontId="15" fillId="0" borderId="0" xfId="0" applyNumberFormat="1" applyFont="1"/>
    <xf numFmtId="0" fontId="20" fillId="0" borderId="0" xfId="0" applyFont="1"/>
    <xf numFmtId="49" fontId="21" fillId="0" borderId="0" xfId="0" applyNumberFormat="1" applyFont="1" applyBorder="1" applyAlignment="1">
      <alignment horizontal="left" vertical="center"/>
    </xf>
    <xf numFmtId="0" fontId="20" fillId="0" borderId="0" xfId="0" applyFont="1" applyBorder="1"/>
    <xf numFmtId="49" fontId="22" fillId="0" borderId="0" xfId="0" applyNumberFormat="1" applyFont="1" applyBorder="1" applyAlignment="1">
      <alignment horizontal="left" vertical="center"/>
    </xf>
    <xf numFmtId="49" fontId="23" fillId="0" borderId="0" xfId="0" applyNumberFormat="1" applyFont="1" applyBorder="1" applyAlignment="1">
      <alignment horizontal="left" vertical="center"/>
    </xf>
    <xf numFmtId="0" fontId="23" fillId="0" borderId="0" xfId="0" applyNumberFormat="1" applyFont="1" applyBorder="1" applyAlignment="1">
      <alignment horizontal="center" vertical="center"/>
    </xf>
    <xf numFmtId="0" fontId="23" fillId="0" borderId="0" xfId="0" applyFont="1" applyAlignment="1">
      <alignment horizontal="left" vertical="top"/>
    </xf>
    <xf numFmtId="169" fontId="23" fillId="0" borderId="0" xfId="0" applyNumberFormat="1" applyFont="1" applyAlignment="1">
      <alignment horizontal="left" vertical="top"/>
    </xf>
    <xf numFmtId="169" fontId="23" fillId="0" borderId="0" xfId="2" applyNumberFormat="1" applyFont="1" applyAlignment="1">
      <alignment horizontal="left" vertical="top"/>
    </xf>
    <xf numFmtId="0" fontId="23" fillId="0" borderId="0" xfId="0" applyFont="1" applyAlignment="1">
      <alignment horizontal="center" vertical="top"/>
    </xf>
    <xf numFmtId="169" fontId="23" fillId="0" borderId="0" xfId="2" applyNumberFormat="1" applyFont="1" applyFill="1" applyAlignment="1">
      <alignment horizontal="left" vertical="top"/>
    </xf>
    <xf numFmtId="49" fontId="24" fillId="0" borderId="0" xfId="0" applyNumberFormat="1" applyFont="1" applyBorder="1" applyAlignment="1">
      <alignment horizontal="left" vertical="center"/>
    </xf>
    <xf numFmtId="49" fontId="24" fillId="0" borderId="0" xfId="0" applyNumberFormat="1" applyFont="1" applyBorder="1" applyAlignment="1">
      <alignment horizontal="center" vertical="center"/>
    </xf>
    <xf numFmtId="49" fontId="23" fillId="0" borderId="0" xfId="0" applyNumberFormat="1" applyFont="1" applyBorder="1" applyAlignment="1">
      <alignment horizontal="left" vertical="top"/>
    </xf>
    <xf numFmtId="0" fontId="23" fillId="0" borderId="0" xfId="0" applyFont="1" applyBorder="1" applyAlignment="1">
      <alignment horizontal="left" vertical="top"/>
    </xf>
    <xf numFmtId="0" fontId="23" fillId="0" borderId="0" xfId="0" applyFont="1" applyFill="1" applyBorder="1" applyAlignment="1">
      <alignment horizontal="left" vertical="top"/>
    </xf>
    <xf numFmtId="0" fontId="23" fillId="0" borderId="0" xfId="0" applyNumberFormat="1" applyFont="1" applyBorder="1" applyAlignment="1">
      <alignment horizontal="center" vertical="top"/>
    </xf>
    <xf numFmtId="49" fontId="23" fillId="0" borderId="3" xfId="0" applyNumberFormat="1" applyFont="1" applyBorder="1" applyAlignment="1">
      <alignment horizontal="left" vertical="top"/>
    </xf>
    <xf numFmtId="0" fontId="23" fillId="0" borderId="4" xfId="0" applyFont="1" applyBorder="1" applyAlignment="1">
      <alignment horizontal="left" vertical="top"/>
    </xf>
    <xf numFmtId="0" fontId="23" fillId="0" borderId="4" xfId="0" applyFont="1" applyFill="1" applyBorder="1" applyAlignment="1">
      <alignment horizontal="left" vertical="top"/>
    </xf>
    <xf numFmtId="0" fontId="22" fillId="0" borderId="5" xfId="0" applyFont="1" applyFill="1" applyBorder="1" applyAlignment="1">
      <alignment horizontal="center" vertical="top"/>
    </xf>
    <xf numFmtId="0" fontId="22" fillId="0" borderId="6" xfId="0" applyFont="1" applyFill="1" applyBorder="1" applyAlignment="1">
      <alignment horizontal="center" vertical="top"/>
    </xf>
    <xf numFmtId="49" fontId="22" fillId="0" borderId="7" xfId="0" applyNumberFormat="1" applyFont="1" applyBorder="1" applyAlignment="1">
      <alignment horizontal="left" vertical="top"/>
    </xf>
    <xf numFmtId="0" fontId="23" fillId="0" borderId="7" xfId="0" applyFont="1" applyBorder="1" applyAlignment="1">
      <alignment horizontal="left" vertical="top"/>
    </xf>
    <xf numFmtId="0" fontId="23" fillId="0" borderId="0" xfId="0" applyFont="1" applyBorder="1"/>
    <xf numFmtId="6" fontId="23" fillId="0" borderId="8" xfId="0" applyNumberFormat="1" applyFont="1" applyFill="1" applyBorder="1" applyAlignment="1">
      <alignment horizontal="right" vertical="top" indent="1"/>
    </xf>
    <xf numFmtId="6" fontId="23" fillId="0" borderId="0" xfId="0" applyNumberFormat="1" applyFont="1" applyFill="1" applyBorder="1" applyAlignment="1">
      <alignment horizontal="right" vertical="top"/>
    </xf>
    <xf numFmtId="0" fontId="23" fillId="0" borderId="0" xfId="0" applyFont="1" applyFill="1" applyBorder="1"/>
    <xf numFmtId="0" fontId="23" fillId="0" borderId="0" xfId="0" applyFont="1" applyFill="1" applyAlignment="1">
      <alignment horizontal="left" vertical="top"/>
    </xf>
    <xf numFmtId="6" fontId="22" fillId="0" borderId="8" xfId="0" applyNumberFormat="1" applyFont="1" applyFill="1" applyBorder="1" applyAlignment="1">
      <alignment horizontal="right" vertical="top" indent="1"/>
    </xf>
    <xf numFmtId="6" fontId="22" fillId="0" borderId="0" xfId="0" applyNumberFormat="1" applyFont="1" applyFill="1" applyBorder="1" applyAlignment="1">
      <alignment horizontal="right" vertical="top"/>
    </xf>
    <xf numFmtId="49" fontId="23" fillId="0" borderId="7" xfId="0" applyNumberFormat="1" applyFont="1" applyBorder="1" applyAlignment="1">
      <alignment horizontal="left" vertical="top"/>
    </xf>
    <xf numFmtId="6" fontId="23" fillId="0" borderId="8" xfId="0" applyNumberFormat="1" applyFont="1" applyBorder="1" applyAlignment="1">
      <alignment horizontal="right" vertical="top" indent="1"/>
    </xf>
    <xf numFmtId="6" fontId="23" fillId="0" borderId="0" xfId="0" applyNumberFormat="1" applyFont="1" applyBorder="1" applyAlignment="1">
      <alignment horizontal="right" vertical="top"/>
    </xf>
    <xf numFmtId="6" fontId="23" fillId="0" borderId="0" xfId="2" applyNumberFormat="1" applyFont="1" applyBorder="1" applyAlignment="1">
      <alignment horizontal="right" vertical="top"/>
    </xf>
    <xf numFmtId="49" fontId="22" fillId="0" borderId="7" xfId="0" applyNumberFormat="1" applyFont="1" applyFill="1" applyBorder="1" applyAlignment="1">
      <alignment horizontal="left" vertical="top"/>
    </xf>
    <xf numFmtId="49" fontId="23" fillId="0" borderId="0" xfId="0" applyNumberFormat="1" applyFont="1" applyFill="1" applyBorder="1" applyAlignment="1">
      <alignment horizontal="left" vertical="top"/>
    </xf>
    <xf numFmtId="0" fontId="22" fillId="0" borderId="0" xfId="0" applyFont="1" applyFill="1" applyBorder="1" applyAlignment="1">
      <alignment horizontal="left" vertical="top"/>
    </xf>
    <xf numFmtId="0" fontId="22" fillId="0" borderId="0" xfId="0" applyFont="1" applyFill="1" applyBorder="1" applyAlignment="1">
      <alignment horizontal="center" vertical="top"/>
    </xf>
    <xf numFmtId="0" fontId="23" fillId="0" borderId="0" xfId="0" applyFont="1" applyFill="1" applyBorder="1" applyAlignment="1">
      <alignment horizontal="right" vertical="top" indent="1"/>
    </xf>
    <xf numFmtId="170" fontId="23" fillId="0" borderId="0" xfId="0" applyNumberFormat="1" applyFont="1" applyBorder="1" applyAlignment="1">
      <alignment horizontal="right" vertical="top" indent="1"/>
    </xf>
    <xf numFmtId="0" fontId="23" fillId="0" borderId="0" xfId="0" applyFont="1" applyBorder="1" applyAlignment="1">
      <alignment horizontal="right" vertical="top" indent="1"/>
    </xf>
    <xf numFmtId="40" fontId="22" fillId="0" borderId="8" xfId="0" applyNumberFormat="1" applyFont="1" applyBorder="1" applyAlignment="1">
      <alignment horizontal="right" vertical="top" indent="1"/>
    </xf>
    <xf numFmtId="169" fontId="23" fillId="0" borderId="0" xfId="0" applyNumberFormat="1" applyFont="1" applyBorder="1" applyAlignment="1">
      <alignment horizontal="right" vertical="top" indent="1"/>
    </xf>
    <xf numFmtId="169" fontId="23" fillId="0" borderId="0" xfId="2" applyNumberFormat="1" applyFont="1" applyBorder="1" applyAlignment="1">
      <alignment horizontal="right" vertical="top" indent="1"/>
    </xf>
    <xf numFmtId="49" fontId="23" fillId="0" borderId="9" xfId="0" applyNumberFormat="1" applyFont="1" applyBorder="1" applyAlignment="1">
      <alignment horizontal="left" vertical="top"/>
    </xf>
    <xf numFmtId="0" fontId="23" fillId="0" borderId="10" xfId="0" applyFont="1" applyBorder="1"/>
    <xf numFmtId="0" fontId="23" fillId="0" borderId="10" xfId="0" applyFont="1" applyFill="1" applyBorder="1" applyAlignment="1">
      <alignment horizontal="left" vertical="top"/>
    </xf>
    <xf numFmtId="0" fontId="23" fillId="0" borderId="11" xfId="0" applyNumberFormat="1" applyFont="1" applyFill="1" applyBorder="1" applyAlignment="1">
      <alignment horizontal="right" vertical="top" indent="1"/>
    </xf>
    <xf numFmtId="0" fontId="23" fillId="0" borderId="10" xfId="0" applyFont="1" applyBorder="1" applyAlignment="1">
      <alignment horizontal="right" vertical="top" indent="1"/>
    </xf>
    <xf numFmtId="169" fontId="23" fillId="0" borderId="10" xfId="0" applyNumberFormat="1" applyFont="1" applyBorder="1" applyAlignment="1">
      <alignment horizontal="right" vertical="top" indent="1"/>
    </xf>
    <xf numFmtId="169" fontId="23" fillId="0" borderId="10" xfId="2" applyNumberFormat="1" applyFont="1" applyBorder="1" applyAlignment="1">
      <alignment horizontal="right" vertical="top" indent="1"/>
    </xf>
    <xf numFmtId="49" fontId="23" fillId="0" borderId="0" xfId="0" applyNumberFormat="1" applyFont="1" applyAlignment="1">
      <alignment horizontal="left" vertical="top"/>
    </xf>
    <xf numFmtId="0" fontId="23" fillId="0" borderId="0" xfId="0" applyNumberFormat="1" applyFont="1" applyAlignment="1">
      <alignment horizontal="center" vertical="top"/>
    </xf>
    <xf numFmtId="49" fontId="23" fillId="0" borderId="0" xfId="0" applyNumberFormat="1" applyFont="1" applyFill="1" applyAlignment="1">
      <alignment horizontal="left" vertical="top"/>
    </xf>
    <xf numFmtId="0" fontId="23" fillId="0" borderId="0" xfId="0" applyNumberFormat="1" applyFont="1" applyFill="1" applyAlignment="1">
      <alignment horizontal="center" vertical="top"/>
    </xf>
    <xf numFmtId="6" fontId="23" fillId="0" borderId="0" xfId="0" applyNumberFormat="1" applyFont="1" applyFill="1" applyAlignment="1">
      <alignment horizontal="right" vertical="top"/>
    </xf>
    <xf numFmtId="6" fontId="23" fillId="0" borderId="0" xfId="0" applyNumberFormat="1" applyFont="1" applyAlignment="1">
      <alignment horizontal="center" vertical="top"/>
    </xf>
    <xf numFmtId="6" fontId="23" fillId="0" borderId="0" xfId="0" applyNumberFormat="1" applyFont="1" applyAlignment="1">
      <alignment horizontal="left" vertical="top"/>
    </xf>
    <xf numFmtId="6" fontId="23" fillId="0" borderId="0" xfId="2" applyNumberFormat="1" applyFont="1" applyAlignment="1">
      <alignment horizontal="left" vertical="top"/>
    </xf>
    <xf numFmtId="0" fontId="20" fillId="2" borderId="0" xfId="0" applyFont="1" applyFill="1" applyBorder="1"/>
    <xf numFmtId="0" fontId="25" fillId="0" borderId="0" xfId="0" applyFont="1"/>
    <xf numFmtId="9" fontId="25" fillId="0" borderId="0" xfId="0" applyNumberFormat="1" applyFont="1"/>
    <xf numFmtId="172" fontId="20" fillId="0" borderId="0" xfId="0" applyNumberFormat="1" applyFont="1"/>
    <xf numFmtId="0" fontId="20" fillId="2" borderId="0" xfId="0" applyFont="1" applyFill="1" applyBorder="1" applyAlignment="1">
      <alignment horizontal="center"/>
    </xf>
    <xf numFmtId="49" fontId="26" fillId="0" borderId="0" xfId="0" applyNumberFormat="1" applyFont="1" applyBorder="1" applyAlignment="1">
      <alignment horizontal="left" vertical="center"/>
    </xf>
    <xf numFmtId="6" fontId="23" fillId="0" borderId="8" xfId="0" applyNumberFormat="1" applyFont="1" applyBorder="1" applyAlignment="1">
      <alignment horizontal="center" vertical="top"/>
    </xf>
    <xf numFmtId="6" fontId="23" fillId="0" borderId="0" xfId="0" applyNumberFormat="1" applyFont="1" applyBorder="1" applyAlignment="1">
      <alignment horizontal="center" vertical="top"/>
    </xf>
    <xf numFmtId="6" fontId="23" fillId="0" borderId="0" xfId="0" applyNumberFormat="1" applyFont="1" applyBorder="1" applyAlignment="1">
      <alignment horizontal="left" vertical="top"/>
    </xf>
    <xf numFmtId="6" fontId="23" fillId="0" borderId="0" xfId="2" applyNumberFormat="1" applyFont="1" applyBorder="1" applyAlignment="1">
      <alignment horizontal="left" vertical="top"/>
    </xf>
    <xf numFmtId="164" fontId="23" fillId="0" borderId="0" xfId="3" applyNumberFormat="1" applyFont="1" applyFill="1" applyAlignment="1">
      <alignment horizontal="center" vertical="top"/>
    </xf>
    <xf numFmtId="178" fontId="23" fillId="0" borderId="0" xfId="2" applyNumberFormat="1" applyFont="1" applyFill="1" applyAlignment="1">
      <alignment horizontal="left" vertical="top"/>
    </xf>
    <xf numFmtId="6" fontId="23" fillId="0" borderId="2" xfId="0" applyNumberFormat="1" applyFont="1" applyFill="1" applyBorder="1" applyAlignment="1">
      <alignment horizontal="right" vertical="top" indent="1"/>
    </xf>
    <xf numFmtId="0" fontId="22" fillId="0" borderId="0" xfId="0" applyFont="1" applyAlignment="1">
      <alignment horizontal="left" vertical="top"/>
    </xf>
    <xf numFmtId="0" fontId="22" fillId="0" borderId="54" xfId="0" applyFont="1" applyFill="1" applyBorder="1" applyAlignment="1">
      <alignment horizontal="center" vertical="top"/>
    </xf>
    <xf numFmtId="6" fontId="23" fillId="0" borderId="55" xfId="0" applyNumberFormat="1" applyFont="1" applyBorder="1" applyAlignment="1">
      <alignment horizontal="right" vertical="top"/>
    </xf>
    <xf numFmtId="6" fontId="23" fillId="0" borderId="55" xfId="0" applyNumberFormat="1" applyFont="1" applyFill="1" applyBorder="1" applyAlignment="1">
      <alignment horizontal="right" vertical="top"/>
    </xf>
    <xf numFmtId="0" fontId="23" fillId="0" borderId="55" xfId="0" applyFont="1" applyBorder="1" applyAlignment="1">
      <alignment horizontal="left" vertical="top"/>
    </xf>
    <xf numFmtId="6" fontId="22" fillId="0" borderId="55" xfId="0" applyNumberFormat="1" applyFont="1" applyFill="1" applyBorder="1" applyAlignment="1">
      <alignment horizontal="right" vertical="top"/>
    </xf>
    <xf numFmtId="49" fontId="16" fillId="0" borderId="0" xfId="0" applyNumberFormat="1" applyFont="1" applyBorder="1" applyAlignment="1">
      <alignment horizontal="left" vertical="center"/>
    </xf>
    <xf numFmtId="0" fontId="16" fillId="0" borderId="0" xfId="0" applyFont="1" applyAlignment="1">
      <alignment horizontal="center" vertical="center" wrapText="1"/>
    </xf>
    <xf numFmtId="178" fontId="15" fillId="0" borderId="0" xfId="2" applyNumberFormat="1" applyFont="1" applyAlignment="1">
      <alignment vertical="center"/>
    </xf>
    <xf numFmtId="0" fontId="33" fillId="4" borderId="18" xfId="0" applyFont="1" applyFill="1" applyBorder="1" applyAlignment="1">
      <alignment horizontal="center" vertical="center" wrapText="1"/>
    </xf>
    <xf numFmtId="0" fontId="15" fillId="0" borderId="0" xfId="0" applyFont="1" applyAlignment="1">
      <alignment vertical="center"/>
    </xf>
    <xf numFmtId="178" fontId="15" fillId="0" borderId="0" xfId="0" applyNumberFormat="1" applyFont="1" applyAlignment="1">
      <alignment vertical="center"/>
    </xf>
    <xf numFmtId="0" fontId="15" fillId="0" borderId="0" xfId="0" applyFont="1" applyAlignment="1">
      <alignment horizontal="center" vertical="center"/>
    </xf>
    <xf numFmtId="6" fontId="15" fillId="0" borderId="0" xfId="0" applyNumberFormat="1" applyFont="1" applyAlignment="1">
      <alignment horizontal="center" vertical="center"/>
    </xf>
    <xf numFmtId="0" fontId="23" fillId="0" borderId="0" xfId="0" applyFont="1"/>
    <xf numFmtId="168" fontId="23" fillId="0" borderId="0" xfId="0" applyNumberFormat="1" applyFont="1"/>
    <xf numFmtId="0" fontId="32" fillId="0" borderId="0" xfId="0" applyFont="1" applyFill="1"/>
    <xf numFmtId="0" fontId="23" fillId="0" borderId="0" xfId="0" applyFont="1" applyFill="1"/>
    <xf numFmtId="0" fontId="22" fillId="0" borderId="2" xfId="0" applyFont="1" applyBorder="1"/>
    <xf numFmtId="0" fontId="23" fillId="0" borderId="2" xfId="0" applyFont="1" applyBorder="1"/>
    <xf numFmtId="0" fontId="22" fillId="0" borderId="2" xfId="0" applyFont="1" applyBorder="1" applyAlignment="1">
      <alignment horizontal="center"/>
    </xf>
    <xf numFmtId="168" fontId="23" fillId="0" borderId="0" xfId="1" applyNumberFormat="1" applyFont="1" applyFill="1"/>
    <xf numFmtId="168" fontId="23" fillId="0" borderId="2" xfId="1" applyNumberFormat="1" applyFont="1" applyBorder="1"/>
    <xf numFmtId="165" fontId="23" fillId="0" borderId="0" xfId="0" applyNumberFormat="1" applyFont="1"/>
    <xf numFmtId="0" fontId="22" fillId="2" borderId="2" xfId="0" applyFont="1" applyFill="1" applyBorder="1" applyAlignment="1">
      <alignment horizontal="center"/>
    </xf>
    <xf numFmtId="6" fontId="23" fillId="0" borderId="0" xfId="1" applyNumberFormat="1" applyFont="1"/>
    <xf numFmtId="6" fontId="23" fillId="0" borderId="2" xfId="1" applyNumberFormat="1" applyFont="1" applyBorder="1"/>
    <xf numFmtId="6" fontId="23" fillId="0" borderId="2" xfId="1" applyNumberFormat="1" applyFont="1" applyFill="1" applyBorder="1"/>
    <xf numFmtId="167" fontId="23" fillId="0" borderId="0" xfId="0" applyNumberFormat="1" applyFont="1"/>
    <xf numFmtId="10" fontId="23" fillId="0" borderId="0" xfId="3" applyNumberFormat="1" applyFont="1"/>
    <xf numFmtId="9" fontId="23" fillId="0" borderId="0" xfId="3" applyFont="1"/>
    <xf numFmtId="43" fontId="23" fillId="0" borderId="0" xfId="0" applyNumberFormat="1" applyFont="1"/>
    <xf numFmtId="166" fontId="25" fillId="0" borderId="0" xfId="0" applyNumberFormat="1" applyFont="1" applyFill="1" applyBorder="1" applyAlignment="1">
      <alignment horizontal="center"/>
    </xf>
    <xf numFmtId="166" fontId="25" fillId="0" borderId="0" xfId="0" applyNumberFormat="1" applyFont="1" applyFill="1" applyAlignment="1">
      <alignment horizontal="center"/>
    </xf>
    <xf numFmtId="0" fontId="20" fillId="0" borderId="1" xfId="0" applyFont="1" applyBorder="1"/>
    <xf numFmtId="0" fontId="20" fillId="2" borderId="15" xfId="0" applyFont="1" applyFill="1" applyBorder="1"/>
    <xf numFmtId="0" fontId="20" fillId="2" borderId="2" xfId="0" applyFont="1" applyFill="1" applyBorder="1"/>
    <xf numFmtId="0" fontId="21" fillId="2" borderId="2" xfId="0" applyFont="1" applyFill="1" applyBorder="1" applyAlignment="1">
      <alignment horizontal="center"/>
    </xf>
    <xf numFmtId="0" fontId="21" fillId="2" borderId="16" xfId="0" applyFont="1" applyFill="1" applyBorder="1"/>
    <xf numFmtId="3" fontId="20" fillId="2" borderId="0" xfId="0" applyNumberFormat="1" applyFont="1" applyFill="1" applyBorder="1"/>
    <xf numFmtId="168" fontId="20" fillId="2" borderId="0" xfId="1" applyNumberFormat="1" applyFont="1" applyFill="1" applyBorder="1"/>
    <xf numFmtId="0" fontId="21" fillId="2" borderId="0" xfId="0" applyFont="1" applyFill="1" applyBorder="1"/>
    <xf numFmtId="3" fontId="25" fillId="0" borderId="0" xfId="0" applyNumberFormat="1" applyFont="1" applyBorder="1"/>
    <xf numFmtId="0" fontId="25" fillId="0" borderId="0" xfId="0" applyFont="1" applyBorder="1"/>
    <xf numFmtId="3" fontId="20" fillId="0" borderId="0" xfId="0" applyNumberFormat="1" applyFont="1" applyBorder="1"/>
    <xf numFmtId="0" fontId="20" fillId="2" borderId="17" xfId="0" applyFont="1" applyFill="1" applyBorder="1"/>
    <xf numFmtId="167" fontId="20" fillId="2" borderId="0" xfId="0" applyNumberFormat="1" applyFont="1" applyFill="1" applyBorder="1"/>
    <xf numFmtId="167" fontId="20" fillId="0" borderId="0" xfId="0" applyNumberFormat="1" applyFont="1" applyBorder="1"/>
    <xf numFmtId="167" fontId="25" fillId="0" borderId="0" xfId="0" applyNumberFormat="1" applyFont="1" applyBorder="1"/>
    <xf numFmtId="172" fontId="20" fillId="2" borderId="17" xfId="0" applyNumberFormat="1" applyFont="1" applyFill="1" applyBorder="1"/>
    <xf numFmtId="172" fontId="20" fillId="2" borderId="0" xfId="0" applyNumberFormat="1" applyFont="1" applyFill="1" applyBorder="1"/>
    <xf numFmtId="9" fontId="20" fillId="2" borderId="17" xfId="3" applyFont="1" applyFill="1" applyBorder="1"/>
    <xf numFmtId="0" fontId="21" fillId="2" borderId="2" xfId="0" applyFont="1" applyFill="1" applyBorder="1"/>
    <xf numFmtId="167" fontId="20" fillId="2" borderId="2" xfId="0" applyNumberFormat="1" applyFont="1" applyFill="1" applyBorder="1"/>
    <xf numFmtId="166" fontId="23" fillId="0" borderId="0" xfId="0" applyNumberFormat="1" applyFont="1" applyFill="1" applyAlignment="1">
      <alignment horizontal="right" indent="1"/>
    </xf>
    <xf numFmtId="49" fontId="32" fillId="0" borderId="0" xfId="0" applyNumberFormat="1" applyFont="1" applyBorder="1" applyAlignment="1">
      <alignment horizontal="left" vertical="center"/>
    </xf>
    <xf numFmtId="174" fontId="20" fillId="0" borderId="0" xfId="0" applyNumberFormat="1" applyFont="1" applyBorder="1"/>
    <xf numFmtId="0" fontId="20" fillId="2" borderId="17" xfId="0" applyFont="1" applyFill="1" applyBorder="1" applyAlignment="1">
      <alignment horizontal="center"/>
    </xf>
    <xf numFmtId="174" fontId="20" fillId="2" borderId="17" xfId="0" applyNumberFormat="1" applyFont="1" applyFill="1" applyBorder="1"/>
    <xf numFmtId="171" fontId="20" fillId="2" borderId="17" xfId="0" applyNumberFormat="1" applyFont="1" applyFill="1" applyBorder="1"/>
    <xf numFmtId="171" fontId="20" fillId="2" borderId="0" xfId="0" applyNumberFormat="1" applyFont="1" applyFill="1" applyBorder="1"/>
    <xf numFmtId="2" fontId="20" fillId="0" borderId="0" xfId="0" applyNumberFormat="1" applyFont="1" applyBorder="1"/>
    <xf numFmtId="2" fontId="20" fillId="2" borderId="17" xfId="0" applyNumberFormat="1" applyFont="1" applyFill="1" applyBorder="1"/>
    <xf numFmtId="1" fontId="20" fillId="0" borderId="0" xfId="0" applyNumberFormat="1" applyFont="1" applyBorder="1"/>
    <xf numFmtId="6" fontId="20" fillId="2" borderId="17" xfId="0" applyNumberFormat="1" applyFont="1" applyFill="1" applyBorder="1"/>
    <xf numFmtId="177" fontId="20" fillId="0" borderId="0" xfId="0" applyNumberFormat="1" applyFont="1" applyBorder="1"/>
    <xf numFmtId="9" fontId="20" fillId="0" borderId="17" xfId="3" applyFont="1" applyFill="1" applyBorder="1"/>
    <xf numFmtId="176" fontId="20" fillId="0" borderId="0" xfId="0" applyNumberFormat="1" applyFont="1" applyBorder="1"/>
    <xf numFmtId="6" fontId="20" fillId="0" borderId="17" xfId="0" applyNumberFormat="1" applyFont="1" applyFill="1" applyBorder="1"/>
    <xf numFmtId="172" fontId="20" fillId="0" borderId="17" xfId="0" applyNumberFormat="1" applyFont="1" applyBorder="1"/>
    <xf numFmtId="0" fontId="25" fillId="0" borderId="0" xfId="0" applyFont="1" applyAlignment="1">
      <alignment vertical="center"/>
    </xf>
    <xf numFmtId="0" fontId="16" fillId="0" borderId="13" xfId="0" applyFont="1" applyBorder="1" applyAlignment="1">
      <alignment vertical="center" wrapText="1"/>
    </xf>
    <xf numFmtId="0" fontId="16" fillId="0" borderId="13" xfId="0" applyFont="1" applyBorder="1" applyAlignment="1">
      <alignment horizontal="center" vertical="center" wrapText="1"/>
    </xf>
    <xf numFmtId="0" fontId="34" fillId="0" borderId="47" xfId="0" quotePrefix="1" applyFont="1" applyFill="1" applyBorder="1" applyAlignment="1">
      <alignment horizontal="center" vertical="center"/>
    </xf>
    <xf numFmtId="174" fontId="15" fillId="0" borderId="48" xfId="4" applyNumberFormat="1" applyFont="1" applyFill="1" applyBorder="1" applyAlignment="1">
      <alignment horizontal="center" vertical="center"/>
    </xf>
    <xf numFmtId="174" fontId="15" fillId="0" borderId="49" xfId="4" applyNumberFormat="1" applyFont="1" applyFill="1" applyBorder="1" applyAlignment="1">
      <alignment horizontal="center" vertical="center"/>
    </xf>
    <xf numFmtId="174" fontId="15" fillId="0" borderId="50" xfId="4" applyNumberFormat="1" applyFont="1" applyFill="1" applyBorder="1" applyAlignment="1">
      <alignment horizontal="center" vertical="center"/>
    </xf>
    <xf numFmtId="174" fontId="15" fillId="0" borderId="51" xfId="4" applyNumberFormat="1" applyFont="1" applyFill="1" applyBorder="1" applyAlignment="1">
      <alignment horizontal="center" vertical="center"/>
    </xf>
    <xf numFmtId="0" fontId="34" fillId="0" borderId="14" xfId="0" quotePrefix="1" applyFont="1" applyFill="1" applyBorder="1" applyAlignment="1">
      <alignment horizontal="center" vertical="center"/>
    </xf>
    <xf numFmtId="174" fontId="15" fillId="0" borderId="52" xfId="4" applyNumberFormat="1" applyFont="1" applyFill="1" applyBorder="1" applyAlignment="1">
      <alignment horizontal="center" vertical="center"/>
    </xf>
    <xf numFmtId="174" fontId="15" fillId="0" borderId="53" xfId="4" applyNumberFormat="1" applyFont="1" applyFill="1" applyBorder="1" applyAlignment="1">
      <alignment horizontal="center" vertical="center"/>
    </xf>
    <xf numFmtId="0" fontId="35" fillId="0" borderId="0" xfId="0" applyFont="1"/>
    <xf numFmtId="0" fontId="36" fillId="0" borderId="0" xfId="0" applyFont="1"/>
    <xf numFmtId="0" fontId="15" fillId="0" borderId="0" xfId="0" applyFont="1" applyFill="1" applyAlignment="1">
      <alignment vertical="center"/>
    </xf>
    <xf numFmtId="0" fontId="16" fillId="0" borderId="0" xfId="0" applyFont="1" applyFill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15" fillId="0" borderId="0" xfId="0" applyFont="1" applyAlignment="1">
      <alignment horizontal="right" vertical="center"/>
    </xf>
    <xf numFmtId="0" fontId="16" fillId="0" borderId="0" xfId="0" applyFont="1" applyFill="1" applyAlignment="1">
      <alignment vertical="center"/>
    </xf>
    <xf numFmtId="9" fontId="15" fillId="0" borderId="0" xfId="3" applyFont="1" applyAlignment="1">
      <alignment vertical="center"/>
    </xf>
    <xf numFmtId="6" fontId="15" fillId="0" borderId="0" xfId="0" applyNumberFormat="1" applyFont="1" applyAlignment="1">
      <alignment horizontal="left" vertical="center"/>
    </xf>
    <xf numFmtId="165" fontId="15" fillId="0" borderId="0" xfId="0" applyNumberFormat="1" applyFont="1" applyAlignment="1">
      <alignment vertical="center"/>
    </xf>
    <xf numFmtId="0" fontId="27" fillId="0" borderId="0" xfId="0" applyFont="1" applyAlignment="1">
      <alignment vertical="center"/>
    </xf>
    <xf numFmtId="165" fontId="15" fillId="0" borderId="0" xfId="0" applyNumberFormat="1" applyFont="1" applyFill="1" applyAlignment="1">
      <alignment horizontal="right" vertical="center"/>
    </xf>
    <xf numFmtId="166" fontId="15" fillId="0" borderId="0" xfId="0" applyNumberFormat="1" applyFont="1" applyAlignment="1">
      <alignment vertical="center"/>
    </xf>
    <xf numFmtId="0" fontId="16" fillId="0" borderId="0" xfId="0" applyFont="1" applyAlignment="1">
      <alignment horizontal="center" vertical="center"/>
    </xf>
    <xf numFmtId="1" fontId="15" fillId="0" borderId="0" xfId="0" applyNumberFormat="1" applyFont="1" applyAlignment="1">
      <alignment vertical="center"/>
    </xf>
    <xf numFmtId="0" fontId="15" fillId="0" borderId="0" xfId="0" applyFont="1" applyFill="1" applyBorder="1" applyAlignment="1">
      <alignment vertical="center"/>
    </xf>
    <xf numFmtId="175" fontId="15" fillId="0" borderId="0" xfId="0" applyNumberFormat="1" applyFont="1" applyAlignment="1">
      <alignment vertical="center"/>
    </xf>
    <xf numFmtId="38" fontId="15" fillId="0" borderId="0" xfId="0" applyNumberFormat="1" applyFont="1" applyAlignment="1">
      <alignment vertical="center"/>
    </xf>
    <xf numFmtId="168" fontId="15" fillId="0" borderId="0" xfId="1" applyNumberFormat="1" applyFont="1" applyAlignment="1">
      <alignment vertical="center"/>
    </xf>
    <xf numFmtId="38" fontId="15" fillId="0" borderId="0" xfId="0" applyNumberFormat="1" applyFont="1" applyFill="1" applyAlignment="1">
      <alignment vertical="center"/>
    </xf>
    <xf numFmtId="0" fontId="16" fillId="0" borderId="0" xfId="0" applyFont="1" applyFill="1" applyAlignment="1">
      <alignment horizontal="center" vertical="center"/>
    </xf>
    <xf numFmtId="167" fontId="16" fillId="0" borderId="0" xfId="0" applyNumberFormat="1" applyFont="1" applyAlignment="1">
      <alignment vertical="center"/>
    </xf>
    <xf numFmtId="164" fontId="15" fillId="0" borderId="0" xfId="1" applyNumberFormat="1" applyFont="1" applyAlignment="1">
      <alignment vertical="center"/>
    </xf>
    <xf numFmtId="0" fontId="18" fillId="0" borderId="0" xfId="0" applyFont="1" applyAlignment="1">
      <alignment vertical="center"/>
    </xf>
    <xf numFmtId="0" fontId="17" fillId="2" borderId="0" xfId="0" applyFont="1" applyFill="1" applyBorder="1" applyAlignment="1">
      <alignment vertical="center"/>
    </xf>
    <xf numFmtId="173" fontId="17" fillId="0" borderId="0" xfId="3" applyNumberFormat="1" applyFont="1" applyAlignment="1">
      <alignment horizontal="right" vertical="center"/>
    </xf>
    <xf numFmtId="173" fontId="19" fillId="0" borderId="0" xfId="3" applyNumberFormat="1" applyFont="1" applyAlignment="1">
      <alignment horizontal="right" vertical="center"/>
    </xf>
    <xf numFmtId="2" fontId="17" fillId="0" borderId="0" xfId="3" applyNumberFormat="1" applyFont="1" applyAlignment="1">
      <alignment horizontal="right" vertical="center"/>
    </xf>
    <xf numFmtId="164" fontId="15" fillId="0" borderId="0" xfId="3" applyNumberFormat="1" applyFont="1" applyAlignment="1">
      <alignment vertical="center"/>
    </xf>
    <xf numFmtId="177" fontId="15" fillId="0" borderId="0" xfId="0" applyNumberFormat="1" applyFont="1" applyAlignment="1">
      <alignment horizontal="right" vertical="center"/>
    </xf>
    <xf numFmtId="38" fontId="19" fillId="0" borderId="0" xfId="0" applyNumberFormat="1" applyFont="1" applyAlignment="1">
      <alignment vertical="center"/>
    </xf>
    <xf numFmtId="177" fontId="15" fillId="0" borderId="0" xfId="0" applyNumberFormat="1" applyFont="1" applyAlignment="1">
      <alignment vertical="center"/>
    </xf>
    <xf numFmtId="174" fontId="15" fillId="0" borderId="0" xfId="0" applyNumberFormat="1" applyFont="1" applyAlignment="1">
      <alignment vertical="center"/>
    </xf>
    <xf numFmtId="176" fontId="15" fillId="0" borderId="0" xfId="0" applyNumberFormat="1" applyFont="1" applyAlignment="1">
      <alignment vertical="center"/>
    </xf>
    <xf numFmtId="175" fontId="15" fillId="0" borderId="0" xfId="0" applyNumberFormat="1" applyFont="1" applyFill="1" applyAlignment="1">
      <alignment vertical="center"/>
    </xf>
    <xf numFmtId="3" fontId="15" fillId="0" borderId="13" xfId="0" applyNumberFormat="1" applyFont="1" applyFill="1" applyBorder="1" applyAlignment="1">
      <alignment horizontal="center" vertical="center"/>
    </xf>
    <xf numFmtId="1" fontId="15" fillId="0" borderId="13" xfId="1" applyNumberFormat="1" applyFont="1" applyBorder="1" applyAlignment="1">
      <alignment horizontal="center" vertical="center"/>
    </xf>
    <xf numFmtId="0" fontId="15" fillId="0" borderId="0" xfId="0" applyFont="1" applyBorder="1" applyAlignment="1">
      <alignment vertical="center"/>
    </xf>
    <xf numFmtId="6" fontId="15" fillId="0" borderId="0" xfId="0" applyNumberFormat="1" applyFont="1" applyBorder="1" applyAlignment="1">
      <alignment vertical="center"/>
    </xf>
    <xf numFmtId="6" fontId="15" fillId="0" borderId="0" xfId="0" applyNumberFormat="1" applyFont="1" applyBorder="1" applyAlignment="1">
      <alignment horizontal="right" vertical="center"/>
    </xf>
    <xf numFmtId="0" fontId="15" fillId="0" borderId="0" xfId="0" applyFont="1" applyBorder="1" applyAlignment="1">
      <alignment horizontal="left" vertical="center"/>
    </xf>
    <xf numFmtId="0" fontId="15" fillId="0" borderId="0" xfId="0" applyFont="1" applyFill="1" applyBorder="1" applyAlignment="1">
      <alignment horizontal="left" vertical="center"/>
    </xf>
    <xf numFmtId="6" fontId="15" fillId="0" borderId="0" xfId="0" applyNumberFormat="1" applyFont="1" applyAlignment="1">
      <alignment vertical="center"/>
    </xf>
    <xf numFmtId="6" fontId="16" fillId="0" borderId="0" xfId="0" applyNumberFormat="1" applyFont="1" applyBorder="1" applyAlignment="1">
      <alignment horizontal="right" vertical="center"/>
    </xf>
    <xf numFmtId="49" fontId="15" fillId="0" borderId="0" xfId="0" applyNumberFormat="1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9" fontId="16" fillId="0" borderId="0" xfId="0" applyNumberFormat="1" applyFont="1" applyFill="1" applyBorder="1" applyAlignment="1">
      <alignment horizontal="left" vertical="center"/>
    </xf>
    <xf numFmtId="0" fontId="3" fillId="5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15" fillId="0" borderId="0" xfId="0" applyNumberFormat="1" applyFont="1" applyBorder="1" applyAlignment="1">
      <alignment horizontal="left" vertical="center"/>
    </xf>
    <xf numFmtId="0" fontId="15" fillId="0" borderId="0" xfId="0" applyNumberFormat="1" applyFont="1" applyBorder="1" applyAlignment="1">
      <alignment horizontal="center" vertical="center"/>
    </xf>
    <xf numFmtId="0" fontId="30" fillId="3" borderId="0" xfId="0" applyNumberFormat="1" applyFont="1" applyFill="1" applyBorder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5" fillId="0" borderId="0" xfId="0" applyFont="1" applyAlignment="1">
      <alignment horizontal="left" vertical="center"/>
    </xf>
    <xf numFmtId="0" fontId="16" fillId="0" borderId="1" xfId="0" applyFont="1" applyBorder="1" applyAlignment="1">
      <alignment horizontal="center" vertical="center"/>
    </xf>
    <xf numFmtId="169" fontId="15" fillId="0" borderId="0" xfId="0" applyNumberFormat="1" applyFont="1" applyAlignment="1">
      <alignment horizontal="left" vertical="center"/>
    </xf>
    <xf numFmtId="169" fontId="15" fillId="0" borderId="0" xfId="2" applyNumberFormat="1" applyFont="1" applyAlignment="1">
      <alignment horizontal="left" vertical="center"/>
    </xf>
    <xf numFmtId="0" fontId="30" fillId="3" borderId="0" xfId="0" applyFont="1" applyFill="1" applyAlignment="1">
      <alignment horizontal="left" vertical="center"/>
    </xf>
    <xf numFmtId="169" fontId="30" fillId="3" borderId="0" xfId="0" applyNumberFormat="1" applyFont="1" applyFill="1" applyAlignment="1">
      <alignment horizontal="left" vertical="center"/>
    </xf>
    <xf numFmtId="169" fontId="30" fillId="3" borderId="0" xfId="2" applyNumberFormat="1" applyFont="1" applyFill="1" applyAlignment="1">
      <alignment horizontal="left" vertical="center"/>
    </xf>
    <xf numFmtId="0" fontId="30" fillId="3" borderId="0" xfId="0" applyFont="1" applyFill="1" applyAlignment="1">
      <alignment horizontal="center" vertical="center"/>
    </xf>
    <xf numFmtId="169" fontId="15" fillId="0" borderId="0" xfId="2" applyNumberFormat="1" applyFont="1" applyFill="1" applyAlignment="1">
      <alignment horizontal="left" vertical="center"/>
    </xf>
    <xf numFmtId="0" fontId="15" fillId="0" borderId="0" xfId="0" applyFont="1" applyFill="1" applyAlignment="1">
      <alignment horizontal="left" vertical="center"/>
    </xf>
    <xf numFmtId="38" fontId="15" fillId="0" borderId="0" xfId="0" applyNumberFormat="1" applyFont="1" applyAlignment="1">
      <alignment horizontal="right" vertical="center"/>
    </xf>
    <xf numFmtId="38" fontId="15" fillId="0" borderId="0" xfId="0" applyNumberFormat="1" applyFont="1" applyFill="1" applyBorder="1" applyAlignment="1">
      <alignment horizontal="right" vertical="center"/>
    </xf>
    <xf numFmtId="168" fontId="15" fillId="0" borderId="0" xfId="1" applyNumberFormat="1" applyFont="1" applyAlignment="1">
      <alignment horizontal="left" vertical="center"/>
    </xf>
    <xf numFmtId="0" fontId="15" fillId="0" borderId="0" xfId="0" applyNumberFormat="1" applyFont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49" fontId="25" fillId="0" borderId="0" xfId="0" applyNumberFormat="1" applyFont="1" applyBorder="1" applyAlignment="1">
      <alignment horizontal="left" vertical="center"/>
    </xf>
    <xf numFmtId="0" fontId="25" fillId="0" borderId="0" xfId="0" applyNumberFormat="1" applyFont="1" applyBorder="1" applyAlignment="1">
      <alignment horizontal="center" vertical="center"/>
    </xf>
    <xf numFmtId="0" fontId="25" fillId="0" borderId="0" xfId="0" applyFont="1" applyAlignment="1">
      <alignment horizontal="left" vertical="center"/>
    </xf>
    <xf numFmtId="169" fontId="25" fillId="0" borderId="0" xfId="0" applyNumberFormat="1" applyFont="1" applyAlignment="1">
      <alignment horizontal="left" vertical="center"/>
    </xf>
    <xf numFmtId="169" fontId="25" fillId="0" borderId="0" xfId="2" applyNumberFormat="1" applyFont="1" applyAlignment="1">
      <alignment horizontal="left" vertical="center"/>
    </xf>
    <xf numFmtId="0" fontId="25" fillId="0" borderId="0" xfId="0" applyFont="1" applyAlignment="1">
      <alignment horizontal="center" vertical="center"/>
    </xf>
    <xf numFmtId="169" fontId="25" fillId="0" borderId="0" xfId="2" applyNumberFormat="1" applyFont="1" applyFill="1" applyAlignment="1">
      <alignment horizontal="left" vertical="center"/>
    </xf>
    <xf numFmtId="0" fontId="32" fillId="0" borderId="2" xfId="0" applyFont="1" applyBorder="1" applyAlignment="1">
      <alignment horizontal="center" vertical="center"/>
    </xf>
    <xf numFmtId="0" fontId="32" fillId="0" borderId="2" xfId="0" applyFont="1" applyBorder="1" applyAlignment="1">
      <alignment horizontal="center" vertical="center" wrapText="1"/>
    </xf>
    <xf numFmtId="49" fontId="32" fillId="0" borderId="2" xfId="0" applyNumberFormat="1" applyFont="1" applyFill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25" fillId="0" borderId="0" xfId="0" applyFont="1" applyFill="1" applyAlignment="1">
      <alignment horizontal="center" vertical="center"/>
    </xf>
    <xf numFmtId="38" fontId="25" fillId="0" borderId="0" xfId="0" applyNumberFormat="1" applyFont="1" applyAlignment="1">
      <alignment horizontal="right" vertical="center"/>
    </xf>
    <xf numFmtId="0" fontId="25" fillId="0" borderId="0" xfId="0" applyFont="1" applyFill="1" applyAlignment="1">
      <alignment horizontal="left" vertical="center"/>
    </xf>
    <xf numFmtId="0" fontId="25" fillId="0" borderId="2" xfId="0" applyFont="1" applyBorder="1" applyAlignment="1">
      <alignment horizontal="center" vertical="center"/>
    </xf>
    <xf numFmtId="38" fontId="25" fillId="0" borderId="2" xfId="0" applyNumberFormat="1" applyFont="1" applyBorder="1" applyAlignment="1">
      <alignment horizontal="right" vertical="center"/>
    </xf>
    <xf numFmtId="0" fontId="32" fillId="0" borderId="0" xfId="0" applyFont="1" applyAlignment="1">
      <alignment horizontal="left" vertical="center"/>
    </xf>
    <xf numFmtId="38" fontId="25" fillId="0" borderId="0" xfId="0" applyNumberFormat="1" applyFont="1" applyAlignment="1">
      <alignment horizontal="left" vertical="center"/>
    </xf>
    <xf numFmtId="0" fontId="25" fillId="0" borderId="0" xfId="0" applyNumberFormat="1" applyFont="1" applyAlignment="1">
      <alignment horizontal="center" vertical="center"/>
    </xf>
    <xf numFmtId="0" fontId="20" fillId="0" borderId="0" xfId="0" applyFont="1" applyAlignment="1">
      <alignment vertical="center"/>
    </xf>
    <xf numFmtId="178" fontId="20" fillId="0" borderId="0" xfId="0" applyNumberFormat="1" applyFont="1" applyAlignment="1">
      <alignment vertical="center"/>
    </xf>
    <xf numFmtId="0" fontId="21" fillId="0" borderId="2" xfId="0" applyFont="1" applyBorder="1" applyAlignment="1">
      <alignment horizontal="center" vertical="center"/>
    </xf>
    <xf numFmtId="6" fontId="20" fillId="0" borderId="0" xfId="0" applyNumberFormat="1" applyFont="1" applyAlignment="1">
      <alignment vertical="center"/>
    </xf>
    <xf numFmtId="2" fontId="20" fillId="0" borderId="0" xfId="0" applyNumberFormat="1" applyFont="1" applyAlignment="1">
      <alignment vertical="center"/>
    </xf>
    <xf numFmtId="38" fontId="20" fillId="0" borderId="0" xfId="0" applyNumberFormat="1" applyFont="1" applyAlignment="1">
      <alignment vertical="center"/>
    </xf>
    <xf numFmtId="0" fontId="21" fillId="0" borderId="0" xfId="0" applyFont="1" applyAlignment="1">
      <alignment horizontal="center" vertical="center"/>
    </xf>
    <xf numFmtId="0" fontId="21" fillId="0" borderId="2" xfId="0" applyFont="1" applyBorder="1" applyAlignment="1">
      <alignment vertical="center"/>
    </xf>
    <xf numFmtId="0" fontId="20" fillId="0" borderId="2" xfId="0" applyFont="1" applyBorder="1" applyAlignment="1">
      <alignment vertical="center"/>
    </xf>
    <xf numFmtId="3" fontId="20" fillId="0" borderId="0" xfId="0" applyNumberFormat="1" applyFont="1" applyAlignment="1">
      <alignment vertical="center"/>
    </xf>
    <xf numFmtId="0" fontId="21" fillId="0" borderId="0" xfId="0" applyFont="1" applyAlignment="1">
      <alignment vertical="center"/>
    </xf>
    <xf numFmtId="0" fontId="20" fillId="0" borderId="0" xfId="0" applyFont="1" applyFill="1" applyBorder="1" applyAlignment="1">
      <alignment vertical="center"/>
    </xf>
    <xf numFmtId="166" fontId="20" fillId="0" borderId="0" xfId="0" applyNumberFormat="1" applyFont="1" applyAlignment="1">
      <alignment vertical="center"/>
    </xf>
    <xf numFmtId="38" fontId="20" fillId="0" borderId="0" xfId="3" applyNumberFormat="1" applyFont="1" applyFill="1" applyBorder="1" applyAlignment="1">
      <alignment vertical="center"/>
    </xf>
    <xf numFmtId="6" fontId="20" fillId="0" borderId="0" xfId="0" applyNumberFormat="1" applyFont="1" applyFill="1" applyBorder="1" applyAlignment="1">
      <alignment vertical="center"/>
    </xf>
    <xf numFmtId="0" fontId="21" fillId="0" borderId="0" xfId="0" applyFont="1" applyFill="1" applyBorder="1" applyAlignment="1">
      <alignment vertical="center"/>
    </xf>
    <xf numFmtId="6" fontId="21" fillId="0" borderId="0" xfId="2" applyNumberFormat="1" applyFont="1" applyAlignment="1">
      <alignment vertical="center"/>
    </xf>
    <xf numFmtId="168" fontId="20" fillId="0" borderId="0" xfId="1" applyNumberFormat="1" applyFont="1" applyAlignment="1">
      <alignment vertical="center"/>
    </xf>
    <xf numFmtId="0" fontId="16" fillId="0" borderId="13" xfId="0" applyFont="1" applyBorder="1" applyAlignment="1">
      <alignment vertical="center"/>
    </xf>
    <xf numFmtId="2" fontId="25" fillId="0" borderId="0" xfId="0" applyNumberFormat="1" applyFont="1" applyAlignment="1">
      <alignment horizontal="center" vertical="center"/>
    </xf>
    <xf numFmtId="178" fontId="25" fillId="0" borderId="0" xfId="2" applyNumberFormat="1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0" fillId="0" borderId="13" xfId="0" applyBorder="1"/>
    <xf numFmtId="0" fontId="4" fillId="0" borderId="13" xfId="0" applyFont="1" applyBorder="1" applyAlignment="1">
      <alignment horizontal="center"/>
    </xf>
    <xf numFmtId="0" fontId="38" fillId="0" borderId="13" xfId="0" applyFont="1" applyBorder="1" applyAlignment="1">
      <alignment vertical="center"/>
    </xf>
    <xf numFmtId="168" fontId="2" fillId="0" borderId="13" xfId="1" applyNumberFormat="1" applyFont="1" applyBorder="1" applyAlignment="1">
      <alignment horizontal="right"/>
    </xf>
    <xf numFmtId="3" fontId="2" fillId="0" borderId="13" xfId="0" applyNumberFormat="1" applyFont="1" applyBorder="1" applyAlignment="1">
      <alignment horizontal="right" vertical="center" wrapText="1"/>
    </xf>
    <xf numFmtId="168" fontId="15" fillId="0" borderId="0" xfId="0" applyNumberFormat="1" applyFont="1" applyAlignment="1">
      <alignment vertical="center"/>
    </xf>
    <xf numFmtId="43" fontId="15" fillId="0" borderId="0" xfId="0" applyNumberFormat="1" applyFont="1" applyAlignment="1">
      <alignment vertical="center"/>
    </xf>
    <xf numFmtId="0" fontId="31" fillId="0" borderId="0" xfId="0" applyNumberFormat="1" applyFont="1" applyAlignment="1">
      <alignment horizontal="center" vertical="center" wrapText="1"/>
    </xf>
    <xf numFmtId="0" fontId="16" fillId="0" borderId="0" xfId="0" applyFont="1" applyFill="1" applyBorder="1" applyAlignment="1">
      <alignment vertical="center"/>
    </xf>
    <xf numFmtId="8" fontId="17" fillId="0" borderId="0" xfId="3" applyNumberFormat="1" applyFont="1" applyFill="1" applyBorder="1" applyAlignment="1">
      <alignment horizontal="right" vertical="center"/>
    </xf>
    <xf numFmtId="165" fontId="15" fillId="0" borderId="0" xfId="0" applyNumberFormat="1" applyFont="1" applyFill="1" applyBorder="1" applyAlignment="1">
      <alignment horizontal="right" vertical="center"/>
    </xf>
    <xf numFmtId="0" fontId="17" fillId="0" borderId="0" xfId="0" applyFont="1" applyFill="1" applyBorder="1" applyAlignment="1">
      <alignment horizontal="center" vertical="center"/>
    </xf>
    <xf numFmtId="166" fontId="15" fillId="0" borderId="0" xfId="0" applyNumberFormat="1" applyFont="1" applyBorder="1" applyAlignment="1">
      <alignment vertical="center"/>
    </xf>
    <xf numFmtId="0" fontId="15" fillId="0" borderId="0" xfId="0" applyFont="1" applyFill="1" applyBorder="1" applyAlignment="1">
      <alignment horizontal="right" vertical="center"/>
    </xf>
    <xf numFmtId="0" fontId="15" fillId="0" borderId="0" xfId="0" applyFont="1" applyFill="1" applyBorder="1" applyAlignment="1">
      <alignment horizontal="center" vertical="center"/>
    </xf>
    <xf numFmtId="6" fontId="17" fillId="0" borderId="0" xfId="0" applyNumberFormat="1" applyFont="1" applyBorder="1" applyAlignment="1">
      <alignment horizontal="center" vertical="center"/>
    </xf>
    <xf numFmtId="6" fontId="17" fillId="0" borderId="0" xfId="0" applyNumberFormat="1" applyFont="1" applyBorder="1" applyAlignment="1">
      <alignment horizontal="left" vertical="center"/>
    </xf>
    <xf numFmtId="6" fontId="17" fillId="0" borderId="0" xfId="0" applyNumberFormat="1" applyFont="1" applyBorder="1" applyAlignment="1">
      <alignment vertical="center"/>
    </xf>
    <xf numFmtId="175" fontId="15" fillId="0" borderId="0" xfId="0" applyNumberFormat="1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2" fontId="15" fillId="0" borderId="0" xfId="0" applyNumberFormat="1" applyFont="1" applyBorder="1" applyAlignment="1">
      <alignment vertical="center"/>
    </xf>
    <xf numFmtId="0" fontId="4" fillId="0" borderId="0" xfId="0" applyFont="1"/>
    <xf numFmtId="0" fontId="23" fillId="0" borderId="55" xfId="0" applyFont="1" applyFill="1" applyBorder="1" applyAlignment="1">
      <alignment horizontal="left" vertical="top"/>
    </xf>
    <xf numFmtId="0" fontId="23" fillId="0" borderId="10" xfId="0" applyFont="1" applyBorder="1" applyAlignment="1">
      <alignment horizontal="left" vertical="top"/>
    </xf>
    <xf numFmtId="0" fontId="23" fillId="0" borderId="12" xfId="0" applyFont="1" applyBorder="1" applyAlignment="1">
      <alignment horizontal="left" vertical="top"/>
    </xf>
    <xf numFmtId="10" fontId="20" fillId="0" borderId="0" xfId="3" applyNumberFormat="1" applyFont="1" applyAlignment="1">
      <alignment vertical="center"/>
    </xf>
    <xf numFmtId="0" fontId="4" fillId="0" borderId="19" xfId="0" applyFont="1" applyBorder="1"/>
    <xf numFmtId="0" fontId="0" fillId="0" borderId="20" xfId="0" applyBorder="1"/>
    <xf numFmtId="0" fontId="4" fillId="0" borderId="21" xfId="0" applyFont="1" applyBorder="1"/>
    <xf numFmtId="0" fontId="4" fillId="0" borderId="22" xfId="0" applyFont="1" applyBorder="1"/>
    <xf numFmtId="0" fontId="39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4" fillId="0" borderId="23" xfId="0" applyFont="1" applyBorder="1"/>
    <xf numFmtId="0" fontId="40" fillId="0" borderId="0" xfId="0" applyFont="1" applyAlignment="1">
      <alignment horizontal="centerContinuous"/>
    </xf>
    <xf numFmtId="0" fontId="7" fillId="0" borderId="0" xfId="0" applyFont="1" applyAlignment="1">
      <alignment horizontal="left"/>
    </xf>
    <xf numFmtId="0" fontId="7" fillId="6" borderId="13" xfId="0" applyFont="1" applyFill="1" applyBorder="1" applyAlignment="1">
      <alignment horizontal="center"/>
    </xf>
    <xf numFmtId="0" fontId="7" fillId="6" borderId="24" xfId="0" applyFont="1" applyFill="1" applyBorder="1" applyAlignment="1">
      <alignment horizontal="center"/>
    </xf>
    <xf numFmtId="0" fontId="7" fillId="6" borderId="25" xfId="0" applyFont="1" applyFill="1" applyBorder="1" applyAlignment="1">
      <alignment horizontal="center"/>
    </xf>
    <xf numFmtId="0" fontId="7" fillId="6" borderId="26" xfId="0" applyFont="1" applyFill="1" applyBorder="1" applyAlignment="1">
      <alignment horizontal="center"/>
    </xf>
    <xf numFmtId="0" fontId="7" fillId="6" borderId="27" xfId="0" applyFont="1" applyFill="1" applyBorder="1" applyAlignment="1">
      <alignment horizontal="center"/>
    </xf>
    <xf numFmtId="0" fontId="7" fillId="6" borderId="28" xfId="0" applyFont="1" applyFill="1" applyBorder="1" applyAlignment="1">
      <alignment horizontal="center"/>
    </xf>
    <xf numFmtId="0" fontId="40" fillId="0" borderId="29" xfId="0" applyFont="1" applyBorder="1" applyAlignment="1">
      <alignment horizontal="center"/>
    </xf>
    <xf numFmtId="174" fontId="0" fillId="0" borderId="30" xfId="0" applyNumberFormat="1" applyBorder="1"/>
    <xf numFmtId="174" fontId="0" fillId="0" borderId="31" xfId="0" applyNumberFormat="1" applyBorder="1"/>
    <xf numFmtId="174" fontId="0" fillId="0" borderId="32" xfId="0" applyNumberFormat="1" applyBorder="1"/>
    <xf numFmtId="174" fontId="0" fillId="0" borderId="33" xfId="0" applyNumberFormat="1" applyBorder="1"/>
    <xf numFmtId="174" fontId="0" fillId="0" borderId="34" xfId="0" applyNumberFormat="1" applyBorder="1"/>
    <xf numFmtId="174" fontId="0" fillId="0" borderId="35" xfId="0" applyNumberFormat="1" applyBorder="1"/>
    <xf numFmtId="174" fontId="0" fillId="0" borderId="36" xfId="0" applyNumberFormat="1" applyBorder="1"/>
    <xf numFmtId="174" fontId="0" fillId="0" borderId="37" xfId="0" applyNumberFormat="1" applyBorder="1"/>
    <xf numFmtId="174" fontId="0" fillId="0" borderId="38" xfId="0" applyNumberFormat="1" applyBorder="1"/>
    <xf numFmtId="0" fontId="40" fillId="0" borderId="29" xfId="0" applyFont="1" applyBorder="1"/>
    <xf numFmtId="0" fontId="40" fillId="0" borderId="14" xfId="0" applyFont="1" applyBorder="1" applyAlignment="1">
      <alignment horizontal="center"/>
    </xf>
    <xf numFmtId="174" fontId="0" fillId="0" borderId="39" xfId="0" applyNumberFormat="1" applyBorder="1"/>
    <xf numFmtId="174" fontId="0" fillId="0" borderId="40" xfId="0" applyNumberFormat="1" applyBorder="1"/>
    <xf numFmtId="174" fontId="0" fillId="0" borderId="41" xfId="0" applyNumberFormat="1" applyBorder="1"/>
    <xf numFmtId="174" fontId="0" fillId="0" borderId="42" xfId="0" applyNumberFormat="1" applyBorder="1"/>
    <xf numFmtId="174" fontId="0" fillId="0" borderId="43" xfId="0" applyNumberFormat="1" applyBorder="1"/>
    <xf numFmtId="0" fontId="4" fillId="0" borderId="44" xfId="0" applyFont="1" applyBorder="1"/>
    <xf numFmtId="0" fontId="0" fillId="0" borderId="45" xfId="0" applyBorder="1"/>
    <xf numFmtId="0" fontId="4" fillId="0" borderId="46" xfId="0" applyFont="1" applyBorder="1"/>
    <xf numFmtId="0" fontId="41" fillId="0" borderId="0" xfId="0" applyFont="1"/>
    <xf numFmtId="0" fontId="20" fillId="2" borderId="17" xfId="0" applyNumberFormat="1" applyFont="1" applyFill="1" applyBorder="1" applyAlignment="1">
      <alignment horizontal="center"/>
    </xf>
    <xf numFmtId="173" fontId="17" fillId="0" borderId="0" xfId="3" applyNumberFormat="1" applyFont="1" applyAlignment="1">
      <alignment horizontal="left" vertical="center"/>
    </xf>
    <xf numFmtId="1" fontId="15" fillId="0" borderId="0" xfId="0" applyNumberFormat="1" applyFont="1" applyBorder="1" applyAlignment="1">
      <alignment horizontal="right" vertical="center"/>
    </xf>
    <xf numFmtId="0" fontId="15" fillId="7" borderId="0" xfId="0" applyFont="1" applyFill="1" applyAlignment="1">
      <alignment vertical="center"/>
    </xf>
    <xf numFmtId="0" fontId="16" fillId="7" borderId="0" xfId="0" applyFont="1" applyFill="1" applyBorder="1" applyAlignment="1">
      <alignment vertical="center"/>
    </xf>
    <xf numFmtId="0" fontId="15" fillId="7" borderId="0" xfId="0" applyFont="1" applyFill="1" applyBorder="1" applyAlignment="1">
      <alignment vertical="center"/>
    </xf>
    <xf numFmtId="8" fontId="17" fillId="7" borderId="0" xfId="3" applyNumberFormat="1" applyFont="1" applyFill="1" applyBorder="1" applyAlignment="1">
      <alignment horizontal="right" vertical="center"/>
    </xf>
    <xf numFmtId="0" fontId="15" fillId="7" borderId="0" xfId="0" applyFont="1" applyFill="1" applyBorder="1" applyAlignment="1">
      <alignment horizontal="right" vertical="center"/>
    </xf>
    <xf numFmtId="0" fontId="27" fillId="7" borderId="0" xfId="0" applyFont="1" applyFill="1" applyBorder="1" applyAlignment="1">
      <alignment vertical="center"/>
    </xf>
    <xf numFmtId="0" fontId="15" fillId="7" borderId="1" xfId="0" applyFont="1" applyFill="1" applyBorder="1" applyAlignment="1">
      <alignment vertical="center"/>
    </xf>
    <xf numFmtId="6" fontId="30" fillId="0" borderId="0" xfId="0" applyNumberFormat="1" applyFont="1" applyBorder="1" applyAlignment="1">
      <alignment horizontal="left" vertical="center"/>
    </xf>
    <xf numFmtId="0" fontId="30" fillId="0" borderId="0" xfId="0" applyFont="1" applyFill="1" applyBorder="1" applyAlignment="1">
      <alignment vertical="center"/>
    </xf>
    <xf numFmtId="0" fontId="30" fillId="0" borderId="0" xfId="0" applyFont="1" applyAlignment="1">
      <alignment vertical="center"/>
    </xf>
    <xf numFmtId="0" fontId="30" fillId="0" borderId="0" xfId="0" applyFont="1" applyFill="1" applyAlignment="1">
      <alignment vertical="center"/>
    </xf>
    <xf numFmtId="6" fontId="30" fillId="0" borderId="0" xfId="0" applyNumberFormat="1" applyFont="1" applyAlignment="1">
      <alignment horizontal="left" vertical="center"/>
    </xf>
    <xf numFmtId="171" fontId="27" fillId="0" borderId="0" xfId="3" applyNumberFormat="1" applyFont="1" applyFill="1" applyBorder="1" applyAlignment="1">
      <alignment horizontal="right" vertical="center"/>
    </xf>
    <xf numFmtId="167" fontId="19" fillId="0" borderId="0" xfId="0" applyNumberFormat="1" applyFont="1" applyFill="1" applyAlignment="1">
      <alignment vertical="center"/>
    </xf>
    <xf numFmtId="165" fontId="19" fillId="0" borderId="0" xfId="0" applyNumberFormat="1" applyFont="1" applyFill="1" applyAlignment="1">
      <alignment vertical="center"/>
    </xf>
    <xf numFmtId="0" fontId="2" fillId="0" borderId="0" xfId="0" applyFont="1" applyAlignment="1">
      <alignment vertical="center"/>
    </xf>
    <xf numFmtId="170" fontId="17" fillId="0" borderId="0" xfId="0" applyNumberFormat="1" applyFont="1" applyFill="1" applyBorder="1" applyAlignment="1">
      <alignment vertical="center"/>
    </xf>
    <xf numFmtId="3" fontId="17" fillId="0" borderId="13" xfId="0" applyNumberFormat="1" applyFont="1" applyFill="1" applyBorder="1" applyAlignment="1">
      <alignment vertical="center"/>
    </xf>
    <xf numFmtId="164" fontId="17" fillId="0" borderId="13" xfId="3" applyNumberFormat="1" applyFont="1" applyFill="1" applyBorder="1" applyAlignment="1">
      <alignment vertical="center"/>
    </xf>
    <xf numFmtId="175" fontId="15" fillId="7" borderId="0" xfId="0" quotePrefix="1" applyNumberFormat="1" applyFont="1" applyFill="1" applyBorder="1" applyAlignment="1">
      <alignment vertical="center"/>
    </xf>
    <xf numFmtId="176" fontId="15" fillId="7" borderId="0" xfId="0" applyNumberFormat="1" applyFont="1" applyFill="1" applyAlignment="1">
      <alignment vertical="center"/>
    </xf>
    <xf numFmtId="17" fontId="15" fillId="0" borderId="0" xfId="0" quotePrefix="1" applyNumberFormat="1" applyFont="1" applyAlignment="1">
      <alignment horizontal="right" vertical="center"/>
    </xf>
    <xf numFmtId="177" fontId="19" fillId="0" borderId="0" xfId="0" applyNumberFormat="1" applyFont="1" applyFill="1" applyAlignment="1">
      <alignment vertical="center"/>
    </xf>
    <xf numFmtId="177" fontId="15" fillId="0" borderId="0" xfId="0" applyNumberFormat="1" applyFont="1" applyFill="1" applyAlignment="1">
      <alignment vertical="center"/>
    </xf>
    <xf numFmtId="165" fontId="19" fillId="0" borderId="58" xfId="0" applyNumberFormat="1" applyFont="1" applyFill="1" applyBorder="1" applyAlignment="1">
      <alignment vertical="center"/>
    </xf>
    <xf numFmtId="0" fontId="16" fillId="8" borderId="0" xfId="0" applyFont="1" applyFill="1" applyBorder="1" applyAlignment="1">
      <alignment horizontal="center" vertical="center" wrapText="1"/>
    </xf>
    <xf numFmtId="6" fontId="15" fillId="8" borderId="0" xfId="0" applyNumberFormat="1" applyFont="1" applyFill="1" applyBorder="1" applyAlignment="1">
      <alignment horizontal="right" vertical="center"/>
    </xf>
    <xf numFmtId="9" fontId="20" fillId="2" borderId="2" xfId="0" applyNumberFormat="1" applyFont="1" applyFill="1" applyBorder="1"/>
    <xf numFmtId="3" fontId="28" fillId="0" borderId="13" xfId="0" applyNumberFormat="1" applyFont="1" applyFill="1" applyBorder="1" applyAlignment="1">
      <alignment horizontal="center"/>
    </xf>
    <xf numFmtId="179" fontId="28" fillId="0" borderId="13" xfId="0" applyNumberFormat="1" applyFont="1" applyFill="1" applyBorder="1" applyAlignment="1">
      <alignment horizontal="center"/>
    </xf>
    <xf numFmtId="0" fontId="29" fillId="9" borderId="0" xfId="0" applyFont="1" applyFill="1" applyAlignment="1">
      <alignment horizontal="right" vertical="center"/>
    </xf>
    <xf numFmtId="178" fontId="16" fillId="9" borderId="0" xfId="2" applyNumberFormat="1" applyFont="1" applyFill="1" applyAlignment="1">
      <alignment horizontal="right" vertical="center"/>
    </xf>
    <xf numFmtId="2" fontId="16" fillId="9" borderId="0" xfId="0" applyNumberFormat="1" applyFont="1" applyFill="1" applyAlignment="1">
      <alignment horizontal="center" vertical="center"/>
    </xf>
    <xf numFmtId="0" fontId="15" fillId="0" borderId="0" xfId="0" applyFont="1" applyAlignment="1">
      <alignment horizontal="left" vertical="top"/>
    </xf>
    <xf numFmtId="0" fontId="17" fillId="0" borderId="0" xfId="0" applyFont="1" applyBorder="1" applyAlignment="1">
      <alignment horizontal="left" vertical="center"/>
    </xf>
    <xf numFmtId="164" fontId="17" fillId="0" borderId="0" xfId="3" applyNumberFormat="1" applyFont="1" applyFill="1" applyBorder="1" applyAlignment="1">
      <alignment horizontal="right" vertical="center"/>
    </xf>
    <xf numFmtId="164" fontId="17" fillId="0" borderId="0" xfId="3" applyNumberFormat="1" applyFont="1" applyBorder="1" applyAlignment="1">
      <alignment horizontal="right" vertical="center"/>
    </xf>
    <xf numFmtId="1" fontId="17" fillId="0" borderId="0" xfId="0" applyNumberFormat="1" applyFont="1" applyBorder="1" applyAlignment="1">
      <alignment horizontal="right" vertical="center"/>
    </xf>
    <xf numFmtId="0" fontId="17" fillId="0" borderId="0" xfId="0" applyFont="1" applyBorder="1" applyAlignment="1">
      <alignment horizontal="right" vertical="center"/>
    </xf>
    <xf numFmtId="0" fontId="17" fillId="0" borderId="0" xfId="0" applyFont="1" applyBorder="1" applyAlignment="1">
      <alignment vertical="center"/>
    </xf>
    <xf numFmtId="165" fontId="15" fillId="0" borderId="0" xfId="0" applyNumberFormat="1" applyFont="1" applyBorder="1" applyAlignment="1">
      <alignment vertical="center"/>
    </xf>
    <xf numFmtId="1" fontId="17" fillId="0" borderId="0" xfId="0" applyNumberFormat="1" applyFont="1" applyBorder="1" applyAlignment="1">
      <alignment horizontal="left" vertical="center"/>
    </xf>
    <xf numFmtId="0" fontId="27" fillId="0" borderId="0" xfId="0" applyFont="1" applyFill="1" applyBorder="1" applyAlignment="1">
      <alignment horizontal="center" vertical="center"/>
    </xf>
    <xf numFmtId="176" fontId="19" fillId="0" borderId="0" xfId="0" applyNumberFormat="1" applyFont="1" applyFill="1" applyBorder="1" applyAlignment="1">
      <alignment vertical="center"/>
    </xf>
    <xf numFmtId="167" fontId="19" fillId="0" borderId="0" xfId="0" applyNumberFormat="1" applyFont="1" applyFill="1" applyBorder="1" applyAlignment="1">
      <alignment vertical="center"/>
    </xf>
    <xf numFmtId="165" fontId="19" fillId="0" borderId="0" xfId="0" applyNumberFormat="1" applyFont="1" applyFill="1" applyBorder="1" applyAlignment="1">
      <alignment vertical="center"/>
    </xf>
    <xf numFmtId="166" fontId="2" fillId="0" borderId="13" xfId="0" applyNumberFormat="1" applyFont="1" applyBorder="1" applyAlignment="1">
      <alignment horizontal="right" vertical="center" wrapText="1"/>
    </xf>
    <xf numFmtId="3" fontId="15" fillId="0" borderId="13" xfId="0" applyNumberFormat="1" applyFont="1" applyBorder="1" applyAlignment="1">
      <alignment horizontal="right"/>
    </xf>
    <xf numFmtId="168" fontId="15" fillId="0" borderId="13" xfId="1" applyNumberFormat="1" applyFont="1" applyBorder="1" applyAlignment="1">
      <alignment horizontal="right"/>
    </xf>
    <xf numFmtId="0" fontId="38" fillId="0" borderId="13" xfId="0" applyFont="1" applyBorder="1" applyAlignment="1">
      <alignment vertical="center" wrapText="1"/>
    </xf>
    <xf numFmtId="43" fontId="20" fillId="0" borderId="0" xfId="0" applyNumberFormat="1" applyFont="1"/>
    <xf numFmtId="0" fontId="7" fillId="0" borderId="0" xfId="0" applyFont="1"/>
    <xf numFmtId="1" fontId="0" fillId="0" borderId="0" xfId="0" applyNumberFormat="1"/>
    <xf numFmtId="168" fontId="15" fillId="0" borderId="0" xfId="1" applyNumberFormat="1" applyFont="1"/>
    <xf numFmtId="168" fontId="15" fillId="0" borderId="0" xfId="0" applyNumberFormat="1" applyFont="1"/>
    <xf numFmtId="2" fontId="0" fillId="0" borderId="0" xfId="0" applyNumberFormat="1"/>
    <xf numFmtId="172" fontId="20" fillId="0" borderId="17" xfId="0" applyNumberFormat="1" applyFont="1" applyFill="1" applyBorder="1"/>
    <xf numFmtId="2" fontId="15" fillId="0" borderId="0" xfId="0" applyNumberFormat="1" applyFont="1" applyAlignment="1">
      <alignment vertical="center"/>
    </xf>
    <xf numFmtId="0" fontId="15" fillId="0" borderId="13" xfId="0" applyFont="1" applyBorder="1" applyAlignment="1">
      <alignment horizontal="center" vertical="center"/>
    </xf>
    <xf numFmtId="2" fontId="15" fillId="0" borderId="13" xfId="0" applyNumberFormat="1" applyFont="1" applyBorder="1" applyAlignment="1">
      <alignment horizontal="center" vertical="center"/>
    </xf>
    <xf numFmtId="43" fontId="15" fillId="0" borderId="0" xfId="0" applyNumberFormat="1" applyFont="1" applyAlignment="1">
      <alignment vertical="center" wrapText="1"/>
    </xf>
    <xf numFmtId="0" fontId="29" fillId="0" borderId="2" xfId="0" applyFont="1" applyBorder="1" applyAlignment="1">
      <alignment horizontal="center"/>
    </xf>
    <xf numFmtId="1" fontId="2" fillId="0" borderId="13" xfId="0" applyNumberFormat="1" applyFont="1" applyBorder="1" applyAlignment="1">
      <alignment horizontal="right" vertical="center" wrapText="1"/>
    </xf>
    <xf numFmtId="3" fontId="15" fillId="0" borderId="13" xfId="1" applyNumberFormat="1" applyFont="1" applyBorder="1" applyAlignment="1">
      <alignment horizontal="center" vertical="center" wrapText="1"/>
    </xf>
    <xf numFmtId="3" fontId="15" fillId="0" borderId="13" xfId="1" applyNumberFormat="1" applyFont="1" applyBorder="1" applyAlignment="1">
      <alignment vertical="center" wrapText="1"/>
    </xf>
    <xf numFmtId="3" fontId="15" fillId="0" borderId="13" xfId="0" applyNumberFormat="1" applyFont="1" applyBorder="1" applyAlignment="1">
      <alignment vertical="center"/>
    </xf>
    <xf numFmtId="0" fontId="15" fillId="0" borderId="13" xfId="0" applyFont="1" applyBorder="1" applyAlignment="1">
      <alignment vertical="center"/>
    </xf>
    <xf numFmtId="168" fontId="22" fillId="0" borderId="0" xfId="1" applyNumberFormat="1" applyFont="1" applyAlignment="1">
      <alignment horizontal="right" vertical="top"/>
    </xf>
    <xf numFmtId="168" fontId="23" fillId="0" borderId="55" xfId="0" applyNumberFormat="1" applyFont="1" applyFill="1" applyBorder="1" applyAlignment="1">
      <alignment horizontal="right" vertical="top"/>
    </xf>
    <xf numFmtId="168" fontId="16" fillId="0" borderId="0" xfId="0" applyNumberFormat="1" applyFont="1" applyBorder="1" applyAlignment="1">
      <alignment horizontal="right" vertical="center"/>
    </xf>
    <xf numFmtId="2" fontId="15" fillId="0" borderId="0" xfId="0" applyNumberFormat="1" applyFont="1" applyAlignment="1">
      <alignment horizontal="center" vertical="center"/>
    </xf>
    <xf numFmtId="2" fontId="15" fillId="0" borderId="0" xfId="3" applyNumberFormat="1" applyFont="1" applyAlignment="1">
      <alignment horizontal="center" vertical="center"/>
    </xf>
    <xf numFmtId="0" fontId="38" fillId="0" borderId="0" xfId="0" applyFont="1"/>
    <xf numFmtId="0" fontId="47" fillId="0" borderId="0" xfId="0" applyFont="1"/>
    <xf numFmtId="0" fontId="31" fillId="0" borderId="13" xfId="0" applyFont="1" applyBorder="1" applyAlignment="1">
      <alignment vertical="center"/>
    </xf>
    <xf numFmtId="0" fontId="31" fillId="0" borderId="13" xfId="0" applyFont="1" applyBorder="1" applyAlignment="1">
      <alignment vertical="center" wrapText="1"/>
    </xf>
    <xf numFmtId="10" fontId="31" fillId="0" borderId="13" xfId="0" applyNumberFormat="1" applyFont="1" applyBorder="1" applyAlignment="1">
      <alignment vertical="center" wrapText="1"/>
    </xf>
    <xf numFmtId="0" fontId="47" fillId="0" borderId="13" xfId="0" applyFont="1" applyBorder="1" applyAlignment="1">
      <alignment vertical="center"/>
    </xf>
    <xf numFmtId="0" fontId="47" fillId="0" borderId="13" xfId="0" applyFont="1" applyBorder="1" applyAlignment="1">
      <alignment vertical="center" wrapText="1"/>
    </xf>
    <xf numFmtId="10" fontId="47" fillId="0" borderId="13" xfId="0" applyNumberFormat="1" applyFont="1" applyBorder="1" applyAlignment="1">
      <alignment vertical="center" wrapText="1"/>
    </xf>
    <xf numFmtId="0" fontId="47" fillId="0" borderId="1" xfId="0" applyFont="1" applyBorder="1" applyAlignment="1"/>
    <xf numFmtId="166" fontId="31" fillId="0" borderId="13" xfId="0" applyNumberFormat="1" applyFont="1" applyBorder="1" applyAlignment="1">
      <alignment vertical="center" wrapText="1"/>
    </xf>
    <xf numFmtId="9" fontId="47" fillId="0" borderId="13" xfId="3" applyFont="1" applyBorder="1" applyAlignment="1">
      <alignment vertical="center" wrapText="1"/>
    </xf>
    <xf numFmtId="168" fontId="15" fillId="7" borderId="0" xfId="1" applyNumberFormat="1" applyFont="1" applyFill="1" applyAlignment="1">
      <alignment vertical="center"/>
    </xf>
    <xf numFmtId="178" fontId="3" fillId="0" borderId="0" xfId="0" applyNumberFormat="1" applyFont="1" applyFill="1" applyAlignment="1">
      <alignment horizontal="right" vertical="center" wrapText="1"/>
    </xf>
    <xf numFmtId="0" fontId="48" fillId="0" borderId="0" xfId="0" applyFont="1" applyAlignment="1">
      <alignment vertical="center"/>
    </xf>
    <xf numFmtId="0" fontId="48" fillId="0" borderId="0" xfId="0" applyFont="1" applyAlignment="1">
      <alignment horizontal="left" vertical="center" indent="1"/>
    </xf>
    <xf numFmtId="0" fontId="48" fillId="0" borderId="0" xfId="0" applyFont="1" applyAlignment="1">
      <alignment horizontal="left" vertical="center" indent="2"/>
    </xf>
    <xf numFmtId="0" fontId="48" fillId="0" borderId="0" xfId="0" applyFont="1" applyAlignment="1">
      <alignment horizontal="left" vertical="center" indent="3"/>
    </xf>
    <xf numFmtId="0" fontId="48" fillId="0" borderId="0" xfId="0" applyFont="1" applyAlignment="1">
      <alignment horizontal="left" vertical="center" indent="12"/>
    </xf>
    <xf numFmtId="2" fontId="16" fillId="0" borderId="0" xfId="0" applyNumberFormat="1" applyFont="1" applyFill="1" applyAlignment="1">
      <alignment horizontal="center" vertical="center"/>
    </xf>
    <xf numFmtId="0" fontId="17" fillId="0" borderId="13" xfId="0" applyFont="1" applyFill="1" applyBorder="1" applyAlignment="1">
      <alignment vertical="center"/>
    </xf>
    <xf numFmtId="168" fontId="2" fillId="0" borderId="13" xfId="1" applyNumberFormat="1" applyFont="1" applyBorder="1" applyAlignment="1">
      <alignment horizontal="right" vertical="center" wrapText="1"/>
    </xf>
    <xf numFmtId="168" fontId="15" fillId="0" borderId="13" xfId="1" applyNumberFormat="1" applyFont="1" applyBorder="1" applyAlignment="1">
      <alignment vertical="center"/>
    </xf>
    <xf numFmtId="168" fontId="15" fillId="0" borderId="13" xfId="1" applyNumberFormat="1" applyFont="1" applyBorder="1" applyAlignment="1">
      <alignment vertical="center" wrapText="1"/>
    </xf>
    <xf numFmtId="0" fontId="23" fillId="0" borderId="0" xfId="0" applyFont="1" applyAlignment="1">
      <alignment horizontal="center"/>
    </xf>
    <xf numFmtId="0" fontId="20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29" fillId="0" borderId="60" xfId="0" applyFont="1" applyBorder="1" applyAlignment="1">
      <alignment horizontal="right" vertical="center" wrapText="1"/>
    </xf>
    <xf numFmtId="0" fontId="15" fillId="0" borderId="0" xfId="0" applyFont="1" applyAlignment="1">
      <alignment horizontal="left"/>
    </xf>
    <xf numFmtId="168" fontId="15" fillId="0" borderId="0" xfId="1" applyNumberFormat="1" applyFont="1" applyAlignment="1">
      <alignment horizontal="center"/>
    </xf>
    <xf numFmtId="0" fontId="15" fillId="0" borderId="13" xfId="0" applyFont="1" applyBorder="1"/>
    <xf numFmtId="0" fontId="15" fillId="0" borderId="13" xfId="0" applyFont="1" applyBorder="1" applyAlignment="1">
      <alignment horizontal="center"/>
    </xf>
    <xf numFmtId="0" fontId="15" fillId="0" borderId="13" xfId="0" applyFont="1" applyBorder="1" applyAlignment="1">
      <alignment horizontal="left"/>
    </xf>
    <xf numFmtId="43" fontId="15" fillId="0" borderId="13" xfId="0" applyNumberFormat="1" applyFont="1" applyBorder="1"/>
    <xf numFmtId="0" fontId="29" fillId="0" borderId="13" xfId="0" applyFont="1" applyBorder="1" applyAlignment="1">
      <alignment horizontal="center"/>
    </xf>
    <xf numFmtId="166" fontId="15" fillId="0" borderId="0" xfId="0" applyNumberFormat="1" applyFont="1" applyAlignment="1">
      <alignment horizontal="center"/>
    </xf>
    <xf numFmtId="0" fontId="16" fillId="0" borderId="0" xfId="0" applyFont="1" applyAlignment="1">
      <alignment horizontal="left"/>
    </xf>
    <xf numFmtId="2" fontId="16" fillId="0" borderId="0" xfId="0" applyNumberFormat="1" applyFont="1" applyAlignment="1">
      <alignment horizontal="center"/>
    </xf>
    <xf numFmtId="0" fontId="15" fillId="0" borderId="0" xfId="0" applyFont="1" applyAlignment="1">
      <alignment horizontal="right"/>
    </xf>
    <xf numFmtId="0" fontId="16" fillId="0" borderId="0" xfId="0" applyFont="1" applyAlignment="1">
      <alignment horizontal="right"/>
    </xf>
    <xf numFmtId="0" fontId="30" fillId="0" borderId="0" xfId="0" applyFont="1" applyAlignment="1">
      <alignment horizontal="left"/>
    </xf>
    <xf numFmtId="0" fontId="30" fillId="0" borderId="0" xfId="0" applyFont="1"/>
    <xf numFmtId="2" fontId="15" fillId="0" borderId="13" xfId="0" applyNumberFormat="1" applyFont="1" applyBorder="1" applyAlignment="1">
      <alignment horizontal="center"/>
    </xf>
    <xf numFmtId="44" fontId="25" fillId="0" borderId="0" xfId="0" applyNumberFormat="1" applyFont="1" applyAlignment="1">
      <alignment horizontal="left" vertical="center"/>
    </xf>
    <xf numFmtId="0" fontId="29" fillId="0" borderId="0" xfId="0" applyFont="1" applyAlignment="1">
      <alignment vertical="center" wrapText="1"/>
    </xf>
    <xf numFmtId="0" fontId="0" fillId="0" borderId="13" xfId="2" applyNumberFormat="1" applyFont="1" applyFill="1" applyBorder="1"/>
    <xf numFmtId="167" fontId="0" fillId="0" borderId="13" xfId="0" applyNumberFormat="1" applyFill="1" applyBorder="1"/>
    <xf numFmtId="0" fontId="0" fillId="7" borderId="13" xfId="2" applyNumberFormat="1" applyFont="1" applyFill="1" applyBorder="1" applyAlignment="1">
      <alignment horizontal="center"/>
    </xf>
    <xf numFmtId="167" fontId="0" fillId="7" borderId="13" xfId="0" applyNumberFormat="1" applyFill="1" applyBorder="1" applyAlignment="1">
      <alignment horizontal="right"/>
    </xf>
    <xf numFmtId="6" fontId="23" fillId="0" borderId="0" xfId="0" applyNumberFormat="1" applyFont="1" applyBorder="1" applyAlignment="1">
      <alignment horizontal="right" vertical="top" indent="1"/>
    </xf>
    <xf numFmtId="6" fontId="23" fillId="0" borderId="0" xfId="0" applyNumberFormat="1" applyFont="1" applyFill="1" applyBorder="1" applyAlignment="1">
      <alignment horizontal="right" vertical="top" indent="1"/>
    </xf>
    <xf numFmtId="6" fontId="22" fillId="0" borderId="0" xfId="0" applyNumberFormat="1" applyFont="1" applyFill="1" applyBorder="1" applyAlignment="1">
      <alignment horizontal="right" vertical="top" indent="1"/>
    </xf>
    <xf numFmtId="40" fontId="22" fillId="0" borderId="0" xfId="0" applyNumberFormat="1" applyFont="1" applyBorder="1" applyAlignment="1">
      <alignment horizontal="right" vertical="top" indent="1"/>
    </xf>
    <xf numFmtId="0" fontId="23" fillId="0" borderId="10" xfId="0" applyNumberFormat="1" applyFont="1" applyFill="1" applyBorder="1" applyAlignment="1">
      <alignment horizontal="right" vertical="top" indent="1"/>
    </xf>
    <xf numFmtId="0" fontId="15" fillId="0" borderId="0" xfId="0" applyFont="1" applyBorder="1" applyAlignment="1">
      <alignment horizontal="center" vertical="center"/>
    </xf>
    <xf numFmtId="0" fontId="23" fillId="0" borderId="8" xfId="0" applyFont="1" applyFill="1" applyBorder="1" applyAlignment="1">
      <alignment horizontal="left" vertical="top"/>
    </xf>
    <xf numFmtId="0" fontId="22" fillId="0" borderId="8" xfId="0" applyFont="1" applyFill="1" applyBorder="1" applyAlignment="1">
      <alignment horizontal="left" vertical="top"/>
    </xf>
    <xf numFmtId="0" fontId="23" fillId="0" borderId="11" xfId="0" applyFont="1" applyFill="1" applyBorder="1" applyAlignment="1">
      <alignment horizontal="left" vertical="top"/>
    </xf>
    <xf numFmtId="0" fontId="22" fillId="0" borderId="61" xfId="0" applyFont="1" applyFill="1" applyBorder="1" applyAlignment="1">
      <alignment horizontal="center" vertical="top"/>
    </xf>
    <xf numFmtId="0" fontId="25" fillId="0" borderId="0" xfId="0" applyFont="1" applyBorder="1" applyAlignment="1">
      <alignment horizontal="center" vertical="center"/>
    </xf>
    <xf numFmtId="168" fontId="29" fillId="0" borderId="60" xfId="1" applyNumberFormat="1" applyFont="1" applyBorder="1" applyAlignment="1">
      <alignment horizontal="right" vertical="center" wrapText="1"/>
    </xf>
    <xf numFmtId="178" fontId="15" fillId="0" borderId="0" xfId="0" applyNumberFormat="1" applyFont="1" applyFill="1" applyAlignment="1">
      <alignment vertical="center"/>
    </xf>
    <xf numFmtId="178" fontId="3" fillId="12" borderId="0" xfId="0" applyNumberFormat="1" applyFont="1" applyFill="1" applyAlignment="1">
      <alignment horizontal="right" vertical="center" wrapText="1"/>
    </xf>
    <xf numFmtId="178" fontId="15" fillId="12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6" fontId="23" fillId="0" borderId="0" xfId="0" applyNumberFormat="1" applyFont="1" applyFill="1" applyAlignment="1">
      <alignment horizontal="left" vertical="top"/>
    </xf>
    <xf numFmtId="0" fontId="29" fillId="0" borderId="13" xfId="0" applyFont="1" applyBorder="1" applyAlignment="1">
      <alignment vertical="center"/>
    </xf>
    <xf numFmtId="0" fontId="50" fillId="13" borderId="13" xfId="0" applyFont="1" applyFill="1" applyBorder="1" applyAlignment="1">
      <alignment vertical="center"/>
    </xf>
    <xf numFmtId="0" fontId="50" fillId="13" borderId="13" xfId="0" applyFont="1" applyFill="1" applyBorder="1"/>
    <xf numFmtId="167" fontId="29" fillId="0" borderId="13" xfId="0" applyNumberFormat="1" applyFont="1" applyBorder="1" applyAlignment="1">
      <alignment horizontal="right" vertical="center"/>
    </xf>
    <xf numFmtId="164" fontId="1" fillId="0" borderId="13" xfId="0" applyNumberFormat="1" applyFont="1" applyBorder="1" applyAlignment="1">
      <alignment horizontal="center" vertical="center"/>
    </xf>
    <xf numFmtId="0" fontId="25" fillId="0" borderId="13" xfId="0" applyFont="1" applyBorder="1" applyAlignment="1">
      <alignment vertical="center"/>
    </xf>
    <xf numFmtId="167" fontId="25" fillId="0" borderId="13" xfId="1" applyNumberFormat="1" applyFont="1" applyBorder="1" applyAlignment="1">
      <alignment horizontal="right" vertical="center"/>
    </xf>
    <xf numFmtId="167" fontId="25" fillId="0" borderId="13" xfId="0" applyNumberFormat="1" applyFont="1" applyBorder="1" applyAlignment="1">
      <alignment horizontal="right" vertical="center"/>
    </xf>
    <xf numFmtId="167" fontId="51" fillId="0" borderId="13" xfId="1" applyNumberFormat="1" applyFont="1" applyBorder="1" applyAlignment="1">
      <alignment horizontal="right" vertical="center"/>
    </xf>
    <xf numFmtId="167" fontId="25" fillId="0" borderId="13" xfId="0" applyNumberFormat="1" applyFont="1" applyBorder="1" applyAlignment="1">
      <alignment horizontal="center" vertical="center"/>
    </xf>
    <xf numFmtId="10" fontId="25" fillId="10" borderId="13" xfId="0" applyNumberFormat="1" applyFont="1" applyFill="1" applyBorder="1" applyAlignment="1">
      <alignment horizontal="center" vertical="center"/>
    </xf>
    <xf numFmtId="4" fontId="29" fillId="13" borderId="13" xfId="0" applyNumberFormat="1" applyFont="1" applyFill="1" applyBorder="1" applyAlignment="1">
      <alignment horizontal="right" vertical="center"/>
    </xf>
    <xf numFmtId="167" fontId="29" fillId="13" borderId="13" xfId="0" applyNumberFormat="1" applyFont="1" applyFill="1" applyBorder="1" applyAlignment="1">
      <alignment horizontal="right" vertical="center"/>
    </xf>
    <xf numFmtId="167" fontId="29" fillId="0" borderId="13" xfId="0" applyNumberFormat="1" applyFont="1" applyBorder="1" applyAlignment="1">
      <alignment vertical="center"/>
    </xf>
    <xf numFmtId="4" fontId="29" fillId="13" borderId="13" xfId="0" applyNumberFormat="1" applyFont="1" applyFill="1" applyBorder="1" applyAlignment="1">
      <alignment vertical="center"/>
    </xf>
    <xf numFmtId="167" fontId="29" fillId="13" borderId="13" xfId="0" applyNumberFormat="1" applyFont="1" applyFill="1" applyBorder="1" applyAlignment="1">
      <alignment vertical="center"/>
    </xf>
    <xf numFmtId="0" fontId="16" fillId="0" borderId="0" xfId="0" applyFont="1" applyAlignment="1">
      <alignment horizontal="center"/>
    </xf>
    <xf numFmtId="0" fontId="16" fillId="8" borderId="13" xfId="0" applyFont="1" applyFill="1" applyBorder="1" applyAlignment="1">
      <alignment horizontal="left"/>
    </xf>
    <xf numFmtId="0" fontId="29" fillId="8" borderId="0" xfId="0" applyFont="1" applyFill="1" applyAlignment="1">
      <alignment horizontal="left"/>
    </xf>
    <xf numFmtId="0" fontId="16" fillId="8" borderId="0" xfId="0" applyFont="1" applyFill="1"/>
    <xf numFmtId="0" fontId="16" fillId="14" borderId="13" xfId="0" applyFont="1" applyFill="1" applyBorder="1" applyAlignment="1">
      <alignment horizontal="left"/>
    </xf>
    <xf numFmtId="0" fontId="29" fillId="14" borderId="13" xfId="0" applyFont="1" applyFill="1" applyBorder="1" applyAlignment="1">
      <alignment horizontal="center"/>
    </xf>
    <xf numFmtId="0" fontId="29" fillId="0" borderId="0" xfId="0" applyFont="1" applyAlignment="1">
      <alignment horizontal="center" vertical="center" wrapText="1"/>
    </xf>
    <xf numFmtId="168" fontId="16" fillId="0" borderId="13" xfId="0" applyNumberFormat="1" applyFont="1" applyBorder="1" applyAlignment="1">
      <alignment vertical="center"/>
    </xf>
    <xf numFmtId="167" fontId="0" fillId="0" borderId="13" xfId="2" applyNumberFormat="1" applyFont="1" applyFill="1" applyBorder="1"/>
    <xf numFmtId="181" fontId="0" fillId="0" borderId="13" xfId="1" applyNumberFormat="1" applyFont="1" applyFill="1" applyBorder="1" applyAlignment="1">
      <alignment horizontal="center"/>
    </xf>
    <xf numFmtId="177" fontId="19" fillId="0" borderId="58" xfId="0" applyNumberFormat="1" applyFont="1" applyFill="1" applyBorder="1" applyAlignment="1">
      <alignment vertical="center"/>
    </xf>
    <xf numFmtId="164" fontId="29" fillId="0" borderId="13" xfId="0" applyNumberFormat="1" applyFont="1" applyBorder="1" applyAlignment="1">
      <alignment horizontal="center" vertical="center"/>
    </xf>
    <xf numFmtId="180" fontId="19" fillId="0" borderId="0" xfId="0" applyNumberFormat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29" fillId="0" borderId="57" xfId="0" applyFont="1" applyBorder="1" applyAlignment="1">
      <alignment horizontal="center"/>
    </xf>
    <xf numFmtId="0" fontId="29" fillId="0" borderId="2" xfId="0" applyFont="1" applyBorder="1" applyAlignment="1">
      <alignment horizontal="center"/>
    </xf>
    <xf numFmtId="0" fontId="29" fillId="0" borderId="56" xfId="0" applyFont="1" applyBorder="1" applyAlignment="1">
      <alignment horizontal="center"/>
    </xf>
    <xf numFmtId="0" fontId="16" fillId="0" borderId="1" xfId="0" applyFont="1" applyBorder="1" applyAlignment="1">
      <alignment horizontal="center" vertical="center"/>
    </xf>
    <xf numFmtId="0" fontId="16" fillId="7" borderId="0" xfId="0" applyFont="1" applyFill="1" applyBorder="1" applyAlignment="1">
      <alignment horizontal="center" vertical="center"/>
    </xf>
    <xf numFmtId="0" fontId="29" fillId="11" borderId="13" xfId="0" applyFont="1" applyFill="1" applyBorder="1" applyAlignment="1">
      <alignment horizontal="center" vertical="center" wrapText="1"/>
    </xf>
    <xf numFmtId="49" fontId="16" fillId="7" borderId="1" xfId="0" applyNumberFormat="1" applyFont="1" applyFill="1" applyBorder="1" applyAlignment="1">
      <alignment horizontal="center" vertical="center"/>
    </xf>
    <xf numFmtId="49" fontId="16" fillId="7" borderId="0" xfId="0" applyNumberFormat="1" applyFont="1" applyFill="1" applyBorder="1" applyAlignment="1">
      <alignment horizontal="center" vertical="center"/>
    </xf>
    <xf numFmtId="0" fontId="29" fillId="11" borderId="13" xfId="0" applyFont="1" applyFill="1" applyBorder="1" applyAlignment="1">
      <alignment horizontal="center" vertical="center"/>
    </xf>
    <xf numFmtId="49" fontId="16" fillId="9" borderId="0" xfId="0" applyNumberFormat="1" applyFont="1" applyFill="1" applyBorder="1" applyAlignment="1">
      <alignment horizontal="right" vertical="center"/>
    </xf>
    <xf numFmtId="49" fontId="16" fillId="0" borderId="0" xfId="0" applyNumberFormat="1" applyFont="1" applyBorder="1" applyAlignment="1">
      <alignment horizontal="right" vertical="center"/>
    </xf>
    <xf numFmtId="49" fontId="16" fillId="8" borderId="0" xfId="0" applyNumberFormat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right" vertical="center"/>
    </xf>
    <xf numFmtId="0" fontId="16" fillId="14" borderId="13" xfId="0" applyFont="1" applyFill="1" applyBorder="1" applyAlignment="1">
      <alignment horizontal="center" vertical="center" wrapText="1"/>
    </xf>
    <xf numFmtId="0" fontId="15" fillId="10" borderId="13" xfId="0" applyFont="1" applyFill="1" applyBorder="1" applyAlignment="1">
      <alignment horizontal="center" vertical="center"/>
    </xf>
    <xf numFmtId="0" fontId="15" fillId="10" borderId="13" xfId="0" applyFont="1" applyFill="1" applyBorder="1" applyAlignment="1">
      <alignment horizontal="center" vertical="center" wrapText="1"/>
    </xf>
    <xf numFmtId="1" fontId="21" fillId="2" borderId="1" xfId="0" applyNumberFormat="1" applyFont="1" applyFill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16" fillId="0" borderId="13" xfId="0" applyFont="1" applyBorder="1" applyAlignment="1">
      <alignment horizontal="center" vertical="center" wrapText="1"/>
    </xf>
    <xf numFmtId="0" fontId="16" fillId="0" borderId="59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57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56" xfId="0" applyFont="1" applyBorder="1" applyAlignment="1">
      <alignment horizontal="center" vertical="center" wrapText="1"/>
    </xf>
    <xf numFmtId="0" fontId="47" fillId="0" borderId="1" xfId="0" applyFont="1" applyBorder="1" applyAlignment="1">
      <alignment horizontal="center"/>
    </xf>
  </cellXfs>
  <cellStyles count="6">
    <cellStyle name="Comma" xfId="1" builtinId="3"/>
    <cellStyle name="Comma 2" xfId="4" xr:uid="{00000000-0005-0000-0000-000001000000}"/>
    <cellStyle name="Currency" xfId="2" builtinId="4"/>
    <cellStyle name="Normal" xfId="0" builtinId="0"/>
    <cellStyle name="Normal 2" xfId="5" xr:uid="{A6853F82-AB1A-4322-A924-B4DA86191A3E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20</xdr:col>
      <xdr:colOff>463910</xdr:colOff>
      <xdr:row>19</xdr:row>
      <xdr:rowOff>69616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E2721B1-346A-4EF0-9EC5-A0E10B19B5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05600" y="0"/>
          <a:ext cx="5950310" cy="3925336"/>
        </a:xfrm>
        <a:prstGeom prst="rect">
          <a:avLst/>
        </a:prstGeom>
      </xdr:spPr>
    </xdr:pic>
    <xdr:clientData/>
  </xdr:twoCellAnchor>
  <xdr:twoCellAnchor editAs="oneCell">
    <xdr:from>
      <xdr:col>11</xdr:col>
      <xdr:colOff>1</xdr:colOff>
      <xdr:row>20</xdr:row>
      <xdr:rowOff>99910</xdr:rowOff>
    </xdr:from>
    <xdr:to>
      <xdr:col>20</xdr:col>
      <xdr:colOff>441960</xdr:colOff>
      <xdr:row>39</xdr:row>
      <xdr:rowOff>152400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B4D8220-1774-4998-AA32-DF89DF73FA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05601" y="4153750"/>
          <a:ext cx="5928359" cy="3908210"/>
        </a:xfrm>
        <a:prstGeom prst="rect">
          <a:avLst/>
        </a:prstGeom>
      </xdr:spPr>
    </xdr:pic>
    <xdr:clientData/>
  </xdr:twoCellAnchor>
  <xdr:twoCellAnchor editAs="oneCell">
    <xdr:from>
      <xdr:col>0</xdr:col>
      <xdr:colOff>129540</xdr:colOff>
      <xdr:row>42</xdr:row>
      <xdr:rowOff>144780</xdr:rowOff>
    </xdr:from>
    <xdr:to>
      <xdr:col>19</xdr:col>
      <xdr:colOff>61426</xdr:colOff>
      <xdr:row>61</xdr:row>
      <xdr:rowOff>54858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7478957-D77B-47BF-80BC-5C20CE8853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9540" y="8648700"/>
          <a:ext cx="11514286" cy="309523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63</xdr:row>
      <xdr:rowOff>0</xdr:rowOff>
    </xdr:from>
    <xdr:to>
      <xdr:col>16</xdr:col>
      <xdr:colOff>446400</xdr:colOff>
      <xdr:row>102</xdr:row>
      <xdr:rowOff>100135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CAEEEE7-CC9A-4126-89DE-04D7FE0BDB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12024360"/>
          <a:ext cx="10200000" cy="663809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7620</xdr:rowOff>
    </xdr:from>
    <xdr:to>
      <xdr:col>18</xdr:col>
      <xdr:colOff>105295</xdr:colOff>
      <xdr:row>47</xdr:row>
      <xdr:rowOff>155331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96A717-9E10-4DFF-8557-1BB8C797EF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739140"/>
          <a:ext cx="11078095" cy="702857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ercules\Proj\Kurt's%20Files\Park%20East%20Corridor\Benefit-Cost%20Analysis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s"/>
      <sheetName val="Annual Calcs"/>
      <sheetName val="Costs"/>
      <sheetName val="NPV"/>
    </sheetNames>
    <sheetDataSet>
      <sheetData sheetId="0">
        <row r="28">
          <cell r="D28">
            <v>7.4221799199999978</v>
          </cell>
        </row>
        <row r="29">
          <cell r="D29">
            <v>22.231999999999999</v>
          </cell>
        </row>
        <row r="41">
          <cell r="E41">
            <v>89.973333333333528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S127"/>
  <sheetViews>
    <sheetView topLeftCell="A49" zoomScaleNormal="100" workbookViewId="0"/>
  </sheetViews>
  <sheetFormatPr defaultColWidth="9.140625" defaultRowHeight="15" x14ac:dyDescent="0.2"/>
  <cols>
    <col min="1" max="1" width="2" style="104" customWidth="1"/>
    <col min="2" max="2" width="42.5703125" style="104" customWidth="1"/>
    <col min="3" max="3" width="14" style="104" customWidth="1"/>
    <col min="4" max="4" width="16" style="104" customWidth="1"/>
    <col min="5" max="5" width="12.140625" style="104" customWidth="1"/>
    <col min="6" max="6" width="12.28515625" style="104" customWidth="1"/>
    <col min="7" max="7" width="14" style="104" customWidth="1"/>
    <col min="8" max="8" width="11.5703125" style="104" customWidth="1"/>
    <col min="9" max="9" width="9" style="104" customWidth="1"/>
    <col min="10" max="10" width="31.140625" style="104" customWidth="1"/>
    <col min="11" max="11" width="10.42578125" style="104" customWidth="1"/>
    <col min="12" max="12" width="9.140625" style="104" customWidth="1"/>
    <col min="13" max="13" width="13" style="104" customWidth="1"/>
    <col min="14" max="14" width="9.140625" style="104" customWidth="1"/>
    <col min="15" max="15" width="10" style="104" customWidth="1"/>
    <col min="16" max="16" width="12.7109375" style="104" customWidth="1"/>
    <col min="17" max="17" width="10.140625" style="104" customWidth="1"/>
    <col min="18" max="18" width="11" style="104" customWidth="1"/>
    <col min="19" max="19" width="13.28515625" style="104" customWidth="1"/>
    <col min="20" max="20" width="9.5703125" style="104" customWidth="1"/>
    <col min="21" max="21" width="11" style="104" customWidth="1"/>
    <col min="22" max="22" width="12.5703125" style="104" customWidth="1"/>
    <col min="23" max="23" width="15" style="104" customWidth="1"/>
    <col min="24" max="24" width="10.140625" style="104" customWidth="1"/>
    <col min="25" max="26" width="10.5703125" style="104" customWidth="1"/>
    <col min="27" max="33" width="11.5703125" style="104" customWidth="1"/>
    <col min="34" max="34" width="24.5703125" style="104" bestFit="1" customWidth="1"/>
    <col min="35" max="48" width="11.5703125" style="104" customWidth="1"/>
    <col min="49" max="60" width="10.5703125" style="104" bestFit="1" customWidth="1"/>
    <col min="61" max="16384" width="9.140625" style="104"/>
  </cols>
  <sheetData>
    <row r="1" spans="1:22" x14ac:dyDescent="0.2">
      <c r="A1" s="353" t="s">
        <v>71</v>
      </c>
      <c r="B1" s="354"/>
      <c r="C1" s="386" t="s">
        <v>404</v>
      </c>
      <c r="D1" s="212"/>
      <c r="E1" s="212"/>
      <c r="F1" s="212"/>
      <c r="G1" s="212"/>
      <c r="H1" s="212"/>
      <c r="I1" s="212"/>
      <c r="J1" s="212"/>
      <c r="K1" s="212"/>
      <c r="L1" s="212"/>
      <c r="M1" s="212"/>
    </row>
    <row r="2" spans="1:22" x14ac:dyDescent="0.2">
      <c r="A2" s="212"/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V2" s="182"/>
    </row>
    <row r="3" spans="1:22" x14ac:dyDescent="0.2">
      <c r="A3" s="353" t="s">
        <v>0</v>
      </c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V3" s="182"/>
    </row>
    <row r="4" spans="1:22" x14ac:dyDescent="0.2">
      <c r="A4" s="212" t="s">
        <v>38</v>
      </c>
      <c r="B4" s="212"/>
      <c r="C4" s="387">
        <v>7.0000000000000007E-2</v>
      </c>
      <c r="D4" s="212"/>
      <c r="E4" s="360" t="s">
        <v>274</v>
      </c>
      <c r="F4" s="212"/>
      <c r="G4" s="212"/>
      <c r="H4" s="212"/>
      <c r="I4" s="212"/>
      <c r="J4" s="212"/>
      <c r="K4" s="212"/>
      <c r="L4" s="212"/>
      <c r="M4" s="212"/>
    </row>
    <row r="5" spans="1:22" ht="18" x14ac:dyDescent="0.2">
      <c r="A5" s="212" t="s">
        <v>203</v>
      </c>
      <c r="B5" s="212"/>
      <c r="C5" s="387">
        <v>0.03</v>
      </c>
      <c r="D5" s="212"/>
      <c r="E5" s="360"/>
      <c r="F5" s="212"/>
      <c r="G5" s="212"/>
      <c r="H5" s="212"/>
      <c r="I5" s="212"/>
      <c r="J5" s="212"/>
      <c r="K5" s="212"/>
      <c r="L5" s="212"/>
      <c r="M5" s="212"/>
    </row>
    <row r="6" spans="1:22" x14ac:dyDescent="0.2">
      <c r="A6" s="212" t="s">
        <v>23</v>
      </c>
      <c r="B6" s="212"/>
      <c r="C6" s="387">
        <v>0</v>
      </c>
      <c r="D6" s="212"/>
      <c r="E6" s="190"/>
      <c r="F6" s="212"/>
      <c r="G6" s="212"/>
      <c r="H6" s="212"/>
      <c r="I6" s="212"/>
      <c r="J6" s="212"/>
      <c r="K6" s="212"/>
      <c r="L6" s="212"/>
      <c r="M6" s="212"/>
    </row>
    <row r="7" spans="1:22" x14ac:dyDescent="0.2">
      <c r="A7" s="212" t="s">
        <v>1</v>
      </c>
      <c r="B7" s="212"/>
      <c r="C7" s="388">
        <v>0</v>
      </c>
      <c r="D7" s="212"/>
      <c r="E7" s="190"/>
      <c r="F7" s="212"/>
      <c r="G7" s="212"/>
      <c r="H7" s="212"/>
      <c r="I7" s="212"/>
      <c r="J7" s="212"/>
      <c r="K7" s="212"/>
      <c r="L7" s="212"/>
      <c r="M7" s="212"/>
    </row>
    <row r="8" spans="1:22" x14ac:dyDescent="0.2">
      <c r="A8" s="212" t="s">
        <v>2</v>
      </c>
      <c r="B8" s="212"/>
      <c r="C8" s="389">
        <v>12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</row>
    <row r="9" spans="1:22" x14ac:dyDescent="0.2">
      <c r="A9" s="212" t="s">
        <v>41</v>
      </c>
      <c r="B9" s="212"/>
      <c r="C9" s="390">
        <v>2022</v>
      </c>
      <c r="D9" s="391"/>
      <c r="E9" s="212"/>
      <c r="F9" s="212"/>
      <c r="G9" s="212"/>
      <c r="H9" s="212"/>
      <c r="I9" s="212"/>
      <c r="J9" s="212"/>
      <c r="K9" s="212"/>
      <c r="L9" s="212"/>
      <c r="M9" s="212"/>
    </row>
    <row r="10" spans="1:22" x14ac:dyDescent="0.2">
      <c r="A10" s="212" t="s">
        <v>3</v>
      </c>
      <c r="B10" s="212"/>
      <c r="C10" s="389">
        <f>260+52</f>
        <v>312</v>
      </c>
      <c r="D10" s="212" t="s">
        <v>350</v>
      </c>
      <c r="E10" s="212"/>
      <c r="F10" s="392"/>
      <c r="G10" s="212"/>
      <c r="H10" s="212"/>
      <c r="I10" s="212"/>
      <c r="J10" s="212"/>
      <c r="K10" s="212"/>
      <c r="L10" s="212"/>
      <c r="M10" s="212"/>
    </row>
    <row r="11" spans="1:22" x14ac:dyDescent="0.2">
      <c r="A11" s="212" t="s">
        <v>204</v>
      </c>
      <c r="B11" s="212"/>
      <c r="C11" s="389">
        <v>20</v>
      </c>
      <c r="D11" s="393"/>
      <c r="E11" s="212"/>
      <c r="F11" s="392"/>
      <c r="G11" s="212"/>
      <c r="H11" s="212"/>
      <c r="I11" s="212"/>
      <c r="J11" s="212"/>
      <c r="K11" s="212"/>
      <c r="L11" s="212"/>
      <c r="M11" s="212"/>
    </row>
    <row r="12" spans="1:22" x14ac:dyDescent="0.2">
      <c r="A12" s="212" t="s">
        <v>205</v>
      </c>
      <c r="B12" s="212"/>
      <c r="C12" s="389"/>
      <c r="D12" s="212"/>
      <c r="E12" s="212"/>
      <c r="F12" s="392"/>
      <c r="G12" s="212"/>
      <c r="H12" s="212"/>
      <c r="I12" s="212"/>
      <c r="J12" s="212"/>
      <c r="K12" s="212"/>
      <c r="L12" s="212"/>
      <c r="M12" s="212"/>
    </row>
    <row r="13" spans="1:22" x14ac:dyDescent="0.2">
      <c r="A13" s="212"/>
      <c r="B13" s="212" t="s">
        <v>139</v>
      </c>
      <c r="C13" s="389">
        <v>50</v>
      </c>
      <c r="D13" s="212"/>
      <c r="E13" s="212"/>
      <c r="F13" s="392"/>
      <c r="G13" s="212"/>
      <c r="H13" s="212"/>
      <c r="I13" s="212"/>
      <c r="J13" s="212"/>
      <c r="K13" s="212"/>
      <c r="L13" s="212"/>
      <c r="M13" s="212"/>
    </row>
    <row r="14" spans="1:22" x14ac:dyDescent="0.2">
      <c r="A14" s="212"/>
      <c r="B14" s="212"/>
      <c r="C14" s="389"/>
      <c r="D14" s="212"/>
      <c r="E14" s="212"/>
      <c r="F14" s="392"/>
      <c r="G14" s="212"/>
      <c r="H14" s="212"/>
      <c r="I14" s="212"/>
      <c r="J14" s="212"/>
      <c r="K14" s="212"/>
      <c r="L14" s="212"/>
      <c r="M14" s="212"/>
    </row>
    <row r="15" spans="1:22" x14ac:dyDescent="0.2">
      <c r="A15" s="212"/>
      <c r="B15" s="212"/>
      <c r="C15" s="389"/>
      <c r="D15" s="394"/>
      <c r="E15" s="212"/>
      <c r="F15" s="392"/>
      <c r="G15" s="212"/>
      <c r="H15" s="212"/>
      <c r="I15" s="212"/>
      <c r="J15" s="212"/>
      <c r="K15" s="212"/>
      <c r="L15" s="212"/>
      <c r="M15" s="212"/>
    </row>
    <row r="16" spans="1:22" x14ac:dyDescent="0.2">
      <c r="A16" s="353" t="s">
        <v>187</v>
      </c>
      <c r="B16" s="354"/>
      <c r="C16" s="354"/>
      <c r="D16" s="354"/>
      <c r="E16" s="357"/>
      <c r="F16" s="354"/>
      <c r="G16" s="354"/>
      <c r="H16" s="354"/>
      <c r="I16" s="354"/>
      <c r="J16" s="354"/>
      <c r="K16" s="354"/>
      <c r="L16" s="354"/>
      <c r="M16" s="354"/>
    </row>
    <row r="17" spans="1:61" x14ac:dyDescent="0.2">
      <c r="A17" s="295"/>
      <c r="B17" s="190" t="s">
        <v>160</v>
      </c>
      <c r="C17" s="296"/>
      <c r="D17" s="190"/>
      <c r="E17" s="190"/>
      <c r="F17" s="212"/>
      <c r="G17" s="212"/>
      <c r="H17" s="212"/>
      <c r="I17" s="212"/>
      <c r="J17" s="212"/>
      <c r="K17" s="212"/>
      <c r="L17" s="212"/>
      <c r="M17" s="212"/>
    </row>
    <row r="18" spans="1:61" x14ac:dyDescent="0.2">
      <c r="A18" s="212" t="s">
        <v>430</v>
      </c>
      <c r="B18" s="212"/>
      <c r="C18" s="395">
        <v>2.91</v>
      </c>
      <c r="D18" s="212"/>
      <c r="E18" s="360" t="s">
        <v>245</v>
      </c>
      <c r="F18" s="212"/>
      <c r="G18" s="212"/>
      <c r="H18" s="212"/>
      <c r="I18" s="212"/>
      <c r="J18" s="212"/>
      <c r="K18" s="212"/>
      <c r="L18" s="212"/>
      <c r="M18" s="212"/>
      <c r="Z18" s="104" t="s">
        <v>4</v>
      </c>
    </row>
    <row r="19" spans="1:61" x14ac:dyDescent="0.2">
      <c r="A19" s="212" t="s">
        <v>431</v>
      </c>
      <c r="B19" s="212"/>
      <c r="C19" s="395">
        <v>2.9790000000000001</v>
      </c>
      <c r="D19" s="212"/>
      <c r="E19" s="360" t="s">
        <v>246</v>
      </c>
      <c r="F19" s="212"/>
      <c r="G19" s="212"/>
      <c r="H19" s="212"/>
      <c r="I19" s="212"/>
      <c r="J19" s="212"/>
      <c r="K19" s="212"/>
      <c r="L19" s="212"/>
      <c r="M19" s="212"/>
    </row>
    <row r="20" spans="1:61" x14ac:dyDescent="0.2">
      <c r="A20" s="212"/>
      <c r="B20" s="212"/>
      <c r="C20" s="364"/>
      <c r="D20" s="212"/>
      <c r="E20" s="190" t="s">
        <v>432</v>
      </c>
      <c r="F20" s="212"/>
      <c r="G20" s="212"/>
      <c r="H20" s="212"/>
      <c r="I20" s="212"/>
      <c r="J20" s="212"/>
      <c r="K20" s="212"/>
      <c r="L20" s="212"/>
      <c r="M20" s="212"/>
    </row>
    <row r="21" spans="1:61" x14ac:dyDescent="0.2">
      <c r="A21" s="295"/>
      <c r="B21" s="190"/>
      <c r="C21" s="296"/>
      <c r="D21" s="190"/>
      <c r="E21" s="190"/>
      <c r="F21" s="212"/>
      <c r="G21" s="212"/>
      <c r="H21" s="212"/>
      <c r="I21" s="212"/>
      <c r="J21" s="212"/>
      <c r="K21" s="212"/>
      <c r="L21" s="212"/>
      <c r="M21" s="212"/>
    </row>
    <row r="22" spans="1:61" x14ac:dyDescent="0.2">
      <c r="A22" s="353" t="s">
        <v>80</v>
      </c>
      <c r="B22" s="354"/>
      <c r="C22" s="355"/>
      <c r="D22" s="354"/>
      <c r="E22" s="354"/>
      <c r="F22" s="354"/>
      <c r="G22" s="354"/>
      <c r="H22" s="354"/>
      <c r="I22" s="354"/>
      <c r="J22" s="354"/>
      <c r="K22" s="354"/>
      <c r="L22" s="354"/>
      <c r="M22" s="354"/>
    </row>
    <row r="23" spans="1:61" x14ac:dyDescent="0.2">
      <c r="A23" s="295"/>
      <c r="B23" s="190" t="s">
        <v>147</v>
      </c>
      <c r="C23" s="296"/>
      <c r="D23" s="190"/>
      <c r="E23" s="360" t="s">
        <v>275</v>
      </c>
      <c r="F23" s="212"/>
      <c r="G23" s="212"/>
      <c r="H23" s="212"/>
      <c r="I23" s="212"/>
      <c r="J23" s="212"/>
      <c r="K23" s="212"/>
      <c r="L23" s="212"/>
      <c r="M23" s="212"/>
    </row>
    <row r="24" spans="1:61" x14ac:dyDescent="0.2">
      <c r="A24" s="212"/>
      <c r="B24" s="286" t="s">
        <v>239</v>
      </c>
      <c r="C24" s="351">
        <v>2020</v>
      </c>
      <c r="D24" s="212">
        <v>2024</v>
      </c>
      <c r="E24" s="212">
        <v>2025</v>
      </c>
      <c r="F24" s="212">
        <v>2026</v>
      </c>
      <c r="G24" s="212">
        <v>2027</v>
      </c>
      <c r="H24" s="212">
        <v>2028</v>
      </c>
      <c r="I24" s="212">
        <v>2029</v>
      </c>
      <c r="J24" s="212">
        <v>2030</v>
      </c>
      <c r="K24" s="212">
        <v>2031</v>
      </c>
      <c r="L24" s="212">
        <v>2032</v>
      </c>
      <c r="M24" s="212">
        <v>2033</v>
      </c>
      <c r="N24" s="104">
        <v>2034</v>
      </c>
      <c r="O24" s="104">
        <v>2035</v>
      </c>
      <c r="P24" s="104">
        <v>2036</v>
      </c>
      <c r="Q24" s="104">
        <v>2037</v>
      </c>
      <c r="R24" s="104">
        <v>2038</v>
      </c>
      <c r="S24" s="104">
        <v>2039</v>
      </c>
      <c r="T24" s="104">
        <v>2040</v>
      </c>
      <c r="U24" s="104">
        <v>2041</v>
      </c>
      <c r="V24" s="104">
        <v>2042</v>
      </c>
      <c r="W24" s="104">
        <v>2043</v>
      </c>
      <c r="X24" s="104">
        <v>2044</v>
      </c>
      <c r="Y24" s="104">
        <v>2045</v>
      </c>
      <c r="Z24" s="104">
        <v>2046</v>
      </c>
      <c r="AA24" s="104">
        <v>2047</v>
      </c>
      <c r="AB24" s="104">
        <v>2048</v>
      </c>
    </row>
    <row r="25" spans="1:61" x14ac:dyDescent="0.2">
      <c r="A25" s="212"/>
      <c r="B25" s="212" t="s">
        <v>191</v>
      </c>
      <c r="C25" s="396"/>
      <c r="D25" s="396">
        <v>16200</v>
      </c>
      <c r="E25" s="396">
        <v>16500</v>
      </c>
      <c r="F25" s="396">
        <v>16800</v>
      </c>
      <c r="G25" s="396">
        <v>17100</v>
      </c>
      <c r="H25" s="396">
        <v>17400</v>
      </c>
      <c r="I25" s="396">
        <v>17700</v>
      </c>
      <c r="J25" s="396">
        <v>18100</v>
      </c>
      <c r="K25" s="396">
        <v>18100</v>
      </c>
      <c r="L25" s="396">
        <v>18100</v>
      </c>
      <c r="M25" s="396">
        <v>18100</v>
      </c>
      <c r="N25" s="396">
        <v>18100</v>
      </c>
      <c r="O25" s="396">
        <v>18100</v>
      </c>
      <c r="P25" s="396">
        <v>18100</v>
      </c>
      <c r="Q25" s="396">
        <v>18100</v>
      </c>
      <c r="R25" s="396">
        <v>18100</v>
      </c>
      <c r="S25" s="396">
        <v>18100</v>
      </c>
      <c r="T25" s="396">
        <v>18100</v>
      </c>
      <c r="U25" s="396">
        <v>18100</v>
      </c>
      <c r="V25" s="396">
        <v>18100</v>
      </c>
      <c r="W25" s="396">
        <v>18100</v>
      </c>
      <c r="X25" s="396">
        <v>18100</v>
      </c>
      <c r="Y25" s="396">
        <v>18100</v>
      </c>
      <c r="Z25" s="396">
        <v>18100</v>
      </c>
      <c r="AA25" s="396">
        <v>18100</v>
      </c>
      <c r="AB25" s="396">
        <v>18100</v>
      </c>
    </row>
    <row r="26" spans="1:61" ht="18" x14ac:dyDescent="0.2">
      <c r="A26" s="212"/>
      <c r="B26" s="212" t="s">
        <v>218</v>
      </c>
      <c r="C26" s="396"/>
      <c r="D26" s="396">
        <v>788100</v>
      </c>
      <c r="E26" s="396">
        <v>801700</v>
      </c>
      <c r="F26" s="396">
        <v>814500</v>
      </c>
      <c r="G26" s="396">
        <v>827400</v>
      </c>
      <c r="H26" s="396">
        <v>840600</v>
      </c>
      <c r="I26" s="396">
        <v>854000</v>
      </c>
      <c r="J26" s="365">
        <v>867600</v>
      </c>
      <c r="K26" s="365">
        <v>867600</v>
      </c>
      <c r="L26" s="365">
        <v>867600</v>
      </c>
      <c r="M26" s="365">
        <v>867600</v>
      </c>
      <c r="N26" s="365">
        <v>867600</v>
      </c>
      <c r="O26" s="365">
        <v>867600</v>
      </c>
      <c r="P26" s="365">
        <v>867600</v>
      </c>
      <c r="Q26" s="365">
        <v>867600</v>
      </c>
      <c r="R26" s="365">
        <v>867600</v>
      </c>
      <c r="S26" s="365">
        <v>867600</v>
      </c>
      <c r="T26" s="365">
        <v>867600</v>
      </c>
      <c r="U26" s="365">
        <v>867600</v>
      </c>
      <c r="V26" s="365">
        <v>867600</v>
      </c>
      <c r="W26" s="365">
        <v>867600</v>
      </c>
      <c r="X26" s="365">
        <v>867600</v>
      </c>
      <c r="Y26" s="365">
        <v>867600</v>
      </c>
      <c r="Z26" s="365">
        <v>867600</v>
      </c>
      <c r="AA26" s="365">
        <v>867600</v>
      </c>
      <c r="AB26" s="365">
        <v>867600</v>
      </c>
    </row>
    <row r="27" spans="1:61" ht="18" x14ac:dyDescent="0.2">
      <c r="A27" s="212"/>
      <c r="B27" s="212" t="s">
        <v>219</v>
      </c>
      <c r="C27" s="396"/>
      <c r="D27" s="396">
        <v>44000</v>
      </c>
      <c r="E27" s="396">
        <v>44900</v>
      </c>
      <c r="F27" s="396">
        <v>45700</v>
      </c>
      <c r="G27" s="396">
        <v>46500</v>
      </c>
      <c r="H27" s="396">
        <v>47300</v>
      </c>
      <c r="I27" s="396">
        <v>48200</v>
      </c>
      <c r="J27" s="396">
        <v>49100</v>
      </c>
      <c r="K27" s="396">
        <v>49100</v>
      </c>
      <c r="L27" s="396">
        <v>49100</v>
      </c>
      <c r="M27" s="396">
        <v>49100</v>
      </c>
      <c r="N27" s="396">
        <v>49100</v>
      </c>
      <c r="O27" s="396">
        <v>49100</v>
      </c>
      <c r="P27" s="396">
        <v>49100</v>
      </c>
      <c r="Q27" s="396">
        <v>49100</v>
      </c>
      <c r="R27" s="396">
        <v>49100</v>
      </c>
      <c r="S27" s="396">
        <v>49100</v>
      </c>
      <c r="T27" s="396">
        <v>49100</v>
      </c>
      <c r="U27" s="396">
        <v>49100</v>
      </c>
      <c r="V27" s="396">
        <v>49100</v>
      </c>
      <c r="W27" s="396">
        <v>49100</v>
      </c>
      <c r="X27" s="396">
        <v>49100</v>
      </c>
      <c r="Y27" s="396">
        <v>49100</v>
      </c>
      <c r="Z27" s="396">
        <v>49100</v>
      </c>
      <c r="AA27" s="396">
        <v>49100</v>
      </c>
      <c r="AB27" s="396">
        <v>49100</v>
      </c>
    </row>
    <row r="28" spans="1:61" ht="18" x14ac:dyDescent="0.2">
      <c r="A28" s="212"/>
      <c r="B28" s="212" t="s">
        <v>220</v>
      </c>
      <c r="C28" s="396"/>
      <c r="D28" s="396">
        <v>55</v>
      </c>
      <c r="E28" s="396">
        <v>56</v>
      </c>
      <c r="F28" s="396">
        <v>57</v>
      </c>
      <c r="G28" s="396">
        <v>58</v>
      </c>
      <c r="H28" s="396">
        <v>60</v>
      </c>
      <c r="I28" s="396">
        <v>61</v>
      </c>
      <c r="J28" s="396">
        <v>62</v>
      </c>
      <c r="K28" s="396">
        <v>63</v>
      </c>
      <c r="L28" s="396">
        <v>64</v>
      </c>
      <c r="M28" s="396">
        <v>65</v>
      </c>
      <c r="N28" s="365">
        <v>66</v>
      </c>
      <c r="O28" s="365">
        <v>67</v>
      </c>
      <c r="P28" s="365">
        <v>69</v>
      </c>
      <c r="Q28" s="365">
        <v>70</v>
      </c>
      <c r="R28" s="365">
        <v>71</v>
      </c>
      <c r="S28" s="365">
        <v>72</v>
      </c>
      <c r="T28" s="365">
        <v>73</v>
      </c>
      <c r="U28" s="365">
        <v>74</v>
      </c>
      <c r="V28" s="365">
        <v>75</v>
      </c>
      <c r="W28" s="365">
        <v>77</v>
      </c>
      <c r="X28" s="365">
        <v>78</v>
      </c>
      <c r="Y28" s="365">
        <v>79</v>
      </c>
      <c r="Z28" s="365">
        <v>80</v>
      </c>
      <c r="AA28" s="365">
        <v>80</v>
      </c>
      <c r="AB28" s="365">
        <v>80</v>
      </c>
      <c r="AU28" s="177"/>
      <c r="AV28" s="177"/>
      <c r="AW28" s="177"/>
      <c r="AX28" s="177"/>
      <c r="AY28" s="177"/>
      <c r="AZ28" s="177"/>
      <c r="BA28" s="177"/>
      <c r="BB28" s="177"/>
      <c r="BC28" s="177"/>
      <c r="BD28" s="177"/>
      <c r="BE28" s="177"/>
      <c r="BF28" s="177"/>
      <c r="BG28" s="177"/>
      <c r="BH28" s="177"/>
      <c r="BI28" s="177"/>
    </row>
    <row r="29" spans="1:61" x14ac:dyDescent="0.2">
      <c r="A29" s="212"/>
      <c r="B29" s="212"/>
      <c r="C29" s="297"/>
      <c r="D29" s="298"/>
      <c r="E29" s="190"/>
      <c r="F29" s="299"/>
      <c r="G29" s="299"/>
      <c r="H29" s="299"/>
      <c r="I29" s="299"/>
      <c r="J29" s="299"/>
      <c r="K29" s="299"/>
      <c r="L29" s="212"/>
      <c r="M29" s="212"/>
      <c r="AO29" s="189"/>
      <c r="AP29" s="187"/>
      <c r="AQ29" s="187"/>
    </row>
    <row r="30" spans="1:61" x14ac:dyDescent="0.2">
      <c r="A30" s="212"/>
      <c r="B30" s="212"/>
      <c r="C30" s="297"/>
      <c r="D30" s="298"/>
      <c r="E30" s="190"/>
      <c r="F30" s="299"/>
      <c r="G30" s="299"/>
      <c r="H30" s="299"/>
      <c r="I30" s="299"/>
      <c r="J30" s="299"/>
      <c r="K30" s="299"/>
      <c r="L30" s="212"/>
      <c r="M30" s="212"/>
      <c r="AO30" s="189"/>
      <c r="AP30" s="187"/>
      <c r="AQ30" s="187"/>
    </row>
    <row r="31" spans="1:61" s="177" customFormat="1" x14ac:dyDescent="0.2">
      <c r="A31" s="353" t="s">
        <v>6</v>
      </c>
      <c r="B31" s="354"/>
      <c r="C31" s="354"/>
      <c r="D31" s="354"/>
      <c r="E31" s="354"/>
      <c r="F31" s="354"/>
      <c r="G31" s="354"/>
      <c r="H31" s="354"/>
      <c r="I31" s="354"/>
      <c r="J31" s="354"/>
      <c r="K31" s="354"/>
      <c r="L31" s="354"/>
      <c r="M31" s="354"/>
    </row>
    <row r="32" spans="1:61" s="177" customFormat="1" x14ac:dyDescent="0.2">
      <c r="A32" s="295"/>
      <c r="B32" s="190"/>
      <c r="C32" s="300" t="s">
        <v>238</v>
      </c>
      <c r="D32" s="301" t="s">
        <v>238</v>
      </c>
      <c r="E32" s="190"/>
      <c r="F32" s="190"/>
      <c r="G32" s="190"/>
      <c r="H32" s="190"/>
      <c r="I32" s="190"/>
      <c r="J32" s="190"/>
      <c r="K32" s="190"/>
      <c r="L32" s="190"/>
      <c r="M32" s="190"/>
    </row>
    <row r="33" spans="1:71" s="177" customFormat="1" x14ac:dyDescent="0.2">
      <c r="A33" s="190"/>
      <c r="B33" s="190" t="s">
        <v>177</v>
      </c>
      <c r="C33" s="397">
        <v>16.2</v>
      </c>
      <c r="D33" s="519">
        <f>(0.882*C33)+(0.118*C34)</f>
        <v>17.7576</v>
      </c>
      <c r="E33" s="359" t="s">
        <v>276</v>
      </c>
      <c r="F33" s="190"/>
      <c r="G33" s="190"/>
      <c r="H33" s="190"/>
      <c r="I33" s="297"/>
      <c r="J33" s="297"/>
      <c r="K33" s="297"/>
      <c r="L33" s="297"/>
      <c r="M33" s="297"/>
      <c r="N33" s="186"/>
      <c r="O33" s="186"/>
      <c r="X33" s="186"/>
      <c r="Y33" s="186"/>
      <c r="Z33" s="186"/>
      <c r="AA33" s="186"/>
      <c r="AB33" s="186"/>
      <c r="AC33" s="186"/>
      <c r="AD33" s="186"/>
      <c r="AE33" s="186"/>
      <c r="AF33" s="186"/>
      <c r="AG33" s="186"/>
      <c r="AH33" s="186"/>
      <c r="AI33" s="186"/>
      <c r="AJ33" s="186"/>
      <c r="AK33" s="186"/>
      <c r="AL33" s="186"/>
      <c r="AM33" s="186"/>
      <c r="AN33" s="186"/>
      <c r="AO33" s="186"/>
      <c r="AP33" s="186"/>
      <c r="AQ33" s="186"/>
      <c r="AR33" s="186"/>
      <c r="AS33" s="186"/>
      <c r="AT33" s="186"/>
      <c r="AU33" s="186"/>
      <c r="AV33" s="186"/>
      <c r="AW33" s="186"/>
      <c r="AX33" s="186"/>
      <c r="AY33" s="186"/>
      <c r="AZ33" s="186"/>
      <c r="BA33" s="186"/>
      <c r="BB33" s="186"/>
      <c r="BC33" s="186"/>
      <c r="BD33" s="186"/>
      <c r="BE33" s="186"/>
      <c r="BF33" s="186"/>
      <c r="BG33" s="186"/>
      <c r="BH33" s="186"/>
      <c r="BI33" s="186"/>
      <c r="BJ33" s="186"/>
      <c r="BK33" s="186"/>
      <c r="BL33" s="186"/>
      <c r="BM33" s="186"/>
      <c r="BN33" s="186"/>
      <c r="BO33" s="186"/>
      <c r="BP33" s="186"/>
      <c r="BQ33" s="186"/>
      <c r="BR33" s="186"/>
      <c r="BS33" s="186"/>
    </row>
    <row r="34" spans="1:71" s="177" customFormat="1" x14ac:dyDescent="0.2">
      <c r="A34" s="190"/>
      <c r="B34" s="190" t="s">
        <v>176</v>
      </c>
      <c r="C34" s="397">
        <v>29.4</v>
      </c>
      <c r="D34" s="519"/>
      <c r="E34" s="190"/>
      <c r="F34" s="190"/>
      <c r="G34" s="190"/>
      <c r="H34" s="190"/>
      <c r="I34" s="297"/>
      <c r="J34" s="297"/>
      <c r="K34" s="297"/>
      <c r="L34" s="297"/>
      <c r="M34" s="297"/>
      <c r="N34" s="186"/>
      <c r="O34" s="186"/>
      <c r="X34" s="186"/>
      <c r="Y34" s="186"/>
      <c r="Z34" s="186"/>
      <c r="AA34" s="186"/>
      <c r="AB34" s="186"/>
      <c r="AC34" s="186"/>
      <c r="AD34" s="186"/>
      <c r="AE34" s="186"/>
      <c r="AF34" s="186"/>
      <c r="AG34" s="186"/>
      <c r="AH34" s="186"/>
      <c r="AI34" s="186"/>
      <c r="AJ34" s="186"/>
      <c r="AK34" s="186"/>
      <c r="AL34" s="186"/>
      <c r="AM34" s="186"/>
      <c r="AN34" s="186"/>
      <c r="AO34" s="186"/>
      <c r="AP34" s="186"/>
      <c r="AQ34" s="186"/>
      <c r="AR34" s="186"/>
      <c r="AS34" s="186"/>
      <c r="AT34" s="186"/>
      <c r="AU34" s="186"/>
      <c r="AV34" s="186"/>
      <c r="AW34" s="186"/>
      <c r="AX34" s="186"/>
      <c r="AY34" s="186"/>
      <c r="AZ34" s="186"/>
      <c r="BA34" s="186"/>
      <c r="BB34" s="186"/>
      <c r="BC34" s="186"/>
      <c r="BD34" s="186"/>
      <c r="BE34" s="186"/>
      <c r="BF34" s="186"/>
      <c r="BG34" s="186"/>
      <c r="BH34" s="186"/>
      <c r="BI34" s="186"/>
      <c r="BJ34" s="186"/>
      <c r="BK34" s="186"/>
      <c r="BL34" s="186"/>
      <c r="BM34" s="186"/>
      <c r="BN34" s="186"/>
      <c r="BO34" s="186"/>
      <c r="BP34" s="186"/>
      <c r="BQ34" s="186"/>
      <c r="BR34" s="186"/>
      <c r="BS34" s="186"/>
    </row>
    <row r="35" spans="1:71" s="177" customFormat="1" x14ac:dyDescent="0.2">
      <c r="A35" s="190"/>
      <c r="B35" s="190" t="s">
        <v>108</v>
      </c>
      <c r="C35" s="397">
        <v>32</v>
      </c>
      <c r="D35" s="395"/>
      <c r="E35" s="190"/>
      <c r="F35" s="190"/>
      <c r="G35" s="190"/>
      <c r="H35" s="190"/>
      <c r="I35" s="297"/>
      <c r="J35" s="297"/>
      <c r="K35" s="297"/>
      <c r="L35" s="297"/>
      <c r="M35" s="297"/>
      <c r="N35" s="186"/>
      <c r="O35" s="186"/>
      <c r="X35" s="186"/>
      <c r="AG35" s="186"/>
      <c r="AH35" s="186"/>
      <c r="AI35" s="186"/>
      <c r="AJ35" s="186"/>
      <c r="AK35" s="186"/>
      <c r="AL35" s="186"/>
      <c r="AM35" s="186"/>
      <c r="AN35" s="186"/>
      <c r="AO35" s="186"/>
      <c r="AP35" s="186"/>
      <c r="AQ35" s="186"/>
      <c r="AR35" s="186"/>
      <c r="AS35" s="186"/>
      <c r="AT35" s="186"/>
      <c r="AU35" s="186"/>
      <c r="AV35" s="186"/>
      <c r="AW35" s="186"/>
      <c r="AX35" s="186"/>
      <c r="AY35" s="186"/>
      <c r="AZ35" s="186"/>
      <c r="BA35" s="186"/>
      <c r="BB35" s="186"/>
      <c r="BC35" s="186"/>
      <c r="BD35" s="186"/>
      <c r="BE35" s="186"/>
      <c r="BF35" s="186"/>
      <c r="BG35" s="186"/>
      <c r="BH35" s="186"/>
      <c r="BI35" s="186"/>
      <c r="BJ35" s="186"/>
      <c r="BK35" s="186"/>
      <c r="BL35" s="186"/>
      <c r="BM35" s="186"/>
      <c r="BN35" s="186"/>
      <c r="BO35" s="186"/>
      <c r="BP35" s="186"/>
      <c r="BQ35" s="186"/>
      <c r="BR35" s="186"/>
      <c r="BS35" s="186"/>
    </row>
    <row r="36" spans="1:71" x14ac:dyDescent="0.2">
      <c r="A36" s="212"/>
      <c r="B36" s="212" t="s">
        <v>178</v>
      </c>
      <c r="C36" s="397">
        <v>33.6</v>
      </c>
      <c r="D36" s="395"/>
      <c r="E36" s="212"/>
      <c r="F36" s="212"/>
      <c r="G36" s="212"/>
      <c r="H36" s="212"/>
      <c r="I36" s="212"/>
      <c r="J36" s="212"/>
      <c r="K36" s="212"/>
      <c r="L36" s="212"/>
      <c r="M36" s="212"/>
    </row>
    <row r="37" spans="1:71" x14ac:dyDescent="0.2">
      <c r="A37" s="212"/>
      <c r="B37" s="212"/>
      <c r="C37" s="302"/>
      <c r="D37" s="214"/>
      <c r="E37" s="212"/>
      <c r="F37" s="212"/>
      <c r="G37" s="212"/>
      <c r="H37" s="212"/>
      <c r="I37" s="212"/>
      <c r="J37" s="212"/>
      <c r="K37" s="212"/>
      <c r="L37" s="212"/>
      <c r="M37" s="212"/>
      <c r="AO37" s="189"/>
      <c r="AP37" s="187"/>
      <c r="AQ37" s="187"/>
    </row>
    <row r="38" spans="1:71" x14ac:dyDescent="0.2">
      <c r="A38" s="212"/>
      <c r="B38" s="212"/>
      <c r="C38" s="302"/>
      <c r="D38" s="214"/>
      <c r="E38" s="212"/>
      <c r="F38" s="212"/>
      <c r="G38" s="212"/>
      <c r="H38" s="212"/>
      <c r="I38" s="212"/>
      <c r="J38" s="212"/>
      <c r="K38" s="212"/>
      <c r="L38" s="212"/>
      <c r="M38" s="212"/>
    </row>
    <row r="39" spans="1:71" x14ac:dyDescent="0.2">
      <c r="A39" s="353" t="s">
        <v>82</v>
      </c>
      <c r="B39" s="354"/>
      <c r="C39" s="356"/>
      <c r="D39" s="354"/>
      <c r="E39" s="354"/>
      <c r="F39" s="354"/>
      <c r="G39" s="354"/>
      <c r="H39" s="354"/>
      <c r="I39" s="354"/>
      <c r="J39" s="354"/>
      <c r="K39" s="354"/>
      <c r="L39" s="354"/>
      <c r="M39" s="354"/>
      <c r="R39" s="182"/>
      <c r="AI39"/>
      <c r="AJ39"/>
      <c r="AK39"/>
    </row>
    <row r="40" spans="1:71" x14ac:dyDescent="0.2">
      <c r="A40" s="212"/>
      <c r="B40" s="212" t="s">
        <v>155</v>
      </c>
      <c r="C40" s="303" t="s">
        <v>237</v>
      </c>
      <c r="D40" s="214"/>
      <c r="E40" s="212"/>
      <c r="F40" s="212"/>
      <c r="G40" s="212"/>
      <c r="H40" s="212"/>
      <c r="I40" s="212"/>
      <c r="J40" s="212"/>
      <c r="K40" s="212"/>
      <c r="L40" s="212"/>
      <c r="M40" s="212"/>
      <c r="U40" s="106"/>
      <c r="Z40" s="403"/>
      <c r="AA40"/>
      <c r="AB40"/>
      <c r="AC40"/>
      <c r="AD40"/>
      <c r="AE40"/>
      <c r="AF40"/>
      <c r="AG40"/>
      <c r="AI40"/>
      <c r="AJ40"/>
      <c r="AK40" s="407"/>
    </row>
    <row r="41" spans="1:71" x14ac:dyDescent="0.25">
      <c r="A41" s="212"/>
      <c r="B41" s="190" t="s">
        <v>149</v>
      </c>
      <c r="C41" s="396">
        <v>3900</v>
      </c>
      <c r="D41" s="212"/>
      <c r="E41" s="359" t="s">
        <v>277</v>
      </c>
      <c r="F41" s="212"/>
      <c r="G41" s="212"/>
      <c r="H41" s="212"/>
      <c r="I41" s="212"/>
      <c r="J41" s="212"/>
      <c r="K41" s="212"/>
      <c r="L41" s="212"/>
      <c r="M41" s="212"/>
      <c r="O41" s="190"/>
      <c r="R41" s="405"/>
      <c r="S41" s="406"/>
      <c r="T41" s="293"/>
      <c r="V41" s="293"/>
      <c r="W41" s="293"/>
      <c r="X41" s="293"/>
      <c r="Z41" s="308"/>
      <c r="AA41"/>
      <c r="AB41"/>
      <c r="AC41"/>
      <c r="AD41"/>
      <c r="AE41"/>
      <c r="AF41"/>
      <c r="AG41"/>
      <c r="AI41"/>
      <c r="AJ41"/>
      <c r="AK41"/>
    </row>
    <row r="42" spans="1:71" x14ac:dyDescent="0.25">
      <c r="A42" s="212"/>
      <c r="B42" s="190" t="s">
        <v>150</v>
      </c>
      <c r="C42" s="396">
        <v>77200</v>
      </c>
      <c r="D42" s="214"/>
      <c r="E42" s="212"/>
      <c r="F42" s="212"/>
      <c r="G42" s="212"/>
      <c r="H42" s="212"/>
      <c r="I42" s="212"/>
      <c r="J42" s="212"/>
      <c r="K42" s="212"/>
      <c r="L42" s="212"/>
      <c r="M42" s="212"/>
      <c r="O42" s="190"/>
      <c r="R42" s="405"/>
      <c r="S42" s="406"/>
      <c r="T42" s="293"/>
      <c r="V42" s="293"/>
      <c r="W42" s="293"/>
      <c r="X42" s="293"/>
      <c r="Z42" s="308"/>
      <c r="AA42"/>
      <c r="AB42"/>
      <c r="AC42"/>
      <c r="AD42"/>
      <c r="AE42"/>
      <c r="AF42"/>
      <c r="AG42"/>
      <c r="AI42"/>
      <c r="AJ42"/>
      <c r="AK42"/>
    </row>
    <row r="43" spans="1:71" x14ac:dyDescent="0.25">
      <c r="A43" s="212"/>
      <c r="B43" s="190" t="s">
        <v>151</v>
      </c>
      <c r="C43" s="396">
        <v>151100</v>
      </c>
      <c r="D43" s="214"/>
      <c r="E43" s="212" t="s">
        <v>231</v>
      </c>
      <c r="F43" s="212"/>
      <c r="G43" s="212"/>
      <c r="H43" s="212"/>
      <c r="I43" s="212"/>
      <c r="J43" s="212"/>
      <c r="K43" s="212"/>
      <c r="L43" s="212"/>
      <c r="M43" s="212"/>
      <c r="O43" s="190"/>
      <c r="R43" s="405"/>
      <c r="S43" s="406"/>
      <c r="T43" s="293"/>
      <c r="V43" s="293"/>
      <c r="W43" s="293"/>
      <c r="X43" s="293"/>
      <c r="Z43"/>
      <c r="AA43"/>
      <c r="AB43"/>
      <c r="AC43"/>
      <c r="AD43"/>
      <c r="AE43"/>
      <c r="AF43"/>
      <c r="AG43"/>
      <c r="AI43"/>
      <c r="AJ43"/>
      <c r="AK43"/>
    </row>
    <row r="44" spans="1:71" x14ac:dyDescent="0.25">
      <c r="A44" s="212"/>
      <c r="B44" s="190" t="s">
        <v>152</v>
      </c>
      <c r="C44" s="396">
        <v>554800</v>
      </c>
      <c r="D44" s="214"/>
      <c r="E44" s="212"/>
      <c r="F44" s="212"/>
      <c r="G44" s="212"/>
      <c r="H44" s="212"/>
      <c r="I44" s="212"/>
      <c r="J44" s="212"/>
      <c r="K44" s="212"/>
      <c r="L44" s="212"/>
      <c r="M44" s="212"/>
      <c r="O44" s="190"/>
      <c r="R44" s="405"/>
      <c r="S44" s="406"/>
      <c r="T44" s="293"/>
      <c r="V44" s="293"/>
      <c r="W44" s="293"/>
      <c r="X44" s="293"/>
      <c r="Z44" s="403"/>
      <c r="AA44" s="404"/>
      <c r="AB44" s="404"/>
      <c r="AC44" s="404"/>
      <c r="AD44" s="404"/>
      <c r="AE44" s="404"/>
      <c r="AF44" s="404"/>
      <c r="AG44"/>
      <c r="AI44"/>
      <c r="AJ44"/>
      <c r="AK44"/>
    </row>
    <row r="45" spans="1:71" x14ac:dyDescent="0.25">
      <c r="A45" s="212"/>
      <c r="B45" s="190" t="s">
        <v>153</v>
      </c>
      <c r="C45" s="396">
        <v>11600000</v>
      </c>
      <c r="D45" s="214"/>
      <c r="E45" s="212"/>
      <c r="F45" s="212"/>
      <c r="G45" s="212"/>
      <c r="H45" s="212"/>
      <c r="I45" s="212"/>
      <c r="J45" s="212"/>
      <c r="K45" s="212"/>
      <c r="L45" s="212"/>
      <c r="M45" s="212"/>
      <c r="O45" s="190"/>
      <c r="R45" s="405"/>
      <c r="S45" s="406"/>
      <c r="T45" s="293"/>
      <c r="V45" s="293"/>
      <c r="W45" s="293"/>
      <c r="X45" s="293"/>
      <c r="Z45" s="308"/>
      <c r="AA45" s="404"/>
      <c r="AB45" s="404"/>
      <c r="AC45" s="404"/>
      <c r="AD45" s="404"/>
      <c r="AE45" s="404"/>
      <c r="AF45" s="404"/>
      <c r="AG45"/>
      <c r="AI45"/>
      <c r="AJ45"/>
      <c r="AK45" s="407"/>
    </row>
    <row r="46" spans="1:71" x14ac:dyDescent="0.25">
      <c r="A46" s="212"/>
      <c r="B46" s="190" t="s">
        <v>154</v>
      </c>
      <c r="C46" s="396">
        <v>210300</v>
      </c>
      <c r="D46" s="214"/>
      <c r="E46" s="212"/>
      <c r="F46" s="212"/>
      <c r="G46" s="212"/>
      <c r="H46" s="212"/>
      <c r="I46" s="212"/>
      <c r="J46" s="212"/>
      <c r="K46" s="212"/>
      <c r="L46" s="212"/>
      <c r="M46" s="212"/>
      <c r="O46" s="190"/>
      <c r="R46" s="405"/>
      <c r="S46" s="406"/>
      <c r="T46" s="293"/>
      <c r="V46" s="293"/>
      <c r="W46" s="293"/>
      <c r="X46" s="293"/>
      <c r="Z46" s="308"/>
      <c r="AA46"/>
      <c r="AB46"/>
      <c r="AC46"/>
      <c r="AD46"/>
      <c r="AE46"/>
      <c r="AF46"/>
    </row>
    <row r="47" spans="1:71" x14ac:dyDescent="0.2">
      <c r="A47" s="212"/>
      <c r="B47" s="212" t="s">
        <v>156</v>
      </c>
      <c r="C47" s="396">
        <v>159800</v>
      </c>
      <c r="D47" s="214"/>
      <c r="E47" s="212"/>
      <c r="F47" s="212"/>
      <c r="G47" s="212"/>
      <c r="H47" s="212"/>
      <c r="I47" s="212"/>
      <c r="J47" s="212"/>
      <c r="K47" s="212"/>
      <c r="L47" s="212"/>
      <c r="M47" s="212"/>
      <c r="O47" s="212"/>
      <c r="Y47"/>
      <c r="Z47"/>
      <c r="AA47"/>
      <c r="AB47"/>
      <c r="AC47"/>
      <c r="AD47"/>
      <c r="AE47"/>
      <c r="AF47"/>
      <c r="AK47" s="409"/>
    </row>
    <row r="48" spans="1:71" x14ac:dyDescent="0.2">
      <c r="A48" s="212"/>
      <c r="B48" s="212"/>
      <c r="C48" s="302"/>
      <c r="D48" s="214"/>
      <c r="E48" s="212"/>
      <c r="F48" s="212"/>
      <c r="G48" s="212"/>
      <c r="H48" s="212"/>
      <c r="I48" s="212"/>
      <c r="J48" s="212"/>
      <c r="K48" s="212"/>
      <c r="L48" s="212"/>
      <c r="M48" s="212"/>
      <c r="Y48" s="403"/>
      <c r="Z48"/>
      <c r="AA48" s="404"/>
      <c r="AB48" s="404"/>
      <c r="AC48" s="404"/>
      <c r="AD48" s="404"/>
      <c r="AE48" s="404"/>
      <c r="AF48" s="404"/>
    </row>
    <row r="49" spans="1:46" x14ac:dyDescent="0.2">
      <c r="A49" s="212"/>
      <c r="B49" s="212"/>
      <c r="C49" s="304"/>
      <c r="D49" s="212"/>
      <c r="E49" s="212"/>
      <c r="F49" s="212"/>
      <c r="G49" s="305"/>
      <c r="H49" s="212"/>
      <c r="I49" s="212"/>
      <c r="J49" s="212"/>
      <c r="K49" s="212"/>
      <c r="L49" s="212"/>
      <c r="M49" s="212"/>
      <c r="Y49" s="308"/>
      <c r="Z49" s="404"/>
      <c r="AA49" s="404"/>
      <c r="AB49" s="404"/>
      <c r="AC49" s="404"/>
      <c r="AD49" s="404"/>
      <c r="AE49" s="404"/>
      <c r="AF49" s="404"/>
    </row>
    <row r="50" spans="1:46" x14ac:dyDescent="0.2">
      <c r="A50" s="353" t="s">
        <v>426</v>
      </c>
      <c r="B50" s="354"/>
      <c r="C50" s="354"/>
      <c r="D50" s="354"/>
      <c r="E50" s="354"/>
      <c r="F50" s="354"/>
      <c r="G50" s="354"/>
      <c r="H50" s="354"/>
      <c r="I50" s="354"/>
      <c r="J50" s="525" t="s">
        <v>413</v>
      </c>
      <c r="K50" s="525"/>
      <c r="L50" s="525"/>
      <c r="M50" s="525"/>
      <c r="N50" s="525"/>
      <c r="O50" s="525"/>
      <c r="P50" s="525"/>
      <c r="Q50" s="525"/>
      <c r="R50" s="525"/>
      <c r="S50" s="525"/>
      <c r="T50" s="525"/>
      <c r="U50" s="525"/>
      <c r="V50" s="525"/>
      <c r="Y50" s="308"/>
      <c r="Z50" s="404"/>
      <c r="AO50" s="189"/>
      <c r="AP50" s="187"/>
      <c r="AQ50" s="187"/>
    </row>
    <row r="51" spans="1:46" x14ac:dyDescent="0.2">
      <c r="A51" s="295" t="s">
        <v>180</v>
      </c>
      <c r="B51" s="212"/>
      <c r="C51" s="368">
        <v>2025</v>
      </c>
      <c r="D51" s="212"/>
      <c r="E51" s="212"/>
      <c r="F51" s="212"/>
      <c r="G51" s="212"/>
      <c r="H51" s="212"/>
      <c r="I51" s="212"/>
      <c r="AR51" s="189"/>
      <c r="AS51" s="187"/>
      <c r="AT51" s="187"/>
    </row>
    <row r="52" spans="1:46" x14ac:dyDescent="0.2">
      <c r="A52" s="179" t="s">
        <v>381</v>
      </c>
      <c r="C52" s="368">
        <v>2028</v>
      </c>
      <c r="K52" s="524" t="s">
        <v>129</v>
      </c>
      <c r="L52" s="524"/>
      <c r="M52" s="524"/>
      <c r="N52" s="524" t="s">
        <v>29</v>
      </c>
      <c r="O52" s="524"/>
      <c r="P52" s="524"/>
      <c r="Q52" s="520" t="s">
        <v>129</v>
      </c>
      <c r="R52" s="520"/>
      <c r="S52" s="286"/>
      <c r="T52" s="520" t="s">
        <v>29</v>
      </c>
      <c r="U52" s="520"/>
    </row>
    <row r="53" spans="1:46" x14ac:dyDescent="0.25">
      <c r="A53" s="306" t="s">
        <v>159</v>
      </c>
      <c r="B53" s="212"/>
      <c r="C53" s="368">
        <v>2045</v>
      </c>
      <c r="D53" s="212"/>
      <c r="E53" s="212"/>
      <c r="F53" s="212"/>
      <c r="G53" s="212"/>
      <c r="H53" s="212"/>
      <c r="I53" s="212"/>
      <c r="J53" s="287"/>
      <c r="K53" s="521">
        <v>2025</v>
      </c>
      <c r="L53" s="522"/>
      <c r="M53" s="523"/>
      <c r="N53" s="413"/>
      <c r="O53" s="413"/>
      <c r="P53" s="413"/>
      <c r="Q53" s="521">
        <v>2045</v>
      </c>
      <c r="R53" s="522"/>
      <c r="S53" s="523"/>
      <c r="T53" s="521">
        <v>2045</v>
      </c>
      <c r="U53" s="522"/>
      <c r="V53" s="523"/>
      <c r="AR53" s="189"/>
      <c r="AS53" s="187"/>
      <c r="AT53" s="187"/>
    </row>
    <row r="54" spans="1:46" x14ac:dyDescent="0.2">
      <c r="A54" s="306"/>
      <c r="B54" s="212"/>
      <c r="C54" s="307"/>
      <c r="D54" s="212"/>
      <c r="E54" s="212"/>
      <c r="F54" s="212"/>
      <c r="G54" s="212"/>
      <c r="H54" s="212"/>
      <c r="I54" s="212"/>
      <c r="J54" s="287"/>
      <c r="K54" s="288" t="s">
        <v>234</v>
      </c>
      <c r="L54" s="288" t="s">
        <v>235</v>
      </c>
      <c r="M54" s="288" t="s">
        <v>13</v>
      </c>
      <c r="N54" s="288" t="s">
        <v>234</v>
      </c>
      <c r="O54" s="288" t="s">
        <v>235</v>
      </c>
      <c r="P54" s="288" t="s">
        <v>13</v>
      </c>
      <c r="Q54" s="288" t="s">
        <v>234</v>
      </c>
      <c r="R54" s="288" t="s">
        <v>235</v>
      </c>
      <c r="S54" s="288" t="s">
        <v>13</v>
      </c>
      <c r="T54" s="288" t="s">
        <v>234</v>
      </c>
      <c r="U54" s="288" t="s">
        <v>235</v>
      </c>
      <c r="V54" s="288" t="s">
        <v>13</v>
      </c>
      <c r="AR54" s="189"/>
      <c r="AS54" s="187"/>
      <c r="AT54" s="187"/>
    </row>
    <row r="55" spans="1:46" ht="30" x14ac:dyDescent="0.25">
      <c r="A55" s="181" t="s">
        <v>33</v>
      </c>
      <c r="B55" s="177"/>
      <c r="C55" s="178" t="s">
        <v>232</v>
      </c>
      <c r="D55" s="101" t="s">
        <v>382</v>
      </c>
      <c r="E55" s="178" t="s">
        <v>233</v>
      </c>
      <c r="F55" s="101" t="s">
        <v>406</v>
      </c>
      <c r="G55" s="188" t="s">
        <v>407</v>
      </c>
      <c r="J55" s="289" t="s">
        <v>427</v>
      </c>
      <c r="K55" s="290">
        <v>151138</v>
      </c>
      <c r="L55" s="290">
        <v>171219</v>
      </c>
      <c r="M55" s="290">
        <f>K55+L55</f>
        <v>322357</v>
      </c>
      <c r="N55" s="290">
        <v>152220</v>
      </c>
      <c r="O55" s="290">
        <v>176075</v>
      </c>
      <c r="P55" s="290">
        <f>N55+O55</f>
        <v>328295</v>
      </c>
      <c r="Q55" s="399">
        <v>182843</v>
      </c>
      <c r="R55" s="399">
        <v>200643</v>
      </c>
      <c r="S55" s="400">
        <f>Q55+R55</f>
        <v>383486</v>
      </c>
      <c r="T55" s="399">
        <v>187122</v>
      </c>
      <c r="U55" s="399">
        <v>216348</v>
      </c>
      <c r="V55" s="400">
        <f>T55+U55</f>
        <v>403470</v>
      </c>
      <c r="X55" s="412"/>
      <c r="AR55" s="189"/>
      <c r="AS55" s="187"/>
      <c r="AT55" s="187"/>
    </row>
    <row r="56" spans="1:46" x14ac:dyDescent="0.25">
      <c r="A56" s="181"/>
      <c r="B56" s="177" t="s">
        <v>129</v>
      </c>
      <c r="C56" s="369">
        <f>(M59*260)+(M60*260)+(M59*52*0.5)</f>
        <v>3904576</v>
      </c>
      <c r="D56" s="369">
        <f>((E56-C56)/(C53-C51))*(C52-C51)+C56</f>
        <v>4390422.4000000004</v>
      </c>
      <c r="E56" s="369">
        <f>S59*260+S60*260+(S59*52*0.5)</f>
        <v>7143552</v>
      </c>
      <c r="F56" s="192">
        <f>'Travel Time Benefits '!AF6</f>
        <v>7564595.8243406191</v>
      </c>
      <c r="G56" s="193">
        <f>SUM('Travel Time Benefits '!M6:AF6)</f>
        <v>116836860.74342948</v>
      </c>
      <c r="J56" s="289" t="s">
        <v>414</v>
      </c>
      <c r="K56" s="444"/>
      <c r="L56" s="444"/>
      <c r="M56" s="290">
        <f>M55*0.5</f>
        <v>161178.5</v>
      </c>
      <c r="N56" s="414"/>
      <c r="O56" s="414"/>
      <c r="P56" s="290">
        <f>P55*0.5</f>
        <v>164147.5</v>
      </c>
      <c r="Q56" s="414"/>
      <c r="R56" s="414"/>
      <c r="S56" s="290">
        <f>S55*0.5</f>
        <v>191743</v>
      </c>
      <c r="T56" s="414"/>
      <c r="U56" s="414"/>
      <c r="V56" s="290">
        <f>V55*0.5</f>
        <v>201735</v>
      </c>
      <c r="X56" s="203"/>
      <c r="AL56" s="189"/>
      <c r="AM56" s="187"/>
      <c r="AN56" s="187"/>
    </row>
    <row r="57" spans="1:46" ht="30" x14ac:dyDescent="0.2">
      <c r="A57" s="181"/>
      <c r="B57" s="177" t="s">
        <v>28</v>
      </c>
      <c r="C57" s="369">
        <f>(P59*260)+(P60*260)+(P59*52*0.5)</f>
        <v>3497728</v>
      </c>
      <c r="D57" s="369">
        <f>((E57-C57)/(C53-C51))*(C52-C51)+C57</f>
        <v>3742148.8</v>
      </c>
      <c r="E57" s="369">
        <f>V59*260+V60*260+(V59*52*0.5)</f>
        <v>5127200</v>
      </c>
      <c r="F57" s="192">
        <f>'Travel Time Benefits '!AF7</f>
        <v>5320709.8549457984</v>
      </c>
      <c r="G57" s="193">
        <f>SUM('Travel Time Benefits '!M7:AF7)</f>
        <v>89753182.331598282</v>
      </c>
      <c r="J57" s="401" t="s">
        <v>415</v>
      </c>
      <c r="K57" s="416"/>
      <c r="L57" s="416"/>
      <c r="M57" s="446">
        <f>(M55)*0.5</f>
        <v>161178.5</v>
      </c>
      <c r="N57" s="415"/>
      <c r="O57" s="415"/>
      <c r="P57" s="446">
        <f>(P55)*0.5</f>
        <v>164147.5</v>
      </c>
      <c r="Q57" s="417"/>
      <c r="R57" s="417"/>
      <c r="S57" s="446">
        <f>(S55)*0.5</f>
        <v>191743</v>
      </c>
      <c r="T57" s="445"/>
      <c r="U57" s="445"/>
      <c r="V57" s="446">
        <f>(V55)*0.5</f>
        <v>201735</v>
      </c>
      <c r="X57" s="203"/>
      <c r="Z57" s="292"/>
      <c r="AL57" s="189"/>
      <c r="AM57" s="187"/>
      <c r="AN57" s="187"/>
    </row>
    <row r="58" spans="1:46" x14ac:dyDescent="0.2">
      <c r="A58" s="181"/>
      <c r="B58" s="177"/>
      <c r="C58" s="177"/>
      <c r="D58" s="194">
        <f>D57-D56</f>
        <v>-648273.60000000056</v>
      </c>
      <c r="E58" s="194">
        <f>E57-E56</f>
        <v>-2016352</v>
      </c>
      <c r="F58" s="194">
        <f>F57-F56</f>
        <v>-2243885.9693948207</v>
      </c>
      <c r="G58" s="194">
        <f>G57-G56</f>
        <v>-27083678.4118312</v>
      </c>
      <c r="J58" s="283" t="s">
        <v>419</v>
      </c>
      <c r="K58" s="418"/>
      <c r="L58" s="418"/>
      <c r="M58" s="514">
        <f>260*SUM(M55:M56)+52*M57</f>
        <v>134100512</v>
      </c>
      <c r="N58" s="283"/>
      <c r="O58" s="283"/>
      <c r="P58" s="514">
        <f>260*SUM(P55:P56)+52*P57</f>
        <v>136570720</v>
      </c>
      <c r="Q58" s="283"/>
      <c r="R58" s="283"/>
      <c r="S58" s="514">
        <f>260*SUM(S55:S56)+52*S57</f>
        <v>159530176</v>
      </c>
      <c r="T58" s="283"/>
      <c r="U58" s="283"/>
      <c r="V58" s="514">
        <f>260*SUM(V55:V56)+52*V57</f>
        <v>167843520</v>
      </c>
      <c r="X58" s="203"/>
      <c r="Z58" s="292"/>
    </row>
    <row r="59" spans="1:46" ht="28.5" customHeight="1" x14ac:dyDescent="0.25">
      <c r="A59" s="181" t="s">
        <v>44</v>
      </c>
      <c r="B59" s="177"/>
      <c r="C59" s="178" t="s">
        <v>232</v>
      </c>
      <c r="D59" s="101" t="s">
        <v>382</v>
      </c>
      <c r="E59" s="178" t="s">
        <v>233</v>
      </c>
      <c r="F59" s="188">
        <v>2048</v>
      </c>
      <c r="G59" s="188"/>
      <c r="J59" s="289" t="s">
        <v>416</v>
      </c>
      <c r="K59" s="291">
        <v>4198</v>
      </c>
      <c r="L59" s="291">
        <v>5188</v>
      </c>
      <c r="M59" s="400">
        <f>K59+L59</f>
        <v>9386</v>
      </c>
      <c r="N59" s="400">
        <v>4006</v>
      </c>
      <c r="O59" s="400">
        <v>4402</v>
      </c>
      <c r="P59" s="400">
        <f>N59+O59</f>
        <v>8408</v>
      </c>
      <c r="Q59" s="399">
        <v>7618</v>
      </c>
      <c r="R59" s="399">
        <v>9554</v>
      </c>
      <c r="S59" s="400">
        <f>Q59+R59</f>
        <v>17172</v>
      </c>
      <c r="T59" s="399">
        <v>5346</v>
      </c>
      <c r="U59" s="399">
        <v>6979</v>
      </c>
      <c r="V59" s="400">
        <f>T59+U59</f>
        <v>12325</v>
      </c>
    </row>
    <row r="60" spans="1:46" x14ac:dyDescent="0.2">
      <c r="A60" s="179"/>
      <c r="B60" s="104" t="s">
        <v>129</v>
      </c>
      <c r="C60" s="369">
        <f>M55*260+M56*260+(M55*52*0.5)</f>
        <v>134100512</v>
      </c>
      <c r="D60" s="369">
        <f>((E60-C60)/(C53-C51))*(C52-C51)+C60</f>
        <v>137914961.59999999</v>
      </c>
      <c r="E60" s="369">
        <f>S55*260+S56*260+(S55*52*0.5)</f>
        <v>159530176</v>
      </c>
      <c r="F60" s="192">
        <f>'Crash Benefits'!AF6</f>
        <v>162286292.90041077</v>
      </c>
      <c r="G60" s="192">
        <f>SUM('Crash Benefits'!M6:AF6)</f>
        <v>2995753495.6047769</v>
      </c>
      <c r="J60" s="289" t="s">
        <v>417</v>
      </c>
      <c r="K60" s="445"/>
      <c r="L60" s="445"/>
      <c r="M60" s="445">
        <f>M59*0.5</f>
        <v>4693</v>
      </c>
      <c r="N60" s="445"/>
      <c r="O60" s="445"/>
      <c r="P60" s="445">
        <f>P59*0.5</f>
        <v>4204</v>
      </c>
      <c r="Q60" s="445"/>
      <c r="R60" s="445"/>
      <c r="S60" s="445">
        <f>S59*0.5</f>
        <v>8586</v>
      </c>
      <c r="T60" s="445"/>
      <c r="U60" s="445"/>
      <c r="V60" s="445">
        <f>V59*0.5</f>
        <v>6162.5</v>
      </c>
    </row>
    <row r="61" spans="1:46" x14ac:dyDescent="0.2">
      <c r="A61" s="179"/>
      <c r="B61" s="104" t="s">
        <v>28</v>
      </c>
      <c r="C61" s="369">
        <f>P55*260+P56*260+(P55*52*0.5)</f>
        <v>136570720</v>
      </c>
      <c r="D61" s="369">
        <f>((E61-C61)/(C53-C51))*(C52-C51)+C61</f>
        <v>141261640</v>
      </c>
      <c r="E61" s="369">
        <f>V55*260+V56*260+(V55*52*0.5)</f>
        <v>167843520</v>
      </c>
      <c r="F61" s="192">
        <f>'Crash Benefits'!AF7</f>
        <v>171282908.95016989</v>
      </c>
      <c r="G61" s="192">
        <f>SUM('Crash Benefits'!M7:AF7)</f>
        <v>3116316652.1755433</v>
      </c>
      <c r="J61" s="418" t="s">
        <v>418</v>
      </c>
      <c r="K61" s="418"/>
      <c r="L61" s="418"/>
      <c r="M61" s="446">
        <f>(M59)*0.5</f>
        <v>4693</v>
      </c>
      <c r="N61" s="445"/>
      <c r="O61" s="445"/>
      <c r="P61" s="446">
        <f>(P59)*0.5</f>
        <v>4204</v>
      </c>
      <c r="Q61" s="445"/>
      <c r="R61" s="445"/>
      <c r="S61" s="446">
        <f>(S59)*0.5</f>
        <v>8586</v>
      </c>
      <c r="T61" s="445"/>
      <c r="U61" s="445"/>
      <c r="V61" s="446">
        <f>(V59)*0.5</f>
        <v>6162.5</v>
      </c>
    </row>
    <row r="62" spans="1:46" x14ac:dyDescent="0.2">
      <c r="A62" s="179"/>
      <c r="D62" s="194">
        <f>D61-D60</f>
        <v>3346678.400000006</v>
      </c>
      <c r="E62" s="194">
        <f>E61-E60</f>
        <v>8313344</v>
      </c>
      <c r="F62" s="194">
        <f>F61-F60</f>
        <v>8996616.0497591197</v>
      </c>
      <c r="G62" s="194">
        <f>G61-G60</f>
        <v>120563156.57076645</v>
      </c>
      <c r="J62" s="283" t="s">
        <v>420</v>
      </c>
      <c r="K62" s="283"/>
      <c r="L62" s="283"/>
      <c r="M62" s="514">
        <f>260*SUM(M59:M60)+52*M61</f>
        <v>3904576</v>
      </c>
      <c r="N62" s="283"/>
      <c r="O62" s="283"/>
      <c r="P62" s="514">
        <f>260*SUM(P59:P60)+52*P61</f>
        <v>3497728</v>
      </c>
      <c r="Q62" s="283"/>
      <c r="R62" s="283"/>
      <c r="S62" s="514">
        <f>260*SUM(S59:S60)+52*S61</f>
        <v>7143552</v>
      </c>
      <c r="T62" s="283"/>
      <c r="U62" s="283"/>
      <c r="V62" s="514">
        <f>260*SUM(V59:V60)+52*V61</f>
        <v>5127200</v>
      </c>
      <c r="AA62" s="106"/>
      <c r="AB62" s="294"/>
      <c r="AC62" s="106"/>
      <c r="AD62" s="294"/>
      <c r="AE62" s="106"/>
    </row>
    <row r="63" spans="1:46" x14ac:dyDescent="0.2">
      <c r="A63" s="179" t="s">
        <v>48</v>
      </c>
      <c r="C63" s="195" t="s">
        <v>42</v>
      </c>
      <c r="D63" s="196" t="s">
        <v>43</v>
      </c>
      <c r="J63" s="289" t="s">
        <v>346</v>
      </c>
      <c r="K63" s="398">
        <f t="shared" ref="K63:V63" si="0">K55/K59</f>
        <v>36.002382086707954</v>
      </c>
      <c r="L63" s="398">
        <f t="shared" si="0"/>
        <v>33.002891287586742</v>
      </c>
      <c r="M63" s="398">
        <f t="shared" si="0"/>
        <v>34.344449179629237</v>
      </c>
      <c r="N63" s="398">
        <f t="shared" si="0"/>
        <v>37.998002995506738</v>
      </c>
      <c r="O63" s="398">
        <f t="shared" si="0"/>
        <v>39.99886415265788</v>
      </c>
      <c r="P63" s="398">
        <f t="shared" si="0"/>
        <v>39.045551855375834</v>
      </c>
      <c r="Q63" s="398">
        <f t="shared" si="0"/>
        <v>24.001443948542924</v>
      </c>
      <c r="R63" s="398">
        <f t="shared" si="0"/>
        <v>21.000942013816204</v>
      </c>
      <c r="S63" s="398">
        <f t="shared" si="0"/>
        <v>22.332052177964126</v>
      </c>
      <c r="T63" s="398">
        <f t="shared" si="0"/>
        <v>35.002244668911338</v>
      </c>
      <c r="U63" s="398">
        <f t="shared" si="0"/>
        <v>30.999856712996131</v>
      </c>
      <c r="V63" s="398">
        <f t="shared" si="0"/>
        <v>32.735902636916833</v>
      </c>
      <c r="W63" s="106"/>
      <c r="X63" s="294"/>
      <c r="Y63" s="106"/>
      <c r="Z63" s="294"/>
      <c r="AA63" s="193"/>
      <c r="AB63" s="193"/>
      <c r="AC63" s="193"/>
      <c r="AD63" s="193"/>
      <c r="AE63" s="292"/>
    </row>
    <row r="64" spans="1:46" x14ac:dyDescent="0.2">
      <c r="A64" s="179"/>
      <c r="B64" s="177" t="s">
        <v>129</v>
      </c>
      <c r="C64" s="210">
        <f>C60/C56</f>
        <v>34.344449179629237</v>
      </c>
      <c r="D64" s="211">
        <f>E60/E56</f>
        <v>22.332052177964126</v>
      </c>
      <c r="J64" s="104" t="s">
        <v>421</v>
      </c>
      <c r="K64" s="104" t="s">
        <v>347</v>
      </c>
      <c r="W64" s="193"/>
      <c r="X64" s="193"/>
      <c r="Y64" s="193"/>
      <c r="Z64" s="193"/>
      <c r="AA64" s="193"/>
      <c r="AB64" s="193"/>
      <c r="AC64" s="193"/>
      <c r="AD64" s="193"/>
      <c r="AE64" s="193"/>
    </row>
    <row r="65" spans="1:32" x14ac:dyDescent="0.2">
      <c r="A65" s="179"/>
      <c r="B65" s="177" t="s">
        <v>28</v>
      </c>
      <c r="C65" s="210">
        <f>C61/C57</f>
        <v>39.045551855375834</v>
      </c>
      <c r="D65" s="211">
        <f>E61/E57</f>
        <v>32.735902636916833</v>
      </c>
      <c r="J65" s="104" t="s">
        <v>422</v>
      </c>
      <c r="K65" s="104" t="s">
        <v>348</v>
      </c>
      <c r="S65" s="193"/>
      <c r="T65" s="193"/>
      <c r="U65" s="193"/>
      <c r="V65" s="193"/>
      <c r="W65" s="193"/>
      <c r="X65" s="193"/>
      <c r="Y65" s="193"/>
      <c r="Z65" s="193"/>
      <c r="AA65" s="193"/>
      <c r="AB65" s="193"/>
      <c r="AC65" s="193"/>
      <c r="AD65" s="193"/>
      <c r="AE65" s="193"/>
    </row>
    <row r="66" spans="1:32" x14ac:dyDescent="0.2">
      <c r="A66" s="179"/>
      <c r="J66" s="104" t="s">
        <v>423</v>
      </c>
      <c r="K66" s="242" t="s">
        <v>349</v>
      </c>
      <c r="L66" s="193"/>
      <c r="M66" s="193"/>
      <c r="N66" s="193"/>
      <c r="O66" s="193"/>
      <c r="P66" s="193"/>
      <c r="Q66" s="193"/>
      <c r="R66" s="193"/>
      <c r="S66" s="193"/>
      <c r="T66" s="193"/>
      <c r="U66" s="193"/>
      <c r="V66" s="193"/>
      <c r="W66" s="193"/>
      <c r="X66" s="193"/>
      <c r="Y66" s="193"/>
      <c r="Z66" s="193"/>
      <c r="AA66" s="193"/>
      <c r="AB66" s="193"/>
      <c r="AC66" s="193"/>
      <c r="AD66" s="193"/>
      <c r="AE66" s="193"/>
    </row>
    <row r="67" spans="1:32" x14ac:dyDescent="0.2">
      <c r="A67" s="179" t="s">
        <v>45</v>
      </c>
      <c r="C67" s="370">
        <f>1-C68</f>
        <v>0.86</v>
      </c>
      <c r="D67" s="104" t="s">
        <v>49</v>
      </c>
      <c r="E67" s="362" t="s">
        <v>244</v>
      </c>
      <c r="J67" s="104" t="s">
        <v>424</v>
      </c>
      <c r="K67" s="193" t="s">
        <v>425</v>
      </c>
      <c r="L67" s="193"/>
      <c r="M67" s="193"/>
      <c r="N67" s="193"/>
      <c r="O67" s="193"/>
      <c r="P67" s="193"/>
      <c r="Q67" s="193"/>
      <c r="R67" s="193"/>
      <c r="S67" s="193"/>
      <c r="T67" s="193"/>
      <c r="U67" s="193"/>
      <c r="V67" s="193"/>
      <c r="W67" s="193"/>
      <c r="X67" s="193"/>
      <c r="Y67" s="193"/>
      <c r="Z67" s="193"/>
    </row>
    <row r="68" spans="1:32" x14ac:dyDescent="0.2">
      <c r="A68" s="179" t="s">
        <v>46</v>
      </c>
      <c r="C68" s="370">
        <v>0.14000000000000001</v>
      </c>
      <c r="D68" s="104" t="s">
        <v>49</v>
      </c>
      <c r="E68" s="362" t="s">
        <v>244</v>
      </c>
    </row>
    <row r="69" spans="1:32" x14ac:dyDescent="0.2">
      <c r="A69" s="179"/>
      <c r="B69" s="104" t="s">
        <v>13</v>
      </c>
      <c r="C69" s="197">
        <f>C68+C67</f>
        <v>1</v>
      </c>
      <c r="D69" s="104" t="s">
        <v>49</v>
      </c>
    </row>
    <row r="70" spans="1:32" x14ac:dyDescent="0.2">
      <c r="A70" s="179"/>
    </row>
    <row r="71" spans="1:32" x14ac:dyDescent="0.2">
      <c r="A71" s="179" t="s">
        <v>47</v>
      </c>
      <c r="C71" s="443">
        <v>1.67</v>
      </c>
      <c r="D71" s="198"/>
      <c r="E71" s="363" t="s">
        <v>274</v>
      </c>
    </row>
    <row r="72" spans="1:32" x14ac:dyDescent="0.2">
      <c r="A72" s="179"/>
      <c r="C72" s="199"/>
      <c r="D72" s="198"/>
    </row>
    <row r="73" spans="1:32" x14ac:dyDescent="0.2">
      <c r="A73" s="179"/>
      <c r="C73" s="199"/>
      <c r="D73" s="198"/>
      <c r="AA73" s="193"/>
      <c r="AB73" s="193"/>
      <c r="AC73" s="193"/>
      <c r="AD73" s="193"/>
      <c r="AE73" s="193"/>
      <c r="AF73" s="193"/>
    </row>
    <row r="74" spans="1:32" x14ac:dyDescent="0.2">
      <c r="A74" s="353" t="s">
        <v>21</v>
      </c>
      <c r="B74" s="358"/>
      <c r="C74" s="352"/>
      <c r="D74" s="352"/>
      <c r="E74" s="352"/>
      <c r="F74" s="352"/>
      <c r="G74" s="352"/>
      <c r="H74" s="352"/>
      <c r="I74" s="352"/>
      <c r="J74" s="352"/>
      <c r="K74" s="352"/>
      <c r="L74" s="435"/>
      <c r="M74" s="435"/>
      <c r="N74" s="193"/>
      <c r="O74" s="193"/>
      <c r="P74" s="193"/>
      <c r="Q74" s="193"/>
      <c r="R74" s="193"/>
      <c r="S74" s="193"/>
      <c r="T74" s="193"/>
      <c r="U74" s="193"/>
      <c r="V74" s="193"/>
      <c r="W74" s="193"/>
      <c r="X74" s="193"/>
      <c r="Y74" s="193"/>
      <c r="Z74" s="193"/>
    </row>
    <row r="75" spans="1:32" x14ac:dyDescent="0.2">
      <c r="A75" s="104" t="s">
        <v>196</v>
      </c>
      <c r="C75" s="200">
        <v>9.9999999999999995E-7</v>
      </c>
      <c r="D75" s="350" t="s">
        <v>197</v>
      </c>
      <c r="E75" s="361" t="s">
        <v>20</v>
      </c>
      <c r="J75" s="177"/>
      <c r="K75" s="177"/>
      <c r="L75" s="177"/>
      <c r="M75" s="177"/>
    </row>
    <row r="76" spans="1:32" x14ac:dyDescent="0.2">
      <c r="A76" s="104" t="s">
        <v>22</v>
      </c>
      <c r="C76" s="201">
        <v>3</v>
      </c>
    </row>
    <row r="77" spans="1:32" x14ac:dyDescent="0.2">
      <c r="A77" s="104" t="s">
        <v>70</v>
      </c>
      <c r="C77" s="202">
        <f>2240/2000</f>
        <v>1.1200000000000001</v>
      </c>
      <c r="E77" s="363" t="s">
        <v>274</v>
      </c>
      <c r="AD77" s="203"/>
    </row>
    <row r="80" spans="1:32" x14ac:dyDescent="0.2">
      <c r="A80" s="353" t="s">
        <v>113</v>
      </c>
      <c r="B80" s="354"/>
      <c r="C80" s="352"/>
      <c r="D80" s="352"/>
      <c r="E80" s="352"/>
      <c r="F80" s="352"/>
      <c r="G80" s="352"/>
      <c r="H80" s="352"/>
      <c r="I80" s="352"/>
      <c r="J80" s="352"/>
      <c r="K80" s="352"/>
      <c r="L80" s="352"/>
      <c r="M80" s="352"/>
    </row>
    <row r="81" spans="2:20" x14ac:dyDescent="0.2">
      <c r="B81" s="188" t="s">
        <v>81</v>
      </c>
      <c r="C81" s="188" t="s">
        <v>74</v>
      </c>
      <c r="D81" s="188" t="s">
        <v>390</v>
      </c>
      <c r="F81" s="361" t="s">
        <v>189</v>
      </c>
      <c r="J81" s="177"/>
      <c r="K81" s="177"/>
      <c r="L81" s="177"/>
      <c r="M81" s="177"/>
    </row>
    <row r="82" spans="2:20" x14ac:dyDescent="0.2">
      <c r="B82" s="180" t="s">
        <v>428</v>
      </c>
      <c r="D82" s="374">
        <v>0.13830000000000001</v>
      </c>
      <c r="F82" s="361" t="s">
        <v>107</v>
      </c>
      <c r="T82" s="188"/>
    </row>
    <row r="83" spans="2:20" x14ac:dyDescent="0.2">
      <c r="B83" s="180" t="s">
        <v>190</v>
      </c>
      <c r="D83" s="374">
        <v>0.01</v>
      </c>
      <c r="F83" s="367" t="s">
        <v>79</v>
      </c>
      <c r="G83" s="205">
        <v>15000</v>
      </c>
    </row>
    <row r="84" spans="2:20" x14ac:dyDescent="0.2">
      <c r="B84" s="180" t="s">
        <v>100</v>
      </c>
      <c r="C84" s="366">
        <v>3334</v>
      </c>
      <c r="D84" s="375">
        <f>C84/$G$83</f>
        <v>0.22226666666666667</v>
      </c>
      <c r="F84" s="104" t="s">
        <v>429</v>
      </c>
    </row>
    <row r="85" spans="2:20" ht="15.75" thickBot="1" x14ac:dyDescent="0.25">
      <c r="B85" s="180" t="s">
        <v>112</v>
      </c>
      <c r="D85" s="374">
        <f>0.0894-D83</f>
        <v>7.9399999999999998E-2</v>
      </c>
      <c r="E85" s="204"/>
    </row>
    <row r="86" spans="2:20" ht="15.75" thickBot="1" x14ac:dyDescent="0.25">
      <c r="B86" s="180"/>
      <c r="D86" s="517">
        <f>SUM(D82:D85)</f>
        <v>0.44996666666666674</v>
      </c>
      <c r="E86" s="204"/>
      <c r="F86" s="363" t="s">
        <v>278</v>
      </c>
    </row>
    <row r="87" spans="2:20" x14ac:dyDescent="0.2">
      <c r="B87" s="180" t="s">
        <v>76</v>
      </c>
      <c r="C87" s="366">
        <v>1194</v>
      </c>
      <c r="D87" s="206">
        <f>C87/$G$83</f>
        <v>7.9600000000000004E-2</v>
      </c>
      <c r="E87" s="204"/>
      <c r="G87" s="184"/>
      <c r="H87" s="184"/>
      <c r="I87" s="183"/>
    </row>
    <row r="88" spans="2:20" x14ac:dyDescent="0.2">
      <c r="B88" s="180" t="s">
        <v>77</v>
      </c>
      <c r="C88" s="366">
        <v>753</v>
      </c>
      <c r="D88" s="206">
        <f>C88/$G$83</f>
        <v>5.0200000000000002E-2</v>
      </c>
      <c r="E88" s="204"/>
      <c r="G88" s="184"/>
      <c r="H88" s="184"/>
      <c r="I88" s="183"/>
    </row>
    <row r="89" spans="2:20" x14ac:dyDescent="0.2">
      <c r="B89" s="180" t="s">
        <v>78</v>
      </c>
      <c r="C89" s="366">
        <v>920</v>
      </c>
      <c r="D89" s="206">
        <f>C89/$G$83</f>
        <v>6.133333333333333E-2</v>
      </c>
      <c r="E89" s="204"/>
    </row>
    <row r="90" spans="2:20" x14ac:dyDescent="0.2">
      <c r="E90" s="206"/>
    </row>
    <row r="91" spans="2:20" x14ac:dyDescent="0.2">
      <c r="B91" s="188" t="s">
        <v>8</v>
      </c>
      <c r="C91" s="188"/>
      <c r="D91" s="188" t="s">
        <v>390</v>
      </c>
      <c r="E91" s="188"/>
      <c r="T91" s="207"/>
    </row>
    <row r="92" spans="2:20" x14ac:dyDescent="0.2">
      <c r="B92" s="180" t="s">
        <v>428</v>
      </c>
      <c r="D92" s="204">
        <v>0.41099999999999998</v>
      </c>
      <c r="E92" s="204"/>
      <c r="F92" s="361" t="s">
        <v>188</v>
      </c>
    </row>
    <row r="93" spans="2:20" x14ac:dyDescent="0.2">
      <c r="B93" s="180" t="s">
        <v>126</v>
      </c>
      <c r="C93" s="184"/>
      <c r="D93" s="374">
        <v>3.5999999999999997E-2</v>
      </c>
      <c r="E93" s="204"/>
      <c r="F93" s="104" t="s">
        <v>429</v>
      </c>
      <c r="O93" s="185"/>
      <c r="P93" s="185"/>
      <c r="Q93" s="185"/>
      <c r="R93" s="185"/>
    </row>
    <row r="94" spans="2:20" x14ac:dyDescent="0.2">
      <c r="B94" s="180" t="s">
        <v>100</v>
      </c>
      <c r="C94" s="184"/>
      <c r="D94" s="374">
        <v>0.25900000000000001</v>
      </c>
      <c r="E94" s="204"/>
      <c r="S94" s="207"/>
      <c r="T94" s="207"/>
    </row>
    <row r="95" spans="2:20" x14ac:dyDescent="0.2">
      <c r="B95" s="180" t="s">
        <v>75</v>
      </c>
      <c r="C95" s="184"/>
      <c r="D95" s="374">
        <v>0.14299999999999999</v>
      </c>
      <c r="E95" s="204"/>
      <c r="S95" s="207"/>
      <c r="T95" s="207"/>
    </row>
    <row r="96" spans="2:20" x14ac:dyDescent="0.2">
      <c r="B96" s="180" t="s">
        <v>76</v>
      </c>
      <c r="C96" s="184"/>
      <c r="D96" s="374">
        <v>6.8000000000000005E-2</v>
      </c>
      <c r="E96" s="204"/>
      <c r="S96" s="207"/>
      <c r="T96" s="207"/>
    </row>
    <row r="97" spans="1:20" x14ac:dyDescent="0.2">
      <c r="B97" s="180" t="s">
        <v>77</v>
      </c>
      <c r="C97" s="184"/>
      <c r="D97" s="374">
        <v>2.3E-2</v>
      </c>
      <c r="E97" s="204"/>
      <c r="I97" s="104" t="s">
        <v>4</v>
      </c>
      <c r="S97" s="207"/>
      <c r="T97" s="207"/>
    </row>
    <row r="98" spans="1:20" ht="15.75" thickBot="1" x14ac:dyDescent="0.25">
      <c r="B98" s="180" t="s">
        <v>78</v>
      </c>
      <c r="C98" s="184"/>
      <c r="D98" s="374">
        <v>0</v>
      </c>
      <c r="E98" s="204"/>
      <c r="S98" s="207"/>
      <c r="T98" s="207"/>
    </row>
    <row r="99" spans="1:20" ht="15.75" thickBot="1" x14ac:dyDescent="0.25">
      <c r="D99" s="376">
        <f>SUM(D92:D98)</f>
        <v>0.94000000000000006</v>
      </c>
      <c r="E99" s="204"/>
      <c r="F99" s="363" t="s">
        <v>278</v>
      </c>
      <c r="G99" s="208"/>
      <c r="H99" s="208"/>
      <c r="S99" s="207"/>
      <c r="T99" s="207"/>
    </row>
    <row r="101" spans="1:20" x14ac:dyDescent="0.2">
      <c r="A101" s="371" t="s">
        <v>110</v>
      </c>
      <c r="B101" s="352"/>
      <c r="C101" s="352"/>
      <c r="D101" s="352"/>
      <c r="E101" s="372"/>
      <c r="F101" s="352"/>
      <c r="G101" s="352"/>
      <c r="H101" s="352"/>
      <c r="I101" s="352"/>
      <c r="J101" s="352"/>
      <c r="K101" s="352"/>
      <c r="L101" s="352"/>
      <c r="M101" s="352"/>
    </row>
    <row r="102" spans="1:20" x14ac:dyDescent="0.2">
      <c r="B102" s="373" t="s">
        <v>111</v>
      </c>
      <c r="C102" s="209" t="s">
        <v>282</v>
      </c>
      <c r="F102" s="363" t="s">
        <v>279</v>
      </c>
      <c r="J102" s="177"/>
      <c r="K102" s="177"/>
      <c r="L102" s="177"/>
      <c r="M102" s="177"/>
    </row>
    <row r="103" spans="1:20" x14ac:dyDescent="0.2">
      <c r="B103" s="104">
        <v>2003</v>
      </c>
      <c r="C103" s="422">
        <v>1.38</v>
      </c>
    </row>
    <row r="104" spans="1:20" x14ac:dyDescent="0.2">
      <c r="B104" s="104">
        <v>2004</v>
      </c>
      <c r="C104" s="422">
        <v>1.34</v>
      </c>
    </row>
    <row r="105" spans="1:20" x14ac:dyDescent="0.2">
      <c r="B105" s="104">
        <v>2005</v>
      </c>
      <c r="C105" s="422">
        <v>1.3</v>
      </c>
    </row>
    <row r="106" spans="1:20" x14ac:dyDescent="0.2">
      <c r="B106" s="104">
        <v>2006</v>
      </c>
      <c r="C106" s="422">
        <v>1.26</v>
      </c>
    </row>
    <row r="107" spans="1:20" x14ac:dyDescent="0.2">
      <c r="B107" s="104">
        <v>2007</v>
      </c>
      <c r="C107" s="422">
        <v>1.23</v>
      </c>
    </row>
    <row r="108" spans="1:20" x14ac:dyDescent="0.2">
      <c r="B108" s="104">
        <v>2008</v>
      </c>
      <c r="C108" s="422">
        <v>1.2</v>
      </c>
    </row>
    <row r="109" spans="1:20" x14ac:dyDescent="0.2">
      <c r="B109" s="104">
        <v>2009</v>
      </c>
      <c r="C109" s="422">
        <v>1.2</v>
      </c>
    </row>
    <row r="110" spans="1:20" x14ac:dyDescent="0.2">
      <c r="B110" s="104">
        <v>2010</v>
      </c>
      <c r="C110" s="422">
        <v>1.18</v>
      </c>
    </row>
    <row r="111" spans="1:20" x14ac:dyDescent="0.2">
      <c r="B111" s="104">
        <v>2011</v>
      </c>
      <c r="C111" s="422">
        <v>1.1599999999999999</v>
      </c>
    </row>
    <row r="112" spans="1:20" x14ac:dyDescent="0.2">
      <c r="B112" s="104">
        <v>2012</v>
      </c>
      <c r="C112" s="422">
        <v>1.1399999999999999</v>
      </c>
    </row>
    <row r="113" spans="1:13" x14ac:dyDescent="0.2">
      <c r="B113" s="104">
        <v>2013</v>
      </c>
      <c r="C113" s="422">
        <v>1.1200000000000001</v>
      </c>
    </row>
    <row r="114" spans="1:13" x14ac:dyDescent="0.2">
      <c r="B114" s="104">
        <v>2014</v>
      </c>
      <c r="C114" s="422">
        <v>1.1000000000000001</v>
      </c>
    </row>
    <row r="115" spans="1:13" x14ac:dyDescent="0.2">
      <c r="B115" s="104">
        <v>2015</v>
      </c>
      <c r="C115" s="422">
        <v>1.0900000000000001</v>
      </c>
    </row>
    <row r="116" spans="1:13" x14ac:dyDescent="0.2">
      <c r="B116" s="104">
        <v>2016</v>
      </c>
      <c r="C116" s="422">
        <v>1.07</v>
      </c>
    </row>
    <row r="117" spans="1:13" x14ac:dyDescent="0.2">
      <c r="B117" s="104">
        <v>2017</v>
      </c>
      <c r="C117" s="422">
        <v>1.05</v>
      </c>
    </row>
    <row r="118" spans="1:13" x14ac:dyDescent="0.2">
      <c r="B118" s="104">
        <v>2018</v>
      </c>
      <c r="C118" s="423">
        <v>1.03</v>
      </c>
      <c r="D118" s="203"/>
    </row>
    <row r="119" spans="1:13" x14ac:dyDescent="0.2">
      <c r="B119" s="104">
        <v>2019</v>
      </c>
      <c r="C119" s="422">
        <v>1.01</v>
      </c>
      <c r="D119" s="191"/>
    </row>
    <row r="120" spans="1:13" x14ac:dyDescent="0.2">
      <c r="B120" s="104">
        <v>2020</v>
      </c>
      <c r="C120" s="422">
        <v>1</v>
      </c>
    </row>
    <row r="122" spans="1:13" x14ac:dyDescent="0.2">
      <c r="A122" s="371" t="s">
        <v>391</v>
      </c>
      <c r="B122" s="352"/>
      <c r="C122" s="352"/>
      <c r="D122" s="352"/>
      <c r="E122" s="372"/>
      <c r="F122" s="352"/>
      <c r="G122" s="352"/>
      <c r="H122" s="352"/>
      <c r="I122" s="352"/>
      <c r="J122" s="352"/>
      <c r="K122" s="352"/>
      <c r="L122" s="352"/>
      <c r="M122" s="352"/>
    </row>
    <row r="123" spans="1:13" x14ac:dyDescent="0.2">
      <c r="B123" s="373" t="s">
        <v>111</v>
      </c>
      <c r="C123" s="209" t="s">
        <v>282</v>
      </c>
      <c r="F123" s="363" t="s">
        <v>392</v>
      </c>
      <c r="J123" s="177"/>
      <c r="K123" s="177"/>
      <c r="L123" s="177"/>
      <c r="M123" s="177"/>
    </row>
    <row r="124" spans="1:13" x14ac:dyDescent="0.2">
      <c r="B124" s="104">
        <v>2021</v>
      </c>
      <c r="C124" s="104">
        <v>1.026</v>
      </c>
    </row>
    <row r="125" spans="1:13" x14ac:dyDescent="0.2">
      <c r="B125" s="104">
        <v>2022</v>
      </c>
      <c r="C125" s="104">
        <v>1.054</v>
      </c>
    </row>
    <row r="126" spans="1:13" x14ac:dyDescent="0.2">
      <c r="B126" s="104">
        <v>2023</v>
      </c>
      <c r="C126" s="104">
        <v>1.083</v>
      </c>
    </row>
    <row r="127" spans="1:13" x14ac:dyDescent="0.2">
      <c r="B127" s="104">
        <v>2024</v>
      </c>
      <c r="C127" s="104">
        <v>1.115</v>
      </c>
    </row>
  </sheetData>
  <mergeCells count="9">
    <mergeCell ref="D33:D34"/>
    <mergeCell ref="Q52:R52"/>
    <mergeCell ref="T52:U52"/>
    <mergeCell ref="T53:V53"/>
    <mergeCell ref="Q53:S53"/>
    <mergeCell ref="K53:M53"/>
    <mergeCell ref="N52:P52"/>
    <mergeCell ref="K52:M52"/>
    <mergeCell ref="J50:V50"/>
  </mergeCells>
  <phoneticPr fontId="5" type="noConversion"/>
  <pageMargins left="0.75" right="0.5" top="1" bottom="1" header="0.5" footer="0.5"/>
  <pageSetup scale="90" orientation="landscape" r:id="rId1"/>
  <headerFooter alignWithMargins="0">
    <oddFooter>&amp;R&amp;P of &amp;N&amp;L&amp;F  &amp;A
&amp;D  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H22"/>
  <sheetViews>
    <sheetView tabSelected="1" workbookViewId="0">
      <selection activeCell="H14" sqref="H14"/>
    </sheetView>
  </sheetViews>
  <sheetFormatPr defaultColWidth="9.140625" defaultRowHeight="15" x14ac:dyDescent="0.2"/>
  <cols>
    <col min="1" max="1" width="7.42578125" style="104" customWidth="1"/>
    <col min="2" max="2" width="37" style="104" customWidth="1"/>
    <col min="3" max="4" width="14.28515625" style="104" bestFit="1" customWidth="1"/>
    <col min="5" max="5" width="27.5703125" style="104" customWidth="1"/>
    <col min="6" max="6" width="18.85546875" style="104" customWidth="1"/>
    <col min="7" max="7" width="18.42578125" style="104" customWidth="1"/>
    <col min="8" max="8" width="18.28515625" style="104" customWidth="1"/>
    <col min="9" max="9" width="21.28515625" style="104" customWidth="1"/>
    <col min="10" max="16384" width="9.140625" style="104"/>
  </cols>
  <sheetData>
    <row r="1" spans="1:8" x14ac:dyDescent="0.2">
      <c r="A1" s="528" t="s">
        <v>433</v>
      </c>
      <c r="B1" s="528"/>
      <c r="C1" s="528"/>
      <c r="E1" s="527" t="s">
        <v>434</v>
      </c>
      <c r="F1" s="527"/>
      <c r="G1" s="527"/>
      <c r="H1" s="527"/>
    </row>
    <row r="2" spans="1:8" ht="16.5" customHeight="1" x14ac:dyDescent="0.2">
      <c r="A2" s="528" t="s">
        <v>236</v>
      </c>
      <c r="B2" s="528"/>
      <c r="C2" s="528"/>
      <c r="E2" s="529" t="s">
        <v>97</v>
      </c>
      <c r="F2" s="526" t="s">
        <v>405</v>
      </c>
      <c r="G2" s="526" t="s">
        <v>435</v>
      </c>
      <c r="H2" s="526" t="s">
        <v>396</v>
      </c>
    </row>
    <row r="3" spans="1:8" ht="25.5" customHeight="1" x14ac:dyDescent="0.2">
      <c r="A3" s="532" t="s">
        <v>98</v>
      </c>
      <c r="B3" s="532"/>
      <c r="C3" s="377"/>
      <c r="E3" s="529"/>
      <c r="F3" s="526"/>
      <c r="G3" s="526"/>
      <c r="H3" s="526"/>
    </row>
    <row r="4" spans="1:8" x14ac:dyDescent="0.2">
      <c r="A4" s="212" t="s">
        <v>166</v>
      </c>
      <c r="B4" s="212"/>
      <c r="C4" s="213">
        <f>ROUND(C5+C6,-2)</f>
        <v>232445600</v>
      </c>
      <c r="E4" s="496" t="s">
        <v>397</v>
      </c>
      <c r="F4" s="497">
        <f>ROUND(NPVCalc!F7,-2)</f>
        <v>812062500</v>
      </c>
      <c r="G4" s="498">
        <f>C4</f>
        <v>232445600</v>
      </c>
      <c r="H4" s="495">
        <f t="shared" ref="H4:H9" si="0">G4/$G$11</f>
        <v>0.80462854500189696</v>
      </c>
    </row>
    <row r="5" spans="1:8" x14ac:dyDescent="0.2">
      <c r="B5" s="212" t="s">
        <v>27</v>
      </c>
      <c r="C5" s="214">
        <f>ROUND(NPVCalc!G8,-2)</f>
        <v>197714600</v>
      </c>
      <c r="E5" s="496" t="s">
        <v>399</v>
      </c>
      <c r="F5" s="497">
        <f>ROUND(NPVCalc!F10,-2)</f>
        <v>102634100</v>
      </c>
      <c r="G5" s="498">
        <f>C7</f>
        <v>34248600</v>
      </c>
      <c r="H5" s="495">
        <f t="shared" si="0"/>
        <v>0.11855419584776811</v>
      </c>
    </row>
    <row r="6" spans="1:8" x14ac:dyDescent="0.2">
      <c r="B6" s="212" t="s">
        <v>24</v>
      </c>
      <c r="C6" s="214">
        <f>ROUND(NPVCalc!G9,-2)</f>
        <v>34731000</v>
      </c>
      <c r="E6" s="496" t="s">
        <v>398</v>
      </c>
      <c r="F6" s="497">
        <f>ROUND(SUM(NPVCalc!F12:F13),-2)</f>
        <v>38688300</v>
      </c>
      <c r="G6" s="498">
        <f>SUM(C9:C10)</f>
        <v>10271700</v>
      </c>
      <c r="H6" s="495">
        <f t="shared" si="0"/>
        <v>3.555628941006405E-2</v>
      </c>
    </row>
    <row r="7" spans="1:8" x14ac:dyDescent="0.2">
      <c r="A7" s="212" t="s">
        <v>395</v>
      </c>
      <c r="B7" s="215"/>
      <c r="C7" s="193">
        <f>ROUND(NPVCalc!G10,-2)</f>
        <v>34248600</v>
      </c>
      <c r="D7" s="214"/>
      <c r="E7" s="496" t="s">
        <v>400</v>
      </c>
      <c r="F7" s="497">
        <f>ROUND(SUM(NPVCalc!F15:F16),-2)</f>
        <v>13490600</v>
      </c>
      <c r="G7" s="498">
        <f>SUM(C12:C13)</f>
        <v>6403600</v>
      </c>
      <c r="H7" s="495">
        <f t="shared" si="0"/>
        <v>2.2166560050068264E-2</v>
      </c>
    </row>
    <row r="8" spans="1:8" x14ac:dyDescent="0.2">
      <c r="A8" s="190" t="s">
        <v>222</v>
      </c>
      <c r="B8" s="216"/>
      <c r="C8" s="214"/>
      <c r="D8" s="217"/>
      <c r="E8" s="496" t="s">
        <v>148</v>
      </c>
      <c r="F8" s="497">
        <f>ROUND(NPVCalc!F17,-2)</f>
        <v>108214500</v>
      </c>
      <c r="G8" s="498">
        <f>C14</f>
        <v>17415000</v>
      </c>
      <c r="H8" s="495">
        <f t="shared" si="0"/>
        <v>6.0283378610771876E-2</v>
      </c>
    </row>
    <row r="9" spans="1:8" x14ac:dyDescent="0.2">
      <c r="B9" s="215" t="s">
        <v>57</v>
      </c>
      <c r="C9" s="214">
        <f>ROUND(NPVCalc!G12,-2)</f>
        <v>20966800</v>
      </c>
      <c r="E9" s="496" t="s">
        <v>401</v>
      </c>
      <c r="F9" s="499">
        <f>ROUND(NPVCalc!F19,-2)</f>
        <v>-36071500</v>
      </c>
      <c r="G9" s="499">
        <f>C16</f>
        <v>-11898900</v>
      </c>
      <c r="H9" s="495">
        <f t="shared" si="0"/>
        <v>-4.1188968920569252E-2</v>
      </c>
    </row>
    <row r="10" spans="1:8" x14ac:dyDescent="0.2">
      <c r="B10" s="215" t="s">
        <v>174</v>
      </c>
      <c r="C10" s="214">
        <f>ROUND(NPVCalc!G13,-2)</f>
        <v>-10695100</v>
      </c>
      <c r="D10" s="217"/>
      <c r="E10" s="496" t="s">
        <v>402</v>
      </c>
      <c r="F10" s="500" t="s">
        <v>403</v>
      </c>
      <c r="G10" s="500" t="s">
        <v>403</v>
      </c>
      <c r="H10" s="500" t="s">
        <v>403</v>
      </c>
    </row>
    <row r="11" spans="1:8" x14ac:dyDescent="0.2">
      <c r="A11" s="104" t="s">
        <v>221</v>
      </c>
      <c r="B11" s="215"/>
      <c r="C11" s="214"/>
      <c r="E11" s="491" t="s">
        <v>167</v>
      </c>
      <c r="F11" s="504">
        <f>SUM(F4:F9)</f>
        <v>1039018500</v>
      </c>
      <c r="G11" s="494">
        <f>SUM(G4:G9)</f>
        <v>288885600</v>
      </c>
      <c r="H11" s="518">
        <f>G11/$G$11</f>
        <v>1</v>
      </c>
    </row>
    <row r="12" spans="1:8" ht="18" x14ac:dyDescent="0.2">
      <c r="B12" s="385" t="s">
        <v>208</v>
      </c>
      <c r="C12" s="214">
        <f>ROUND(NPVCalc!G15,-2)</f>
        <v>978600</v>
      </c>
      <c r="E12" s="491" t="s">
        <v>96</v>
      </c>
      <c r="F12" s="504">
        <v>222688900</v>
      </c>
      <c r="G12" s="494">
        <v>165278800</v>
      </c>
      <c r="H12" s="501"/>
    </row>
    <row r="13" spans="1:8" ht="18.75" x14ac:dyDescent="0.2">
      <c r="A13" s="212"/>
      <c r="B13" s="385" t="s">
        <v>209</v>
      </c>
      <c r="C13" s="214">
        <f>ROUND(NPVCalc!G16,-2)</f>
        <v>5425000</v>
      </c>
      <c r="E13" s="492" t="s">
        <v>19</v>
      </c>
      <c r="F13" s="505">
        <f>F11/F12</f>
        <v>4.6657848684869343</v>
      </c>
      <c r="G13" s="502">
        <f>G11/G12</f>
        <v>1.7478684501581569</v>
      </c>
      <c r="H13" s="501"/>
    </row>
    <row r="14" spans="1:8" ht="18.75" x14ac:dyDescent="0.3">
      <c r="A14" s="212" t="s">
        <v>148</v>
      </c>
      <c r="B14" s="215"/>
      <c r="C14" s="214">
        <f>ROUND(NPVCalc!G17,-2)</f>
        <v>17415000</v>
      </c>
      <c r="E14" s="493" t="s">
        <v>91</v>
      </c>
      <c r="F14" s="506">
        <f>F11-F12</f>
        <v>816329600</v>
      </c>
      <c r="G14" s="503">
        <f>G11-G12</f>
        <v>123606800</v>
      </c>
      <c r="H14" s="501"/>
    </row>
    <row r="15" spans="1:8" x14ac:dyDescent="0.2">
      <c r="A15" s="531" t="s">
        <v>18</v>
      </c>
      <c r="B15" s="531"/>
      <c r="C15" s="421">
        <f>SUM(C7:C14)+C4</f>
        <v>300784500</v>
      </c>
    </row>
    <row r="16" spans="1:8" x14ac:dyDescent="0.2">
      <c r="A16" s="212" t="s">
        <v>223</v>
      </c>
      <c r="B16" s="216"/>
      <c r="C16" s="214">
        <f>ROUND(NPVCalc!G19,-2)</f>
        <v>-11898900</v>
      </c>
      <c r="D16" s="214"/>
    </row>
    <row r="17" spans="1:7" x14ac:dyDescent="0.2">
      <c r="A17" s="533" t="s">
        <v>167</v>
      </c>
      <c r="B17" s="533"/>
      <c r="C17" s="218">
        <f>C15+C16</f>
        <v>288885600</v>
      </c>
      <c r="D17" s="217"/>
    </row>
    <row r="18" spans="1:7" x14ac:dyDescent="0.2">
      <c r="A18" s="532" t="s">
        <v>95</v>
      </c>
      <c r="B18" s="532"/>
      <c r="C18" s="378"/>
    </row>
    <row r="19" spans="1:7" x14ac:dyDescent="0.2">
      <c r="A19" s="219" t="s">
        <v>127</v>
      </c>
      <c r="B19" s="220"/>
      <c r="C19" s="193">
        <f>ROUND(NPVCalc!G24,-2)</f>
        <v>165278800</v>
      </c>
      <c r="D19" s="214"/>
    </row>
    <row r="20" spans="1:7" x14ac:dyDescent="0.2">
      <c r="A20" s="531" t="s">
        <v>96</v>
      </c>
      <c r="B20" s="531"/>
      <c r="C20" s="421">
        <f>C19</f>
        <v>165278800</v>
      </c>
    </row>
    <row r="21" spans="1:7" x14ac:dyDescent="0.2">
      <c r="A21" s="221" t="s">
        <v>91</v>
      </c>
      <c r="B21" s="220"/>
      <c r="C21" s="218">
        <f>C17-C20</f>
        <v>123606800</v>
      </c>
      <c r="D21" s="193"/>
      <c r="G21" s="193"/>
    </row>
    <row r="22" spans="1:7" x14ac:dyDescent="0.2">
      <c r="A22" s="530" t="s">
        <v>92</v>
      </c>
      <c r="B22" s="530"/>
      <c r="C22" s="384">
        <f>C17/C20</f>
        <v>1.7478684501581569</v>
      </c>
      <c r="D22" s="442"/>
    </row>
  </sheetData>
  <mergeCells count="13">
    <mergeCell ref="A22:B22"/>
    <mergeCell ref="A20:B20"/>
    <mergeCell ref="A2:C2"/>
    <mergeCell ref="A3:B3"/>
    <mergeCell ref="A18:B18"/>
    <mergeCell ref="A15:B15"/>
    <mergeCell ref="A17:B17"/>
    <mergeCell ref="G2:G3"/>
    <mergeCell ref="H2:H3"/>
    <mergeCell ref="E1:H1"/>
    <mergeCell ref="A1:C1"/>
    <mergeCell ref="E2:E3"/>
    <mergeCell ref="F2:F3"/>
  </mergeCells>
  <phoneticPr fontId="5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B1:AT51"/>
  <sheetViews>
    <sheetView zoomScale="115" zoomScaleNormal="115" workbookViewId="0">
      <pane xSplit="5" ySplit="5" topLeftCell="AF6" activePane="bottomRight" state="frozen"/>
      <selection activeCell="L36" sqref="L36"/>
      <selection pane="topRight" activeCell="L36" sqref="L36"/>
      <selection pane="bottomLeft" activeCell="L36" sqref="L36"/>
      <selection pane="bottomRight" activeCell="AS17" sqref="AS17"/>
    </sheetView>
  </sheetViews>
  <sheetFormatPr defaultColWidth="9.140625" defaultRowHeight="11.25" x14ac:dyDescent="0.2"/>
  <cols>
    <col min="1" max="1" width="3.140625" style="27" customWidth="1"/>
    <col min="2" max="2" width="3.42578125" style="73" customWidth="1"/>
    <col min="3" max="3" width="2.42578125" style="27" customWidth="1"/>
    <col min="4" max="4" width="2.42578125" style="49" customWidth="1"/>
    <col min="5" max="5" width="28.5703125" style="49" customWidth="1"/>
    <col min="6" max="6" width="18.140625" style="49" customWidth="1"/>
    <col min="7" max="16" width="13.85546875" style="74" customWidth="1"/>
    <col min="17" max="17" width="11.5703125" style="27" customWidth="1"/>
    <col min="18" max="18" width="11.5703125" style="28" customWidth="1"/>
    <col min="19" max="19" width="11.5703125" style="29" customWidth="1"/>
    <col min="20" max="23" width="11.5703125" style="30" customWidth="1"/>
    <col min="24" max="33" width="11.5703125" style="27" customWidth="1"/>
    <col min="34" max="35" width="13.42578125" style="27" bestFit="1" customWidth="1"/>
    <col min="36" max="36" width="14.140625" style="27" customWidth="1"/>
    <col min="37" max="37" width="13.42578125" style="27" bestFit="1" customWidth="1"/>
    <col min="38" max="38" width="13.42578125" style="27" customWidth="1"/>
    <col min="39" max="40" width="14.42578125" style="27" customWidth="1"/>
    <col min="41" max="41" width="10.7109375" style="27" customWidth="1"/>
    <col min="42" max="42" width="10.140625" style="27" customWidth="1"/>
    <col min="43" max="43" width="10.5703125" style="27" customWidth="1"/>
    <col min="44" max="44" width="12.5703125" style="27" bestFit="1" customWidth="1"/>
    <col min="45" max="45" width="9.28515625" style="27" bestFit="1" customWidth="1"/>
    <col min="46" max="16384" width="9.140625" style="27"/>
  </cols>
  <sheetData>
    <row r="1" spans="2:44" x14ac:dyDescent="0.2">
      <c r="B1" s="24" t="str">
        <f>Inputs!C1</f>
        <v>US 27 PALMETTO Project</v>
      </c>
      <c r="C1" s="25"/>
      <c r="D1" s="25"/>
      <c r="E1" s="25"/>
      <c r="F1" s="25"/>
      <c r="G1" s="26"/>
      <c r="H1" s="26"/>
      <c r="I1" s="26"/>
      <c r="J1" s="26"/>
      <c r="K1" s="26"/>
      <c r="L1" s="26"/>
      <c r="M1" s="26"/>
      <c r="N1" s="26"/>
      <c r="O1" s="26"/>
      <c r="P1" s="26"/>
      <c r="S1" s="29" t="s">
        <v>4</v>
      </c>
      <c r="T1" s="30" t="s">
        <v>4</v>
      </c>
    </row>
    <row r="2" spans="2:44" x14ac:dyDescent="0.2">
      <c r="B2" s="24" t="s">
        <v>67</v>
      </c>
      <c r="C2" s="25"/>
      <c r="D2" s="25"/>
      <c r="E2" s="25"/>
      <c r="F2" s="25"/>
      <c r="G2" s="26"/>
      <c r="H2" s="26"/>
      <c r="I2" s="26"/>
      <c r="J2" s="26"/>
      <c r="K2" s="26"/>
      <c r="L2" s="26"/>
      <c r="M2" s="26"/>
      <c r="N2" s="26"/>
      <c r="O2" s="26"/>
      <c r="P2" s="26"/>
      <c r="S2" s="92">
        <f>SUM(V7:AN7)</f>
        <v>563288509.33744872</v>
      </c>
    </row>
    <row r="3" spans="2:44" x14ac:dyDescent="0.2">
      <c r="B3" s="24" t="s">
        <v>14</v>
      </c>
      <c r="C3" s="24"/>
      <c r="D3" s="32"/>
      <c r="E3" s="32"/>
      <c r="F3" s="32"/>
      <c r="G3" s="33"/>
      <c r="H3" s="33"/>
      <c r="I3" s="33"/>
      <c r="J3" s="33"/>
      <c r="K3" s="33"/>
      <c r="L3" s="33"/>
      <c r="M3" s="33"/>
      <c r="N3" s="33"/>
      <c r="O3" s="33"/>
      <c r="P3" s="33"/>
      <c r="R3" s="28" t="s">
        <v>4</v>
      </c>
      <c r="S3" s="31"/>
      <c r="Y3" s="30">
        <v>1</v>
      </c>
      <c r="Z3" s="30">
        <v>2</v>
      </c>
      <c r="AA3" s="30">
        <v>3</v>
      </c>
      <c r="AB3" s="30">
        <v>4</v>
      </c>
      <c r="AC3" s="30">
        <v>5</v>
      </c>
      <c r="AD3" s="30">
        <v>6</v>
      </c>
      <c r="AE3" s="30">
        <v>7</v>
      </c>
      <c r="AF3" s="30">
        <v>8</v>
      </c>
      <c r="AG3" s="30">
        <v>9</v>
      </c>
      <c r="AH3" s="30">
        <v>10</v>
      </c>
      <c r="AI3" s="30">
        <v>11</v>
      </c>
      <c r="AJ3" s="30">
        <v>12</v>
      </c>
      <c r="AK3" s="30">
        <v>13</v>
      </c>
      <c r="AL3" s="30">
        <v>14</v>
      </c>
      <c r="AM3" s="30">
        <v>15</v>
      </c>
      <c r="AN3" s="30">
        <v>16</v>
      </c>
      <c r="AO3" s="30">
        <v>17</v>
      </c>
      <c r="AP3" s="30">
        <v>18</v>
      </c>
      <c r="AQ3" s="30">
        <v>19</v>
      </c>
      <c r="AR3" s="30">
        <v>20</v>
      </c>
    </row>
    <row r="4" spans="2:44" ht="12" thickBot="1" x14ac:dyDescent="0.25">
      <c r="B4" s="34"/>
      <c r="C4" s="35"/>
      <c r="D4" s="36"/>
      <c r="E4" s="36"/>
      <c r="F4" s="36"/>
      <c r="G4" s="37"/>
      <c r="H4" s="37"/>
      <c r="I4" s="37"/>
      <c r="J4" s="37"/>
      <c r="K4" s="37"/>
      <c r="L4" s="37"/>
      <c r="M4" s="37"/>
      <c r="N4" s="37"/>
      <c r="O4" s="37"/>
      <c r="P4" s="37"/>
      <c r="R4" s="37"/>
      <c r="S4" s="35"/>
      <c r="T4" s="27"/>
      <c r="U4" s="37"/>
      <c r="V4" s="35"/>
      <c r="W4" s="27"/>
      <c r="X4" s="37"/>
      <c r="Y4" s="35"/>
      <c r="AA4" s="37"/>
      <c r="AB4" s="35"/>
      <c r="AD4" s="37"/>
      <c r="AE4" s="35"/>
      <c r="AG4" s="37"/>
      <c r="AH4" s="35"/>
      <c r="AJ4" s="37"/>
      <c r="AK4" s="35"/>
      <c r="AM4" s="37"/>
      <c r="AN4" s="35"/>
    </row>
    <row r="5" spans="2:44" x14ac:dyDescent="0.2">
      <c r="B5" s="38"/>
      <c r="C5" s="39"/>
      <c r="D5" s="40"/>
      <c r="E5" s="40"/>
      <c r="F5" s="482" t="s">
        <v>389</v>
      </c>
      <c r="G5" s="41" t="s">
        <v>15</v>
      </c>
      <c r="H5" s="42">
        <v>2004</v>
      </c>
      <c r="I5" s="42">
        <v>2012</v>
      </c>
      <c r="J5" s="42">
        <f t="shared" ref="J5:O5" si="0">K5-1</f>
        <v>2013</v>
      </c>
      <c r="K5" s="42">
        <f t="shared" si="0"/>
        <v>2014</v>
      </c>
      <c r="L5" s="42">
        <f t="shared" si="0"/>
        <v>2015</v>
      </c>
      <c r="M5" s="42">
        <f t="shared" si="0"/>
        <v>2016</v>
      </c>
      <c r="N5" s="42">
        <f t="shared" si="0"/>
        <v>2017</v>
      </c>
      <c r="O5" s="42">
        <f t="shared" si="0"/>
        <v>2018</v>
      </c>
      <c r="P5" s="42">
        <f>Q5-1</f>
        <v>2019</v>
      </c>
      <c r="Q5" s="42">
        <v>2020</v>
      </c>
      <c r="R5" s="42">
        <f t="shared" ref="R5:AC5" si="1">Q5+1</f>
        <v>2021</v>
      </c>
      <c r="S5" s="42">
        <f t="shared" si="1"/>
        <v>2022</v>
      </c>
      <c r="T5" s="42">
        <f t="shared" si="1"/>
        <v>2023</v>
      </c>
      <c r="U5" s="42">
        <f t="shared" si="1"/>
        <v>2024</v>
      </c>
      <c r="V5" s="42">
        <f t="shared" si="1"/>
        <v>2025</v>
      </c>
      <c r="W5" s="42">
        <f t="shared" si="1"/>
        <v>2026</v>
      </c>
      <c r="X5" s="42">
        <f t="shared" si="1"/>
        <v>2027</v>
      </c>
      <c r="Y5" s="42">
        <f t="shared" si="1"/>
        <v>2028</v>
      </c>
      <c r="Z5" s="42">
        <f t="shared" si="1"/>
        <v>2029</v>
      </c>
      <c r="AA5" s="42">
        <f t="shared" si="1"/>
        <v>2030</v>
      </c>
      <c r="AB5" s="42">
        <f t="shared" si="1"/>
        <v>2031</v>
      </c>
      <c r="AC5" s="42">
        <f t="shared" si="1"/>
        <v>2032</v>
      </c>
      <c r="AD5" s="42">
        <f t="shared" ref="AD5:AN5" si="2">AC5+1</f>
        <v>2033</v>
      </c>
      <c r="AE5" s="42">
        <f t="shared" si="2"/>
        <v>2034</v>
      </c>
      <c r="AF5" s="42">
        <f t="shared" si="2"/>
        <v>2035</v>
      </c>
      <c r="AG5" s="42">
        <f t="shared" si="2"/>
        <v>2036</v>
      </c>
      <c r="AH5" s="42">
        <f t="shared" si="2"/>
        <v>2037</v>
      </c>
      <c r="AI5" s="42">
        <f t="shared" si="2"/>
        <v>2038</v>
      </c>
      <c r="AJ5" s="42">
        <f t="shared" si="2"/>
        <v>2039</v>
      </c>
      <c r="AK5" s="42">
        <f t="shared" si="2"/>
        <v>2040</v>
      </c>
      <c r="AL5" s="42">
        <f t="shared" si="2"/>
        <v>2041</v>
      </c>
      <c r="AM5" s="42">
        <f t="shared" si="2"/>
        <v>2042</v>
      </c>
      <c r="AN5" s="42">
        <f t="shared" si="2"/>
        <v>2043</v>
      </c>
      <c r="AO5" s="42">
        <f t="shared" ref="AO5" si="3">AN5+1</f>
        <v>2044</v>
      </c>
      <c r="AP5" s="42">
        <f t="shared" ref="AP5" si="4">AO5+1</f>
        <v>2045</v>
      </c>
      <c r="AQ5" s="42">
        <f t="shared" ref="AQ5" si="5">AP5+1</f>
        <v>2046</v>
      </c>
      <c r="AR5" s="95">
        <f t="shared" ref="AR5" si="6">AQ5+1</f>
        <v>2047</v>
      </c>
    </row>
    <row r="6" spans="2:44" x14ac:dyDescent="0.2">
      <c r="B6" s="43" t="s">
        <v>16</v>
      </c>
      <c r="C6" s="35"/>
      <c r="D6" s="36"/>
      <c r="E6" s="36"/>
      <c r="F6" s="479"/>
      <c r="G6" s="87"/>
      <c r="H6" s="88"/>
      <c r="I6" s="88"/>
      <c r="J6" s="88"/>
      <c r="K6" s="88"/>
      <c r="L6" s="88"/>
      <c r="M6" s="88"/>
      <c r="N6" s="88"/>
      <c r="O6" s="88"/>
      <c r="P6" s="88"/>
      <c r="Q6" s="89"/>
      <c r="R6" s="89"/>
      <c r="S6" s="90"/>
      <c r="T6" s="88"/>
      <c r="U6" s="88"/>
      <c r="V6" s="88"/>
      <c r="W6" s="88"/>
      <c r="X6" s="89"/>
      <c r="Y6" s="89"/>
      <c r="Z6" s="89"/>
      <c r="AA6" s="89"/>
      <c r="AB6" s="89"/>
      <c r="AC6" s="89"/>
      <c r="AD6" s="89"/>
      <c r="AE6" s="89"/>
      <c r="AF6" s="89"/>
      <c r="AG6" s="89"/>
      <c r="AH6" s="89"/>
      <c r="AI6" s="89"/>
      <c r="AJ6" s="89"/>
      <c r="AK6" s="89"/>
      <c r="AL6" s="89"/>
      <c r="AM6" s="89"/>
      <c r="AN6" s="89"/>
      <c r="AO6" s="35"/>
      <c r="AP6" s="35"/>
      <c r="AQ6" s="35"/>
      <c r="AR6" s="98"/>
    </row>
    <row r="7" spans="2:44" x14ac:dyDescent="0.2">
      <c r="B7" s="44"/>
      <c r="C7" s="45" t="s">
        <v>17</v>
      </c>
      <c r="D7" s="45"/>
      <c r="E7" s="45"/>
      <c r="F7" s="46">
        <f t="shared" ref="F7:F8" si="7">SUM(Y7:AR7)</f>
        <v>812062526.98243773</v>
      </c>
      <c r="G7" s="53">
        <f>G8+G9</f>
        <v>232445599.3620275</v>
      </c>
      <c r="H7" s="473"/>
      <c r="I7" s="473"/>
      <c r="J7" s="473"/>
      <c r="K7" s="473"/>
      <c r="L7" s="473"/>
      <c r="M7" s="473"/>
      <c r="N7" s="473"/>
      <c r="O7" s="473"/>
      <c r="P7" s="473"/>
      <c r="Q7" s="54">
        <f t="shared" ref="Q7:AQ7" si="8">Q8+Q9</f>
        <v>0</v>
      </c>
      <c r="R7" s="54">
        <f t="shared" si="8"/>
        <v>0</v>
      </c>
      <c r="S7" s="54">
        <f t="shared" si="8"/>
        <v>0</v>
      </c>
      <c r="T7" s="54">
        <f t="shared" si="8"/>
        <v>0</v>
      </c>
      <c r="U7" s="54">
        <f t="shared" si="8"/>
        <v>0</v>
      </c>
      <c r="V7" s="54">
        <f t="shared" si="8"/>
        <v>0</v>
      </c>
      <c r="W7" s="54">
        <f t="shared" si="8"/>
        <v>0</v>
      </c>
      <c r="X7" s="54">
        <f t="shared" si="8"/>
        <v>0</v>
      </c>
      <c r="Y7" s="54">
        <f t="shared" si="8"/>
        <v>19437488.873816848</v>
      </c>
      <c r="Z7" s="54">
        <f t="shared" si="8"/>
        <v>21163654.254656795</v>
      </c>
      <c r="AA7" s="54">
        <f t="shared" si="8"/>
        <v>22961678.102973919</v>
      </c>
      <c r="AB7" s="54">
        <f t="shared" si="8"/>
        <v>24834053.795920998</v>
      </c>
      <c r="AC7" s="54">
        <f t="shared" si="8"/>
        <v>26783354.72985125</v>
      </c>
      <c r="AD7" s="54">
        <f t="shared" si="8"/>
        <v>28812236.786659345</v>
      </c>
      <c r="AE7" s="54">
        <f t="shared" si="8"/>
        <v>30923440.874418639</v>
      </c>
      <c r="AF7" s="54">
        <f t="shared" si="8"/>
        <v>33119795.54452268</v>
      </c>
      <c r="AG7" s="54">
        <f t="shared" si="8"/>
        <v>35404219.687603675</v>
      </c>
      <c r="AH7" s="54">
        <f t="shared" si="8"/>
        <v>37779725.310567595</v>
      </c>
      <c r="AI7" s="54">
        <f t="shared" si="8"/>
        <v>40249420.397155203</v>
      </c>
      <c r="AJ7" s="54">
        <f t="shared" si="8"/>
        <v>42816511.854507938</v>
      </c>
      <c r="AK7" s="54">
        <f t="shared" si="8"/>
        <v>45484308.548292086</v>
      </c>
      <c r="AL7" s="54">
        <f t="shared" si="8"/>
        <v>48256224.429008633</v>
      </c>
      <c r="AM7" s="54">
        <f t="shared" si="8"/>
        <v>51135781.752194308</v>
      </c>
      <c r="AN7" s="54">
        <f t="shared" si="8"/>
        <v>54126614.395298839</v>
      </c>
      <c r="AO7" s="54">
        <f t="shared" si="8"/>
        <v>57232471.274104886</v>
      </c>
      <c r="AP7" s="54">
        <f t="shared" si="8"/>
        <v>60457219.861642241</v>
      </c>
      <c r="AQ7" s="54">
        <f t="shared" si="8"/>
        <v>63804849.81263499</v>
      </c>
      <c r="AR7" s="96">
        <f t="shared" ref="AR7" si="9">AR8+AR9</f>
        <v>67279476.696606979</v>
      </c>
    </row>
    <row r="8" spans="2:44" x14ac:dyDescent="0.2">
      <c r="B8" s="44"/>
      <c r="C8" s="45"/>
      <c r="D8" s="45" t="s">
        <v>27</v>
      </c>
      <c r="E8" s="45"/>
      <c r="F8" s="46">
        <f t="shared" si="7"/>
        <v>690727647.69743395</v>
      </c>
      <c r="G8" s="46">
        <f>Q8+NPV(Disc,R8:AR8)</f>
        <v>197714580.74979702</v>
      </c>
      <c r="H8" s="474"/>
      <c r="I8" s="474"/>
      <c r="J8" s="474"/>
      <c r="K8" s="474"/>
      <c r="L8" s="474"/>
      <c r="M8" s="474"/>
      <c r="N8" s="474"/>
      <c r="O8" s="474"/>
      <c r="P8" s="474"/>
      <c r="Q8" s="47">
        <f>'Travel Time Benefits '!E13</f>
        <v>0</v>
      </c>
      <c r="R8" s="47">
        <f>'Travel Time Benefits '!F13</f>
        <v>0</v>
      </c>
      <c r="S8" s="47">
        <f>'Travel Time Benefits '!G13</f>
        <v>0</v>
      </c>
      <c r="T8" s="47">
        <f>'Travel Time Benefits '!H13</f>
        <v>0</v>
      </c>
      <c r="U8" s="47">
        <f>'Travel Time Benefits '!I13</f>
        <v>0</v>
      </c>
      <c r="V8" s="47">
        <f>U8</f>
        <v>0</v>
      </c>
      <c r="W8" s="47">
        <f t="shared" ref="W8:X8" si="10">V8</f>
        <v>0</v>
      </c>
      <c r="X8" s="47">
        <f t="shared" si="10"/>
        <v>0</v>
      </c>
      <c r="Y8" s="47">
        <f>'Travel Time Benefits '!M13</f>
        <v>16533223.145816844</v>
      </c>
      <c r="Z8" s="47">
        <f>'Travel Time Benefits '!N13</f>
        <v>18001472.342679624</v>
      </c>
      <c r="AA8" s="47">
        <f>'Travel Time Benefits '!O13</f>
        <v>19530843.224829484</v>
      </c>
      <c r="AB8" s="47">
        <f>'Travel Time Benefits '!P13</f>
        <v>21123456.619762257</v>
      </c>
      <c r="AC8" s="47">
        <f>'Travel Time Benefits '!Q13</f>
        <v>22781501.41805052</v>
      </c>
      <c r="AD8" s="47">
        <f>'Travel Time Benefits '!R13</f>
        <v>24507236.671174563</v>
      </c>
      <c r="AE8" s="47">
        <f>'Travel Time Benefits '!S13</f>
        <v>26302993.752548572</v>
      </c>
      <c r="AF8" s="47">
        <f>'Travel Time Benefits '!T13</f>
        <v>28171178.583620142</v>
      </c>
      <c r="AG8" s="47">
        <f>'Travel Time Benefits '!U13</f>
        <v>30114273.926976241</v>
      </c>
      <c r="AH8" s="47">
        <f>'Travel Time Benefits '!V13</f>
        <v>32134841.748445712</v>
      </c>
      <c r="AI8" s="47">
        <f>'Travel Time Benefits '!W13</f>
        <v>34235525.650247604</v>
      </c>
      <c r="AJ8" s="47">
        <f>'Travel Time Benefits '!X13</f>
        <v>36419053.377293892</v>
      </c>
      <c r="AK8" s="47">
        <f>'Travel Time Benefits '!Y13</f>
        <v>38688239.398818523</v>
      </c>
      <c r="AL8" s="47">
        <f>'Travel Time Benefits '!Z13</f>
        <v>41045987.56756749</v>
      </c>
      <c r="AM8" s="47">
        <f>'Travel Time Benefits '!AA13</f>
        <v>43495293.858851358</v>
      </c>
      <c r="AN8" s="47">
        <f>'Travel Time Benefits '!AB13</f>
        <v>46039249.191829026</v>
      </c>
      <c r="AO8" s="47">
        <f>'Travel Time Benefits '!AC13</f>
        <v>48681042.335460924</v>
      </c>
      <c r="AP8" s="47">
        <f>'Travel Time Benefits '!AD13</f>
        <v>51423962.901642241</v>
      </c>
      <c r="AQ8" s="47">
        <f>'Travel Time Benefits '!AE13</f>
        <v>54271404.428100839</v>
      </c>
      <c r="AR8" s="97">
        <f>'Travel Time Benefits '!AF13</f>
        <v>57226867.553718187</v>
      </c>
    </row>
    <row r="9" spans="2:44" x14ac:dyDescent="0.2">
      <c r="B9" s="44"/>
      <c r="C9" s="45"/>
      <c r="D9" s="45" t="s">
        <v>24</v>
      </c>
      <c r="E9" s="45"/>
      <c r="F9" s="46">
        <f>SUM(Y9:AR9)</f>
        <v>121334879.2850038</v>
      </c>
      <c r="G9" s="46">
        <f>Q9+NPV(Disc,R9:AR9)</f>
        <v>34731018.61223048</v>
      </c>
      <c r="H9" s="474"/>
      <c r="I9" s="474"/>
      <c r="J9" s="474"/>
      <c r="K9" s="474"/>
      <c r="L9" s="474"/>
      <c r="M9" s="474"/>
      <c r="N9" s="474"/>
      <c r="O9" s="474"/>
      <c r="P9" s="474"/>
      <c r="Q9" s="47">
        <f>'Travel Time Benefits '!E14</f>
        <v>0</v>
      </c>
      <c r="R9" s="47">
        <f>'Travel Time Benefits '!F14</f>
        <v>0</v>
      </c>
      <c r="S9" s="47">
        <f>'Travel Time Benefits '!G14</f>
        <v>0</v>
      </c>
      <c r="T9" s="47">
        <f>'Travel Time Benefits '!H14</f>
        <v>0</v>
      </c>
      <c r="U9" s="47">
        <f>'Travel Time Benefits '!I14</f>
        <v>0</v>
      </c>
      <c r="V9" s="47">
        <f>U9</f>
        <v>0</v>
      </c>
      <c r="W9" s="47">
        <f t="shared" ref="W9:X9" si="11">V9</f>
        <v>0</v>
      </c>
      <c r="X9" s="47">
        <f t="shared" si="11"/>
        <v>0</v>
      </c>
      <c r="Y9" s="47">
        <f>'Travel Time Benefits '!M14</f>
        <v>2904265.7280000029</v>
      </c>
      <c r="Z9" s="47">
        <f>'Travel Time Benefits '!N14</f>
        <v>3162181.9119771724</v>
      </c>
      <c r="AA9" s="47">
        <f>'Travel Time Benefits '!O14</f>
        <v>3430834.8781444365</v>
      </c>
      <c r="AB9" s="47">
        <f>'Travel Time Benefits '!P14</f>
        <v>3710597.1761587402</v>
      </c>
      <c r="AC9" s="47">
        <f>'Travel Time Benefits '!Q14</f>
        <v>4001853.3118007281</v>
      </c>
      <c r="AD9" s="47">
        <f>'Travel Time Benefits '!R14</f>
        <v>4305000.1154847806</v>
      </c>
      <c r="AE9" s="47">
        <f>'Travel Time Benefits '!S14</f>
        <v>4620447.121870066</v>
      </c>
      <c r="AF9" s="47">
        <f>'Travel Time Benefits '!T14</f>
        <v>4948616.9609025372</v>
      </c>
      <c r="AG9" s="47">
        <f>'Travel Time Benefits '!U14</f>
        <v>5289945.7606274318</v>
      </c>
      <c r="AH9" s="47">
        <f>'Travel Time Benefits '!V14</f>
        <v>5644883.562121884</v>
      </c>
      <c r="AI9" s="47">
        <f>'Travel Time Benefits '!W14</f>
        <v>6013894.7469076021</v>
      </c>
      <c r="AJ9" s="47">
        <f>'Travel Time Benefits '!X14</f>
        <v>6397458.477214043</v>
      </c>
      <c r="AK9" s="47">
        <f>'Travel Time Benefits '!Y14</f>
        <v>6796069.149473561</v>
      </c>
      <c r="AL9" s="47">
        <f>'Travel Time Benefits '!Z14</f>
        <v>7210236.8614411401</v>
      </c>
      <c r="AM9" s="47">
        <f>'Travel Time Benefits '!AA14</f>
        <v>7640487.8933429467</v>
      </c>
      <c r="AN9" s="47">
        <f>'Travel Time Benefits '!AB14</f>
        <v>8087365.2034698129</v>
      </c>
      <c r="AO9" s="47">
        <f>'Travel Time Benefits '!AC14</f>
        <v>8551428.938643964</v>
      </c>
      <c r="AP9" s="47">
        <f>'Travel Time Benefits '!AD14</f>
        <v>9033256.9600000009</v>
      </c>
      <c r="AQ9" s="47">
        <f>'Travel Time Benefits '!AE14</f>
        <v>9533445.3845341541</v>
      </c>
      <c r="AR9" s="97">
        <f>'Travel Time Benefits '!AF14</f>
        <v>10052609.142888797</v>
      </c>
    </row>
    <row r="10" spans="2:44" x14ac:dyDescent="0.2">
      <c r="B10" s="44"/>
      <c r="C10" s="45" t="s">
        <v>83</v>
      </c>
      <c r="D10" s="35"/>
      <c r="E10" s="36"/>
      <c r="F10" s="46">
        <f>SUM(Y10:AR10)</f>
        <v>102634123.03347801</v>
      </c>
      <c r="G10" s="46">
        <f>Q10+NPV(Disc,R10:AR10)</f>
        <v>34248648.117195278</v>
      </c>
      <c r="H10" s="474"/>
      <c r="I10" s="474"/>
      <c r="J10" s="474"/>
      <c r="K10" s="474"/>
      <c r="L10" s="474"/>
      <c r="M10" s="474"/>
      <c r="N10" s="474"/>
      <c r="O10" s="474"/>
      <c r="P10" s="474"/>
      <c r="Q10" s="47">
        <v>0</v>
      </c>
      <c r="R10" s="47">
        <v>0</v>
      </c>
      <c r="S10" s="47">
        <v>0</v>
      </c>
      <c r="T10" s="47">
        <v>0</v>
      </c>
      <c r="U10" s="47">
        <v>0</v>
      </c>
      <c r="V10" s="47">
        <v>0</v>
      </c>
      <c r="W10" s="47">
        <v>0</v>
      </c>
      <c r="X10" s="47">
        <v>0</v>
      </c>
      <c r="Y10" s="47">
        <f>'Crash Benefits'!M55</f>
        <v>5367920.253615397</v>
      </c>
      <c r="Z10" s="47">
        <f>'Crash Benefits'!N55</f>
        <v>5348448.8097546408</v>
      </c>
      <c r="AA10" s="47">
        <f>'Crash Benefits'!O55</f>
        <v>5328140.7396313399</v>
      </c>
      <c r="AB10" s="47">
        <f>'Crash Benefits'!P55</f>
        <v>5306982.0260226298</v>
      </c>
      <c r="AC10" s="47">
        <f>'Crash Benefits'!Q55</f>
        <v>5284958.4616057547</v>
      </c>
      <c r="AD10" s="47">
        <f>'Crash Benefits'!R55</f>
        <v>5262055.6466141744</v>
      </c>
      <c r="AE10" s="47">
        <f>'Crash Benefits'!S55</f>
        <v>5238258.9864662793</v>
      </c>
      <c r="AF10" s="47">
        <f>'Crash Benefits'!T55</f>
        <v>5213553.6893663444</v>
      </c>
      <c r="AG10" s="47">
        <f>'Crash Benefits'!U55</f>
        <v>5187924.7638775613</v>
      </c>
      <c r="AH10" s="47">
        <f>'Crash Benefits'!V55</f>
        <v>5161357.0164666902</v>
      </c>
      <c r="AI10" s="47">
        <f>'Crash Benefits'!W55</f>
        <v>5133835.0490200631</v>
      </c>
      <c r="AJ10" s="47">
        <f>'Crash Benefits'!X55</f>
        <v>5105343.2563306736</v>
      </c>
      <c r="AK10" s="47">
        <f>'Crash Benefits'!Y55</f>
        <v>5075865.8235559408</v>
      </c>
      <c r="AL10" s="47">
        <f>'Crash Benefits'!Z55</f>
        <v>5045386.723645824</v>
      </c>
      <c r="AM10" s="47">
        <f>'Crash Benefits'!AA55</f>
        <v>5013889.7147409897</v>
      </c>
      <c r="AN10" s="47">
        <f>'Crash Benefits'!AB55</f>
        <v>4981358.3375407755</v>
      </c>
      <c r="AO10" s="47">
        <f>'Crash Benefits'!AC55</f>
        <v>4947775.9126403779</v>
      </c>
      <c r="AP10" s="47">
        <f>'Crash Benefits'!AD55</f>
        <v>4913125.5378371524</v>
      </c>
      <c r="AQ10" s="47">
        <f>'Crash Benefits'!AE55</f>
        <v>4877390.0854054159</v>
      </c>
      <c r="AR10" s="97">
        <f>'Crash Benefits'!AF55</f>
        <v>4840552.199339984</v>
      </c>
    </row>
    <row r="11" spans="2:44" x14ac:dyDescent="0.2">
      <c r="B11" s="44"/>
      <c r="C11" s="48" t="s">
        <v>50</v>
      </c>
      <c r="F11" s="46"/>
      <c r="G11" s="46"/>
      <c r="H11" s="474"/>
      <c r="I11" s="474"/>
      <c r="J11" s="474"/>
      <c r="K11" s="474"/>
      <c r="L11" s="474"/>
      <c r="M11" s="474"/>
      <c r="N11" s="474"/>
      <c r="O11" s="474"/>
      <c r="P11" s="474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98"/>
    </row>
    <row r="12" spans="2:44" x14ac:dyDescent="0.2">
      <c r="B12" s="44"/>
      <c r="C12" s="45"/>
      <c r="D12" s="35" t="s">
        <v>57</v>
      </c>
      <c r="E12" s="36"/>
      <c r="F12" s="46">
        <f>SUM(Y12:AR12)</f>
        <v>74986636.068292201</v>
      </c>
      <c r="G12" s="46">
        <f>Q12+NPV(Disc,R12:AR12)</f>
        <v>20966754.097958639</v>
      </c>
      <c r="H12" s="474"/>
      <c r="I12" s="474"/>
      <c r="J12" s="474"/>
      <c r="K12" s="474"/>
      <c r="L12" s="474"/>
      <c r="M12" s="474"/>
      <c r="N12" s="474"/>
      <c r="O12" s="474"/>
      <c r="P12" s="474"/>
      <c r="Q12" s="47">
        <v>0</v>
      </c>
      <c r="R12" s="47">
        <v>0</v>
      </c>
      <c r="S12" s="47">
        <v>0</v>
      </c>
      <c r="T12" s="47">
        <v>0</v>
      </c>
      <c r="U12" s="47">
        <v>0</v>
      </c>
      <c r="V12" s="47">
        <v>0</v>
      </c>
      <c r="W12" s="47">
        <v>0</v>
      </c>
      <c r="X12" s="47">
        <v>0</v>
      </c>
      <c r="Y12" s="47">
        <f>'Fuel Cost savings'!O28</f>
        <v>1084757.5960484762</v>
      </c>
      <c r="Z12" s="47">
        <f>'Fuel Cost savings'!P28</f>
        <v>1292013.1694544964</v>
      </c>
      <c r="AA12" s="47">
        <f>'Fuel Cost savings'!Q28</f>
        <v>1502537.3010763638</v>
      </c>
      <c r="AB12" s="47">
        <f>'Fuel Cost savings'!R28</f>
        <v>1716368.535539113</v>
      </c>
      <c r="AC12" s="47">
        <f>'Fuel Cost savings'!S28</f>
        <v>1933545.8133123554</v>
      </c>
      <c r="AD12" s="47">
        <f>'Fuel Cost savings'!T28</f>
        <v>2154108.4743944257</v>
      </c>
      <c r="AE12" s="47">
        <f>'Fuel Cost savings'!U28</f>
        <v>2378096.2620276324</v>
      </c>
      <c r="AF12" s="47">
        <f>'Fuel Cost savings'!V28</f>
        <v>2585451.086004328</v>
      </c>
      <c r="AG12" s="47">
        <f>'Fuel Cost savings'!W28</f>
        <v>4945950.4666015841</v>
      </c>
      <c r="AH12" s="47">
        <f>'Fuel Cost savings'!X28</f>
        <v>4961432.1668207385</v>
      </c>
      <c r="AI12" s="47">
        <f>'Fuel Cost savings'!Y28</f>
        <v>4976771.1869508848</v>
      </c>
      <c r="AJ12" s="47">
        <f>'Fuel Cost savings'!Z28</f>
        <v>4991963.4878718853</v>
      </c>
      <c r="AK12" s="47">
        <f>'Fuel Cost savings'!AA28</f>
        <v>5007004.9670580812</v>
      </c>
      <c r="AL12" s="47">
        <f>'Fuel Cost savings'!AB28</f>
        <v>5021891.457740739</v>
      </c>
      <c r="AM12" s="47">
        <f>'Fuel Cost savings'!AC28</f>
        <v>5036618.7280603126</v>
      </c>
      <c r="AN12" s="47">
        <f>'Fuel Cost savings'!AD28</f>
        <v>5051182.4802083969</v>
      </c>
      <c r="AO12" s="47">
        <f>'Fuel Cost savings'!AE28</f>
        <v>5065578.3495592624</v>
      </c>
      <c r="AP12" s="47">
        <f>'Fuel Cost savings'!AF28</f>
        <v>5079801.9037908465</v>
      </c>
      <c r="AQ12" s="47">
        <f>'Fuel Cost savings'!AG28</f>
        <v>5093848.6419950202</v>
      </c>
      <c r="AR12" s="97">
        <f>'Fuel Cost savings'!AH28</f>
        <v>5107713.9937772676</v>
      </c>
    </row>
    <row r="13" spans="2:44" x14ac:dyDescent="0.2">
      <c r="B13" s="44"/>
      <c r="C13" s="45"/>
      <c r="D13" s="35" t="s">
        <v>65</v>
      </c>
      <c r="E13" s="36"/>
      <c r="F13" s="46">
        <f>SUM(Y13:AR13)</f>
        <v>-36298351.425949134</v>
      </c>
      <c r="G13" s="46">
        <f>Q13+NPV(Disc,R13:AR13)</f>
        <v>-10695066.486398835</v>
      </c>
      <c r="H13" s="474"/>
      <c r="I13" s="474"/>
      <c r="J13" s="474"/>
      <c r="K13" s="474"/>
      <c r="L13" s="474"/>
      <c r="M13" s="474"/>
      <c r="N13" s="474"/>
      <c r="O13" s="474"/>
      <c r="P13" s="474"/>
      <c r="Q13" s="47">
        <v>0</v>
      </c>
      <c r="R13" s="47">
        <v>0</v>
      </c>
      <c r="S13" s="47">
        <v>0</v>
      </c>
      <c r="T13" s="47">
        <v>0</v>
      </c>
      <c r="U13" s="47">
        <v>0</v>
      </c>
      <c r="V13" s="47">
        <v>0</v>
      </c>
      <c r="W13" s="47">
        <v>0</v>
      </c>
      <c r="X13" s="47">
        <v>0</v>
      </c>
      <c r="Y13" s="47">
        <f>'Vehicle Op Costs (non-fuel)'!M33</f>
        <v>-1007595.6214826703</v>
      </c>
      <c r="Z13" s="47">
        <f>'Vehicle Op Costs (non-fuel)'!N33</f>
        <v>-1083996.6087014005</v>
      </c>
      <c r="AA13" s="47">
        <f>'Vehicle Op Costs (non-fuel)'!O33</f>
        <v>-1161745.2144598067</v>
      </c>
      <c r="AB13" s="47">
        <f>'Vehicle Op Costs (non-fuel)'!P33</f>
        <v>-1240860.0685587153</v>
      </c>
      <c r="AC13" s="47">
        <f>'Vehicle Op Costs (non-fuel)'!Q33</f>
        <v>-1321360.0327889994</v>
      </c>
      <c r="AD13" s="47">
        <f>'Vehicle Op Costs (non-fuel)'!R33</f>
        <v>-1403264.2036583126</v>
      </c>
      <c r="AE13" s="47">
        <f>'Vehicle Op Costs (non-fuel)'!S33</f>
        <v>-1486591.915148899</v>
      </c>
      <c r="AF13" s="47">
        <f>'Vehicle Op Costs (non-fuel)'!T33</f>
        <v>-1571362.7415065244</v>
      </c>
      <c r="AG13" s="47">
        <f>'Vehicle Op Costs (non-fuel)'!U33</f>
        <v>-1657596.5000611097</v>
      </c>
      <c r="AH13" s="47">
        <f>'Vehicle Op Costs (non-fuel)'!V33</f>
        <v>-1745313.2540791631</v>
      </c>
      <c r="AI13" s="47">
        <f>'Vehicle Op Costs (non-fuel)'!W33</f>
        <v>-1834533.3156486899</v>
      </c>
      <c r="AJ13" s="47">
        <f>'Vehicle Op Costs (non-fuel)'!X33</f>
        <v>-1925277.2485966161</v>
      </c>
      <c r="AK13" s="47">
        <f>'Vehicle Op Costs (non-fuel)'!Y33</f>
        <v>-2017565.8714393601</v>
      </c>
      <c r="AL13" s="47">
        <f>'Vehicle Op Costs (non-fuel)'!Z33</f>
        <v>-2111420.2603665739</v>
      </c>
      <c r="AM13" s="47">
        <f>'Vehicle Op Costs (non-fuel)'!AA33</f>
        <v>-2206861.7522589564</v>
      </c>
      <c r="AN13" s="47">
        <f>'Vehicle Op Costs (non-fuel)'!AB33</f>
        <v>-2303911.9477398768</v>
      </c>
      <c r="AO13" s="47">
        <f>'Vehicle Op Costs (non-fuel)'!AC33</f>
        <v>-2402592.7142616361</v>
      </c>
      <c r="AP13" s="47">
        <f>'Vehicle Op Costs (non-fuel)'!AD33</f>
        <v>-2502926.1892266721</v>
      </c>
      <c r="AQ13" s="47">
        <f>'Vehicle Op Costs (non-fuel)'!AE33</f>
        <v>-2604934.7831440195</v>
      </c>
      <c r="AR13" s="97">
        <f>'Vehicle Op Costs (non-fuel)'!AF33</f>
        <v>-2708641.1828211322</v>
      </c>
    </row>
    <row r="14" spans="2:44" x14ac:dyDescent="0.2">
      <c r="B14" s="44"/>
      <c r="C14" s="45" t="s">
        <v>198</v>
      </c>
      <c r="D14" s="35"/>
      <c r="E14" s="36"/>
      <c r="F14" s="479"/>
      <c r="G14" s="46"/>
      <c r="H14" s="474"/>
      <c r="I14" s="474"/>
      <c r="J14" s="474"/>
      <c r="K14" s="474"/>
      <c r="L14" s="474"/>
      <c r="M14" s="474"/>
      <c r="N14" s="474"/>
      <c r="O14" s="474"/>
      <c r="P14" s="474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7"/>
      <c r="AQ14" s="47"/>
      <c r="AR14" s="98"/>
    </row>
    <row r="15" spans="2:44" ht="12.75" x14ac:dyDescent="0.2">
      <c r="B15" s="44"/>
      <c r="D15" s="27" t="s">
        <v>207</v>
      </c>
      <c r="E15" s="36"/>
      <c r="F15" s="46">
        <f>SUM(Y15:AR15)</f>
        <v>3694212.578602639</v>
      </c>
      <c r="G15" s="46">
        <f>Q15+NPV(Disc,R15:AR15)</f>
        <v>978580.20871204161</v>
      </c>
      <c r="H15" s="474"/>
      <c r="I15" s="474"/>
      <c r="J15" s="474"/>
      <c r="K15" s="474"/>
      <c r="L15" s="474"/>
      <c r="M15" s="474"/>
      <c r="N15" s="474"/>
      <c r="O15" s="474"/>
      <c r="P15" s="474"/>
      <c r="Q15" s="47">
        <v>0</v>
      </c>
      <c r="R15" s="47">
        <v>0</v>
      </c>
      <c r="S15" s="47">
        <v>0</v>
      </c>
      <c r="T15" s="47">
        <v>0</v>
      </c>
      <c r="U15" s="47">
        <v>0</v>
      </c>
      <c r="V15" s="47">
        <v>0</v>
      </c>
      <c r="W15" s="47">
        <v>0</v>
      </c>
      <c r="X15" s="47">
        <v>0</v>
      </c>
      <c r="Y15" s="47">
        <f>'Emission Reduction Savings '!P45</f>
        <v>18901.088244807674</v>
      </c>
      <c r="Z15" s="47">
        <f>'Emission Reduction Savings '!Q45</f>
        <v>30298.391488321126</v>
      </c>
      <c r="AA15" s="47">
        <f>'Emission Reduction Savings '!R45</f>
        <v>42709.314050038112</v>
      </c>
      <c r="AB15" s="47">
        <f>'Emission Reduction Savings '!S45</f>
        <v>54785.413460557116</v>
      </c>
      <c r="AC15" s="47">
        <f>'Emission Reduction Savings '!T45</f>
        <v>67266.214195841458</v>
      </c>
      <c r="AD15" s="47">
        <f>'Emission Reduction Savings '!U45</f>
        <v>80159.98741923552</v>
      </c>
      <c r="AE15" s="47">
        <f>'Emission Reduction Savings '!V45</f>
        <v>93475.140750699444</v>
      </c>
      <c r="AF15" s="47">
        <f>'Emission Reduction Savings '!W45</f>
        <v>107220.22026499873</v>
      </c>
      <c r="AG15" s="47">
        <f>'Emission Reduction Savings '!X45</f>
        <v>260797.40980753012</v>
      </c>
      <c r="AH15" s="47">
        <f>'Emission Reduction Savings '!Y45</f>
        <v>261865.81993411772</v>
      </c>
      <c r="AI15" s="47">
        <f>'Emission Reduction Savings '!Z45</f>
        <v>262931.44425883074</v>
      </c>
      <c r="AJ15" s="47">
        <f>'Emission Reduction Savings '!AA45</f>
        <v>263994.13674419024</v>
      </c>
      <c r="AK15" s="47">
        <f>'Emission Reduction Savings '!AB45</f>
        <v>265053.7488521873</v>
      </c>
      <c r="AL15" s="47">
        <f>'Emission Reduction Savings '!AC45</f>
        <v>266110.12951008801</v>
      </c>
      <c r="AM15" s="47">
        <f>'Emission Reduction Savings '!AD45</f>
        <v>267163.12507581909</v>
      </c>
      <c r="AN15" s="47">
        <f>'Emission Reduction Savings '!AE45</f>
        <v>268212.57930292119</v>
      </c>
      <c r="AO15" s="47">
        <f>'Emission Reduction Savings '!AF45</f>
        <v>269258.33330507122</v>
      </c>
      <c r="AP15" s="47">
        <f>'Emission Reduction Savings '!AG45</f>
        <v>270300.22552016622</v>
      </c>
      <c r="AQ15" s="47">
        <f>'Emission Reduction Savings '!AH45</f>
        <v>271338.09167396033</v>
      </c>
      <c r="AR15" s="97">
        <f>'Emission Reduction Savings '!AI45</f>
        <v>272371.76474325848</v>
      </c>
    </row>
    <row r="16" spans="2:44" ht="12.75" x14ac:dyDescent="0.2">
      <c r="B16" s="44"/>
      <c r="D16" s="27" t="s">
        <v>206</v>
      </c>
      <c r="E16" s="36"/>
      <c r="F16" s="46">
        <f>SUM(Y16:AR16)</f>
        <v>9796369.9716505557</v>
      </c>
      <c r="G16" s="46">
        <f>Q16+NPV(Inputs!C5,R16:AR16)</f>
        <v>5425039.2676887149</v>
      </c>
      <c r="H16" s="474"/>
      <c r="I16" s="474"/>
      <c r="J16" s="474"/>
      <c r="K16" s="474"/>
      <c r="L16" s="474"/>
      <c r="M16" s="474"/>
      <c r="N16" s="474"/>
      <c r="O16" s="474"/>
      <c r="P16" s="474"/>
      <c r="Q16" s="47">
        <v>0</v>
      </c>
      <c r="R16" s="47">
        <v>0</v>
      </c>
      <c r="S16" s="47">
        <v>0</v>
      </c>
      <c r="T16" s="47">
        <v>0</v>
      </c>
      <c r="U16" s="47">
        <v>0</v>
      </c>
      <c r="V16" s="47">
        <v>0</v>
      </c>
      <c r="W16" s="47">
        <v>0</v>
      </c>
      <c r="X16" s="47">
        <v>0</v>
      </c>
      <c r="Y16" s="47">
        <f>'Emission Reduction Savings '!P50</f>
        <v>80666.500310038682</v>
      </c>
      <c r="Z16" s="47">
        <f>'Emission Reduction Savings '!Q50</f>
        <v>105953.35744830873</v>
      </c>
      <c r="AA16" s="47">
        <f>'Emission Reduction Savings '!R50</f>
        <v>132578.42237790953</v>
      </c>
      <c r="AB16" s="47">
        <f>'Emission Reduction Savings '!S50</f>
        <v>160577.88272545952</v>
      </c>
      <c r="AC16" s="47">
        <f>'Emission Reduction Savings '!T50</f>
        <v>189988.66413167166</v>
      </c>
      <c r="AD16" s="47">
        <f>'Emission Reduction Savings '!U50</f>
        <v>220848.44310701406</v>
      </c>
      <c r="AE16" s="47">
        <f>'Emission Reduction Savings '!V50</f>
        <v>253195.66008977825</v>
      </c>
      <c r="AF16" s="47">
        <f>'Emission Reduction Savings '!W50</f>
        <v>287069.5327095096</v>
      </c>
      <c r="AG16" s="47">
        <f>'Emission Reduction Savings '!X50</f>
        <v>639788.36803066125</v>
      </c>
      <c r="AH16" s="47">
        <f>'Emission Reduction Savings '!Y50</f>
        <v>649751.74438010808</v>
      </c>
      <c r="AI16" s="47">
        <f>'Emission Reduction Savings '!Z50</f>
        <v>659690.31786333397</v>
      </c>
      <c r="AJ16" s="47">
        <f>'Emission Reduction Savings '!AA50</f>
        <v>669601.29476578021</v>
      </c>
      <c r="AK16" s="47">
        <f>'Emission Reduction Savings '!AB50</f>
        <v>679481.81738756131</v>
      </c>
      <c r="AL16" s="47">
        <f>'Emission Reduction Savings '!AC50</f>
        <v>689328.96295669442</v>
      </c>
      <c r="AM16" s="47">
        <f>'Emission Reduction Savings '!AD50</f>
        <v>699139.74252629653</v>
      </c>
      <c r="AN16" s="47">
        <f>'Emission Reduction Savings '!AE50</f>
        <v>718238.87748518819</v>
      </c>
      <c r="AO16" s="47">
        <f>'Emission Reduction Savings '!AF50</f>
        <v>727972.89612165885</v>
      </c>
      <c r="AP16" s="47">
        <f>'Emission Reduction Savings '!AG50</f>
        <v>737660.45362594398</v>
      </c>
      <c r="AQ16" s="47">
        <f>'Emission Reduction Savings '!AH50</f>
        <v>747298.27100630384</v>
      </c>
      <c r="AR16" s="97">
        <f>'Emission Reduction Savings '!AI50</f>
        <v>747538.76260133507</v>
      </c>
    </row>
    <row r="17" spans="2:46" x14ac:dyDescent="0.2">
      <c r="B17" s="44"/>
      <c r="C17" s="27" t="s">
        <v>148</v>
      </c>
      <c r="D17" s="35"/>
      <c r="E17" s="36"/>
      <c r="F17" s="46">
        <f>SUM(Y17:AR17)</f>
        <v>108214520.92200001</v>
      </c>
      <c r="G17" s="46">
        <f>Q17+NPV(Disc,R17:AR17)</f>
        <v>17415002.599215347</v>
      </c>
      <c r="H17" s="474"/>
      <c r="I17" s="474"/>
      <c r="J17" s="474"/>
      <c r="K17" s="474"/>
      <c r="L17" s="474"/>
      <c r="M17" s="474"/>
      <c r="N17" s="474"/>
      <c r="O17" s="474"/>
      <c r="P17" s="474"/>
      <c r="Q17" s="47">
        <v>0</v>
      </c>
      <c r="R17" s="47">
        <v>0</v>
      </c>
      <c r="S17" s="47">
        <v>0</v>
      </c>
      <c r="T17" s="47">
        <v>0</v>
      </c>
      <c r="U17" s="47">
        <v>0</v>
      </c>
      <c r="V17" s="47">
        <v>0</v>
      </c>
      <c r="W17" s="47">
        <v>0</v>
      </c>
      <c r="X17" s="47">
        <v>0</v>
      </c>
      <c r="Y17" s="47">
        <v>0</v>
      </c>
      <c r="Z17" s="47">
        <v>0</v>
      </c>
      <c r="AA17" s="47">
        <v>0</v>
      </c>
      <c r="AB17" s="47">
        <v>0</v>
      </c>
      <c r="AC17" s="47">
        <v>0</v>
      </c>
      <c r="AD17" s="47">
        <v>0</v>
      </c>
      <c r="AE17" s="47">
        <v>0</v>
      </c>
      <c r="AF17" s="47">
        <v>0</v>
      </c>
      <c r="AG17" s="47">
        <v>0</v>
      </c>
      <c r="AH17" s="47">
        <v>0</v>
      </c>
      <c r="AI17" s="47">
        <v>0</v>
      </c>
      <c r="AJ17" s="47">
        <v>0</v>
      </c>
      <c r="AK17" s="47">
        <v>0</v>
      </c>
      <c r="AL17" s="47">
        <v>0</v>
      </c>
      <c r="AM17" s="47">
        <v>0</v>
      </c>
      <c r="AN17" s="47">
        <v>0</v>
      </c>
      <c r="AO17" s="47">
        <v>0</v>
      </c>
      <c r="AP17" s="47">
        <v>0</v>
      </c>
      <c r="AQ17" s="47">
        <v>0</v>
      </c>
      <c r="AR17" s="420">
        <f>AS17</f>
        <v>108214520.92200001</v>
      </c>
      <c r="AS17" s="419">
        <f>SUM('Capital Costs'!C4:C6)*((50-20)/50)</f>
        <v>108214520.92200001</v>
      </c>
      <c r="AT17" s="94" t="s">
        <v>165</v>
      </c>
    </row>
    <row r="18" spans="2:46" x14ac:dyDescent="0.2">
      <c r="B18" s="43" t="s">
        <v>18</v>
      </c>
      <c r="C18" s="35"/>
      <c r="D18" s="36"/>
      <c r="E18" s="36"/>
      <c r="F18" s="50">
        <f>SUM(F8:F17)</f>
        <v>1075090038.1305122</v>
      </c>
      <c r="G18" s="50">
        <f>SUM(G8:G17)</f>
        <v>300784557.16639864</v>
      </c>
      <c r="H18" s="475"/>
      <c r="I18" s="475"/>
      <c r="J18" s="475"/>
      <c r="K18" s="475"/>
      <c r="L18" s="475"/>
      <c r="M18" s="475"/>
      <c r="N18" s="475"/>
      <c r="O18" s="475"/>
      <c r="P18" s="475"/>
      <c r="Q18" s="51">
        <f t="shared" ref="Q18:AN18" si="12">SUM(Q8:Q15)</f>
        <v>0</v>
      </c>
      <c r="R18" s="51">
        <f t="shared" si="12"/>
        <v>0</v>
      </c>
      <c r="S18" s="51">
        <f t="shared" si="12"/>
        <v>0</v>
      </c>
      <c r="T18" s="51">
        <f t="shared" si="12"/>
        <v>0</v>
      </c>
      <c r="U18" s="51">
        <f t="shared" si="12"/>
        <v>0</v>
      </c>
      <c r="V18" s="51">
        <f t="shared" si="12"/>
        <v>0</v>
      </c>
      <c r="W18" s="51">
        <f t="shared" si="12"/>
        <v>0</v>
      </c>
      <c r="X18" s="51">
        <f t="shared" si="12"/>
        <v>0</v>
      </c>
      <c r="Y18" s="51">
        <f t="shared" si="12"/>
        <v>24901472.19024286</v>
      </c>
      <c r="Z18" s="51">
        <f t="shared" si="12"/>
        <v>26750418.016652852</v>
      </c>
      <c r="AA18" s="51">
        <f t="shared" si="12"/>
        <v>28673320.243271854</v>
      </c>
      <c r="AB18" s="51">
        <f t="shared" si="12"/>
        <v>30671329.70238458</v>
      </c>
      <c r="AC18" s="51">
        <f t="shared" si="12"/>
        <v>32747765.186176196</v>
      </c>
      <c r="AD18" s="51">
        <f t="shared" si="12"/>
        <v>34905296.691428863</v>
      </c>
      <c r="AE18" s="51">
        <f t="shared" si="12"/>
        <v>37146679.348514356</v>
      </c>
      <c r="AF18" s="51">
        <f t="shared" si="12"/>
        <v>39454657.798651837</v>
      </c>
      <c r="AG18" s="51">
        <f t="shared" si="12"/>
        <v>44141295.827829242</v>
      </c>
      <c r="AH18" s="51">
        <f t="shared" si="12"/>
        <v>46419067.059709981</v>
      </c>
      <c r="AI18" s="51">
        <f t="shared" si="12"/>
        <v>48788424.761736289</v>
      </c>
      <c r="AJ18" s="51">
        <f t="shared" si="12"/>
        <v>51252535.486858077</v>
      </c>
      <c r="AK18" s="51">
        <f t="shared" si="12"/>
        <v>53814667.216318935</v>
      </c>
      <c r="AL18" s="51">
        <f t="shared" si="12"/>
        <v>56478192.479538709</v>
      </c>
      <c r="AM18" s="51">
        <f t="shared" si="12"/>
        <v>59246591.567812473</v>
      </c>
      <c r="AN18" s="51">
        <f t="shared" si="12"/>
        <v>62123455.844611056</v>
      </c>
      <c r="AO18" s="51">
        <f t="shared" ref="AO18:AQ18" si="13">SUM(AO8:AO15)</f>
        <v>65112491.155347966</v>
      </c>
      <c r="AP18" s="51">
        <f t="shared" si="13"/>
        <v>68217521.339563742</v>
      </c>
      <c r="AQ18" s="51">
        <f t="shared" si="13"/>
        <v>71442491.848565355</v>
      </c>
      <c r="AR18" s="99">
        <f t="shared" ref="AR18" si="14">SUM(AR8:AR15)</f>
        <v>74791473.471646354</v>
      </c>
    </row>
    <row r="19" spans="2:46" s="49" customFormat="1" x14ac:dyDescent="0.2">
      <c r="B19" s="56"/>
      <c r="C19" s="45" t="s">
        <v>94</v>
      </c>
      <c r="D19" s="35"/>
      <c r="E19" s="36"/>
      <c r="F19" s="46">
        <f>SUM(Y19:AR19)</f>
        <v>-36071506.974000014</v>
      </c>
      <c r="G19" s="46">
        <f>Q19+NPV(Disc,R19:AR19)</f>
        <v>-11898943.422172561</v>
      </c>
      <c r="H19" s="474"/>
      <c r="I19" s="474"/>
      <c r="J19" s="474"/>
      <c r="K19" s="474"/>
      <c r="L19" s="474"/>
      <c r="M19" s="474"/>
      <c r="N19" s="474"/>
      <c r="O19" s="474"/>
      <c r="P19" s="474"/>
      <c r="Q19" s="47">
        <f>-'O&amp;M Cost'!F5</f>
        <v>0</v>
      </c>
      <c r="R19" s="47">
        <f>-'O&amp;M Cost'!G5</f>
        <v>0</v>
      </c>
      <c r="S19" s="47">
        <f>'O&amp;M Cost'!H5</f>
        <v>0</v>
      </c>
      <c r="T19" s="47">
        <f>'O&amp;M Cost'!I5</f>
        <v>0</v>
      </c>
      <c r="U19" s="47">
        <f>'O&amp;M Cost'!J5</f>
        <v>0</v>
      </c>
      <c r="V19" s="47">
        <f>'O&amp;M Cost'!K5</f>
        <v>0</v>
      </c>
      <c r="W19" s="47">
        <f>'O&amp;M Cost'!L5</f>
        <v>0</v>
      </c>
      <c r="X19" s="47">
        <f>'O&amp;M Cost'!M5</f>
        <v>0</v>
      </c>
      <c r="Y19" s="47">
        <f>'O&amp;M Cost'!N5</f>
        <v>-1803575.3487</v>
      </c>
      <c r="Z19" s="47">
        <f>'O&amp;M Cost'!O5</f>
        <v>-1803575.3487</v>
      </c>
      <c r="AA19" s="47">
        <f>'O&amp;M Cost'!P5</f>
        <v>-1803575.3487</v>
      </c>
      <c r="AB19" s="47">
        <f>'O&amp;M Cost'!Q5</f>
        <v>-1803575.3487</v>
      </c>
      <c r="AC19" s="47">
        <f>'O&amp;M Cost'!R5</f>
        <v>-1803575.3487</v>
      </c>
      <c r="AD19" s="47">
        <f>'O&amp;M Cost'!S5</f>
        <v>-1803575.3487</v>
      </c>
      <c r="AE19" s="47">
        <f>'O&amp;M Cost'!T5</f>
        <v>-1803575.3487</v>
      </c>
      <c r="AF19" s="47">
        <f>'O&amp;M Cost'!U5</f>
        <v>-1803575.3487</v>
      </c>
      <c r="AG19" s="47">
        <f>'O&amp;M Cost'!V5</f>
        <v>-1803575.3487</v>
      </c>
      <c r="AH19" s="47">
        <f>'O&amp;M Cost'!W5</f>
        <v>-1803575.3487</v>
      </c>
      <c r="AI19" s="47">
        <f>'O&amp;M Cost'!X5</f>
        <v>-1803575.3487</v>
      </c>
      <c r="AJ19" s="47">
        <f>'O&amp;M Cost'!Y5</f>
        <v>-1803575.3487</v>
      </c>
      <c r="AK19" s="47">
        <f>'O&amp;M Cost'!Z5</f>
        <v>-1803575.3487</v>
      </c>
      <c r="AL19" s="47">
        <f>'O&amp;M Cost'!AA5</f>
        <v>-1803575.3487</v>
      </c>
      <c r="AM19" s="47">
        <f>'O&amp;M Cost'!AB5</f>
        <v>-1803575.3487</v>
      </c>
      <c r="AN19" s="47">
        <f>'O&amp;M Cost'!AC5</f>
        <v>-1803575.3487</v>
      </c>
      <c r="AO19" s="47">
        <f>'O&amp;M Cost'!AD5</f>
        <v>-1803575.3487</v>
      </c>
      <c r="AP19" s="47">
        <f>'O&amp;M Cost'!AE5</f>
        <v>-1803575.3487</v>
      </c>
      <c r="AQ19" s="47">
        <f>'O&amp;M Cost'!AF5</f>
        <v>-1803575.3487</v>
      </c>
      <c r="AR19" s="97">
        <f>'O&amp;M Cost'!AG5</f>
        <v>-1803575.3487</v>
      </c>
    </row>
    <row r="20" spans="2:46" x14ac:dyDescent="0.2">
      <c r="B20" s="52" t="s">
        <v>164</v>
      </c>
      <c r="C20" s="35"/>
      <c r="D20" s="36"/>
      <c r="E20" s="36"/>
      <c r="F20" s="53">
        <f>F18+F19</f>
        <v>1039018531.1565123</v>
      </c>
      <c r="G20" s="53">
        <f>G18+G19</f>
        <v>288885613.7442261</v>
      </c>
      <c r="H20" s="473"/>
      <c r="I20" s="473"/>
      <c r="J20" s="473"/>
      <c r="K20" s="473"/>
      <c r="L20" s="473"/>
      <c r="M20" s="473"/>
      <c r="N20" s="473"/>
      <c r="O20" s="473"/>
      <c r="P20" s="473"/>
      <c r="Q20" s="54"/>
      <c r="R20" s="54"/>
      <c r="S20" s="55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4"/>
      <c r="AH20" s="54"/>
      <c r="AI20" s="54"/>
      <c r="AJ20" s="54"/>
      <c r="AK20" s="54"/>
      <c r="AL20" s="54"/>
      <c r="AM20" s="54"/>
      <c r="AN20" s="54"/>
      <c r="AO20" s="54"/>
      <c r="AP20" s="54"/>
      <c r="AQ20" s="54"/>
      <c r="AR20" s="98"/>
    </row>
    <row r="21" spans="2:46" x14ac:dyDescent="0.2">
      <c r="B21" s="43" t="s">
        <v>95</v>
      </c>
      <c r="C21" s="35"/>
      <c r="D21" s="36"/>
      <c r="E21" s="36"/>
      <c r="F21" s="479"/>
      <c r="G21" s="53"/>
      <c r="H21" s="473"/>
      <c r="I21" s="473"/>
      <c r="J21" s="473"/>
      <c r="K21" s="473"/>
      <c r="L21" s="473"/>
      <c r="M21" s="473"/>
      <c r="N21" s="473"/>
      <c r="O21" s="473"/>
      <c r="P21" s="473"/>
      <c r="Q21" s="54"/>
      <c r="R21" s="54"/>
      <c r="S21" s="55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4"/>
      <c r="AI21" s="54"/>
      <c r="AJ21" s="54"/>
      <c r="AK21" s="54"/>
      <c r="AL21" s="54"/>
      <c r="AM21" s="54"/>
      <c r="AN21" s="54"/>
      <c r="AO21" s="54"/>
      <c r="AP21" s="54"/>
      <c r="AQ21" s="54"/>
      <c r="AR21" s="98"/>
    </row>
    <row r="22" spans="2:46" s="49" customFormat="1" x14ac:dyDescent="0.2">
      <c r="B22" s="56"/>
      <c r="C22" s="57" t="s">
        <v>388</v>
      </c>
      <c r="D22" s="58"/>
      <c r="E22" s="58"/>
      <c r="F22" s="46">
        <f>SUM(H22:AR22)</f>
        <v>17746865.506702699</v>
      </c>
      <c r="G22" s="46">
        <f>(H22/(1.07^(H5-Q5))+(I22/(1.07^(I5-Q5))+(J22/(1.07^(J5-Q5))+(K22/(1.07^(K5-Q5))+(L22/(1.07^(L5-Q5))+(M22/(1.07^(M5-Q5))+(N22/(1.07^(N5-Q5))+(O22/(1.07^(O5-Q5))+(P22/(1.07^(P5-Q5))+(Q22/(1.07^(Q5-Q5))))))))))))</f>
        <v>22583574.55626905</v>
      </c>
      <c r="H22" s="47">
        <f>'Capital Costs'!C16</f>
        <v>30138.749999999996</v>
      </c>
      <c r="I22" s="47">
        <f>'Capital Costs'!C17</f>
        <v>2517000.8963199998</v>
      </c>
      <c r="J22" s="47">
        <f>'Capital Costs'!C18</f>
        <v>380956.63822468574</v>
      </c>
      <c r="K22" s="47">
        <f>'Capital Costs'!C19</f>
        <v>802100.24813321233</v>
      </c>
      <c r="L22" s="47">
        <f>'Capital Costs'!C20</f>
        <v>710059.27783668111</v>
      </c>
      <c r="M22" s="47">
        <f>'Capital Costs'!C21</f>
        <v>1854306.7348590884</v>
      </c>
      <c r="N22" s="47">
        <f>'Capital Costs'!C22</f>
        <v>3865737.558539913</v>
      </c>
      <c r="O22" s="47">
        <f>'Capital Costs'!C23</f>
        <v>996289.99331043044</v>
      </c>
      <c r="P22" s="47">
        <f>'Capital Costs'!C24</f>
        <v>6590275.4094786905</v>
      </c>
      <c r="Q22" s="47">
        <v>0</v>
      </c>
      <c r="R22" s="47">
        <v>0</v>
      </c>
      <c r="S22" s="47">
        <v>0</v>
      </c>
      <c r="T22" s="47">
        <v>0</v>
      </c>
      <c r="U22" s="47">
        <v>0</v>
      </c>
      <c r="V22" s="47">
        <v>0</v>
      </c>
      <c r="W22" s="47">
        <v>0</v>
      </c>
      <c r="X22" s="47">
        <v>0</v>
      </c>
      <c r="Y22" s="47">
        <v>0</v>
      </c>
      <c r="Z22" s="47">
        <v>0</v>
      </c>
      <c r="AA22" s="47">
        <v>0</v>
      </c>
      <c r="AB22" s="47">
        <v>0</v>
      </c>
      <c r="AC22" s="47">
        <v>0</v>
      </c>
      <c r="AD22" s="47">
        <v>0</v>
      </c>
      <c r="AE22" s="47">
        <v>0</v>
      </c>
      <c r="AF22" s="47">
        <v>0</v>
      </c>
      <c r="AG22" s="47">
        <v>0</v>
      </c>
      <c r="AH22" s="47">
        <v>0</v>
      </c>
      <c r="AI22" s="47">
        <v>0</v>
      </c>
      <c r="AJ22" s="47">
        <v>0</v>
      </c>
      <c r="AK22" s="47">
        <v>0</v>
      </c>
      <c r="AL22" s="47">
        <v>0</v>
      </c>
      <c r="AM22" s="47">
        <v>0</v>
      </c>
      <c r="AN22" s="47">
        <v>0</v>
      </c>
      <c r="AO22" s="47">
        <v>0</v>
      </c>
      <c r="AP22" s="47">
        <v>0</v>
      </c>
      <c r="AQ22" s="47">
        <v>0</v>
      </c>
      <c r="AR22" s="97">
        <v>0</v>
      </c>
    </row>
    <row r="23" spans="2:46" s="49" customFormat="1" x14ac:dyDescent="0.2">
      <c r="B23" s="56"/>
      <c r="C23" s="57" t="s">
        <v>393</v>
      </c>
      <c r="D23" s="58"/>
      <c r="E23" s="58"/>
      <c r="F23" s="46">
        <f>SUM(Q23:AR23)</f>
        <v>204922079.21951357</v>
      </c>
      <c r="G23" s="46">
        <f>Q24+NPV(Disc,R24:Y24)</f>
        <v>142695177.95088309</v>
      </c>
      <c r="H23" s="474"/>
      <c r="I23" s="474"/>
      <c r="J23" s="474"/>
      <c r="K23" s="474"/>
      <c r="L23" s="474"/>
      <c r="M23" s="474"/>
      <c r="N23" s="474"/>
      <c r="O23" s="474"/>
      <c r="P23" s="474"/>
      <c r="Q23" s="47">
        <f>'Capital Costs'!C25</f>
        <v>4485570</v>
      </c>
      <c r="R23" s="47">
        <f>'Capital Costs'!C26</f>
        <v>1775073.0994152043</v>
      </c>
      <c r="S23" s="47">
        <f>'Capital Costs'!C27</f>
        <v>24662344.402277049</v>
      </c>
      <c r="T23" s="47">
        <f>'Capital Costs'!C28</f>
        <v>3852952.9085872578</v>
      </c>
      <c r="U23" s="47">
        <f>'Capital Costs'!C29</f>
        <v>712322.86995515705</v>
      </c>
      <c r="V23" s="47">
        <f>'Capital Costs'!C30</f>
        <v>49634698.861480072</v>
      </c>
      <c r="W23" s="47">
        <f>'Capital Costs'!C31</f>
        <v>49634698.861480072</v>
      </c>
      <c r="X23" s="47">
        <f>'Capital Costs'!C32</f>
        <v>49634698.861480072</v>
      </c>
      <c r="Y23" s="47">
        <f>'Capital Costs'!C33</f>
        <v>20529719.35483871</v>
      </c>
      <c r="Z23" s="47">
        <v>0</v>
      </c>
      <c r="AA23" s="47">
        <v>0</v>
      </c>
      <c r="AB23" s="47">
        <v>0</v>
      </c>
      <c r="AC23" s="47">
        <v>0</v>
      </c>
      <c r="AD23" s="47">
        <v>0</v>
      </c>
      <c r="AE23" s="47">
        <v>0</v>
      </c>
      <c r="AF23" s="47">
        <v>0</v>
      </c>
      <c r="AG23" s="47">
        <v>0</v>
      </c>
      <c r="AH23" s="47">
        <v>0</v>
      </c>
      <c r="AI23" s="47">
        <v>0</v>
      </c>
      <c r="AJ23" s="47">
        <v>0</v>
      </c>
      <c r="AK23" s="47">
        <v>0</v>
      </c>
      <c r="AL23" s="47">
        <v>0</v>
      </c>
      <c r="AM23" s="47">
        <v>0</v>
      </c>
      <c r="AN23" s="47">
        <v>0</v>
      </c>
      <c r="AO23" s="47">
        <v>0</v>
      </c>
      <c r="AP23" s="47">
        <v>0</v>
      </c>
      <c r="AQ23" s="47">
        <v>0</v>
      </c>
      <c r="AR23" s="97">
        <v>0</v>
      </c>
    </row>
    <row r="24" spans="2:46" s="49" customFormat="1" x14ac:dyDescent="0.2">
      <c r="B24" s="43" t="s">
        <v>96</v>
      </c>
      <c r="C24" s="45"/>
      <c r="D24" s="58"/>
      <c r="E24" s="58"/>
      <c r="F24" s="50">
        <f>SUM(F22:F23)</f>
        <v>222668944.72621626</v>
      </c>
      <c r="G24" s="50">
        <f>SUM(G22:G23)</f>
        <v>165278752.50715214</v>
      </c>
      <c r="H24" s="51">
        <f>SUM(H22:H23)</f>
        <v>30138.749999999996</v>
      </c>
      <c r="I24" s="51">
        <f t="shared" ref="I24:P24" si="15">SUM(I22:I23)</f>
        <v>2517000.8963199998</v>
      </c>
      <c r="J24" s="51">
        <f t="shared" si="15"/>
        <v>380956.63822468574</v>
      </c>
      <c r="K24" s="51">
        <f t="shared" si="15"/>
        <v>802100.24813321233</v>
      </c>
      <c r="L24" s="51">
        <f t="shared" si="15"/>
        <v>710059.27783668111</v>
      </c>
      <c r="M24" s="51">
        <f t="shared" si="15"/>
        <v>1854306.7348590884</v>
      </c>
      <c r="N24" s="51">
        <f t="shared" si="15"/>
        <v>3865737.558539913</v>
      </c>
      <c r="O24" s="51">
        <f t="shared" si="15"/>
        <v>996289.99331043044</v>
      </c>
      <c r="P24" s="51">
        <f t="shared" si="15"/>
        <v>6590275.4094786905</v>
      </c>
      <c r="Q24" s="51">
        <f t="shared" ref="Q24:Y24" si="16">SUM(Q23:Q23)</f>
        <v>4485570</v>
      </c>
      <c r="R24" s="51">
        <f t="shared" si="16"/>
        <v>1775073.0994152043</v>
      </c>
      <c r="S24" s="51">
        <f t="shared" si="16"/>
        <v>24662344.402277049</v>
      </c>
      <c r="T24" s="51">
        <f t="shared" si="16"/>
        <v>3852952.9085872578</v>
      </c>
      <c r="U24" s="51">
        <f t="shared" si="16"/>
        <v>712322.86995515705</v>
      </c>
      <c r="V24" s="51">
        <f t="shared" si="16"/>
        <v>49634698.861480072</v>
      </c>
      <c r="W24" s="51">
        <f t="shared" si="16"/>
        <v>49634698.861480072</v>
      </c>
      <c r="X24" s="51">
        <f t="shared" si="16"/>
        <v>49634698.861480072</v>
      </c>
      <c r="Y24" s="51">
        <f t="shared" si="16"/>
        <v>20529719.35483871</v>
      </c>
      <c r="Z24" s="51">
        <f t="shared" ref="Z24:AN24" si="17">SUM(Z22:Z22)</f>
        <v>0</v>
      </c>
      <c r="AA24" s="51">
        <f t="shared" si="17"/>
        <v>0</v>
      </c>
      <c r="AB24" s="51">
        <f t="shared" si="17"/>
        <v>0</v>
      </c>
      <c r="AC24" s="51">
        <f t="shared" si="17"/>
        <v>0</v>
      </c>
      <c r="AD24" s="51">
        <f t="shared" si="17"/>
        <v>0</v>
      </c>
      <c r="AE24" s="51">
        <f t="shared" si="17"/>
        <v>0</v>
      </c>
      <c r="AF24" s="51">
        <f t="shared" si="17"/>
        <v>0</v>
      </c>
      <c r="AG24" s="51">
        <f t="shared" si="17"/>
        <v>0</v>
      </c>
      <c r="AH24" s="51">
        <f t="shared" si="17"/>
        <v>0</v>
      </c>
      <c r="AI24" s="51">
        <f t="shared" si="17"/>
        <v>0</v>
      </c>
      <c r="AJ24" s="51">
        <f t="shared" si="17"/>
        <v>0</v>
      </c>
      <c r="AK24" s="51">
        <f t="shared" si="17"/>
        <v>0</v>
      </c>
      <c r="AL24" s="51">
        <f t="shared" si="17"/>
        <v>0</v>
      </c>
      <c r="AM24" s="51">
        <f t="shared" si="17"/>
        <v>0</v>
      </c>
      <c r="AN24" s="51">
        <f t="shared" si="17"/>
        <v>0</v>
      </c>
      <c r="AO24" s="51">
        <f t="shared" ref="AO24:AQ24" si="18">SUM(AO22:AO22)</f>
        <v>0</v>
      </c>
      <c r="AP24" s="51">
        <f t="shared" si="18"/>
        <v>0</v>
      </c>
      <c r="AQ24" s="51">
        <f t="shared" si="18"/>
        <v>0</v>
      </c>
      <c r="AR24" s="99">
        <f t="shared" ref="AR24" si="19">SUM(AR22:AR22)</f>
        <v>0</v>
      </c>
    </row>
    <row r="25" spans="2:46" s="49" customFormat="1" x14ac:dyDescent="0.2">
      <c r="B25" s="56"/>
      <c r="C25" s="59"/>
      <c r="D25" s="58"/>
      <c r="E25" s="58"/>
      <c r="F25" s="480"/>
      <c r="G25" s="50"/>
      <c r="H25" s="475"/>
      <c r="I25" s="475"/>
      <c r="J25" s="475"/>
      <c r="K25" s="475"/>
      <c r="L25" s="475"/>
      <c r="M25" s="475"/>
      <c r="N25" s="475"/>
      <c r="O25" s="475"/>
      <c r="P25" s="475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7"/>
      <c r="AM25" s="47"/>
      <c r="AN25" s="47"/>
      <c r="AO25" s="36"/>
      <c r="AP25" s="36"/>
      <c r="AQ25" s="36"/>
      <c r="AR25" s="309"/>
    </row>
    <row r="26" spans="2:46" s="49" customFormat="1" x14ac:dyDescent="0.2">
      <c r="B26" s="56" t="s">
        <v>26</v>
      </c>
      <c r="C26" s="59"/>
      <c r="D26" s="58"/>
      <c r="E26" s="58"/>
      <c r="F26" s="480"/>
      <c r="G26" s="50">
        <f>G20-G24</f>
        <v>123606861.23707396</v>
      </c>
      <c r="H26" s="475"/>
      <c r="I26" s="475"/>
      <c r="J26" s="475"/>
      <c r="K26" s="475"/>
      <c r="L26" s="475"/>
      <c r="M26" s="475"/>
      <c r="N26" s="475"/>
      <c r="O26" s="475"/>
      <c r="P26" s="475"/>
      <c r="Q26" s="60"/>
      <c r="R26" s="60"/>
      <c r="S26" s="60"/>
      <c r="T26" s="60"/>
      <c r="U26" s="61"/>
      <c r="V26" s="61"/>
      <c r="W26" s="61"/>
      <c r="X26" s="62"/>
      <c r="Y26" s="62"/>
      <c r="Z26" s="62"/>
      <c r="AA26" s="62"/>
      <c r="AB26" s="62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36"/>
      <c r="AP26" s="36"/>
      <c r="AQ26" s="36"/>
      <c r="AR26" s="309"/>
    </row>
    <row r="27" spans="2:46" x14ac:dyDescent="0.2">
      <c r="B27" s="43" t="s">
        <v>19</v>
      </c>
      <c r="C27" s="35"/>
      <c r="D27" s="36"/>
      <c r="E27" s="36"/>
      <c r="F27" s="479"/>
      <c r="G27" s="63">
        <f>G20/G24</f>
        <v>1.7478690355659907</v>
      </c>
      <c r="H27" s="476"/>
      <c r="I27" s="476"/>
      <c r="J27" s="476"/>
      <c r="K27" s="476"/>
      <c r="L27" s="476"/>
      <c r="M27" s="476"/>
      <c r="N27" s="476"/>
      <c r="O27" s="476"/>
      <c r="P27" s="476"/>
      <c r="Q27" s="62"/>
      <c r="R27" s="64"/>
      <c r="S27" s="65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35"/>
      <c r="AP27" s="35"/>
      <c r="AQ27" s="35"/>
      <c r="AR27" s="98"/>
    </row>
    <row r="28" spans="2:46" ht="12" thickBot="1" x14ac:dyDescent="0.25">
      <c r="B28" s="66"/>
      <c r="C28" s="67"/>
      <c r="D28" s="67"/>
      <c r="E28" s="68"/>
      <c r="F28" s="481"/>
      <c r="G28" s="69"/>
      <c r="H28" s="477"/>
      <c r="I28" s="477"/>
      <c r="J28" s="477"/>
      <c r="K28" s="477"/>
      <c r="L28" s="477"/>
      <c r="M28" s="477"/>
      <c r="N28" s="477"/>
      <c r="O28" s="477"/>
      <c r="P28" s="477"/>
      <c r="Q28" s="70"/>
      <c r="R28" s="71"/>
      <c r="S28" s="72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310"/>
      <c r="AP28" s="310"/>
      <c r="AQ28" s="310"/>
      <c r="AR28" s="311"/>
    </row>
    <row r="30" spans="2:46" x14ac:dyDescent="0.2">
      <c r="B30" s="75"/>
      <c r="C30" s="49"/>
      <c r="G30" s="76"/>
      <c r="H30" s="76"/>
      <c r="I30" s="76"/>
      <c r="J30" s="76"/>
      <c r="K30" s="76"/>
      <c r="L30" s="76"/>
      <c r="M30" s="76"/>
      <c r="N30" s="76"/>
      <c r="O30" s="76"/>
      <c r="P30" s="76"/>
    </row>
    <row r="31" spans="2:46" x14ac:dyDescent="0.2">
      <c r="B31" s="75" t="s">
        <v>109</v>
      </c>
      <c r="C31" s="49"/>
      <c r="G31" s="77">
        <f>SUM(H24:Y24)</f>
        <v>222668944.72621629</v>
      </c>
      <c r="H31" s="77"/>
      <c r="I31" s="77"/>
      <c r="J31" s="77"/>
      <c r="K31" s="77"/>
      <c r="L31" s="77"/>
      <c r="M31" s="77"/>
      <c r="N31" s="77"/>
      <c r="O31" s="77"/>
      <c r="P31" s="77"/>
      <c r="Q31" s="91">
        <f t="shared" ref="Q31:W31" si="20">Q23/$G31</f>
        <v>2.0144569353913521E-2</v>
      </c>
      <c r="R31" s="91">
        <f t="shared" si="20"/>
        <v>7.9718036190352202E-3</v>
      </c>
      <c r="S31" s="91">
        <f t="shared" si="20"/>
        <v>0.11075789860413969</v>
      </c>
      <c r="T31" s="91">
        <f t="shared" si="20"/>
        <v>1.7303503698392585E-2</v>
      </c>
      <c r="U31" s="91">
        <f t="shared" si="20"/>
        <v>3.1990220766124219E-3</v>
      </c>
      <c r="V31" s="91">
        <f t="shared" si="20"/>
        <v>0.22290804369917261</v>
      </c>
      <c r="W31" s="91">
        <f t="shared" si="20"/>
        <v>0.22290804369917261</v>
      </c>
    </row>
    <row r="32" spans="2:46" x14ac:dyDescent="0.2">
      <c r="B32" s="75"/>
      <c r="C32" s="49"/>
      <c r="G32" s="76"/>
      <c r="H32" s="76"/>
      <c r="I32" s="76"/>
      <c r="J32" s="76"/>
      <c r="K32" s="76"/>
      <c r="L32" s="76"/>
      <c r="M32" s="76"/>
      <c r="N32" s="76"/>
      <c r="O32" s="76"/>
      <c r="P32" s="76"/>
      <c r="S32" s="29" t="s">
        <v>4</v>
      </c>
      <c r="T32" s="30" t="s">
        <v>4</v>
      </c>
    </row>
    <row r="33" spans="6:23" x14ac:dyDescent="0.2">
      <c r="F33" s="490"/>
      <c r="G33" s="78"/>
      <c r="H33" s="78"/>
      <c r="I33" s="78"/>
      <c r="J33" s="78"/>
      <c r="K33" s="78"/>
      <c r="L33" s="78"/>
      <c r="M33" s="78"/>
      <c r="N33" s="78"/>
      <c r="O33" s="78"/>
      <c r="P33" s="78"/>
    </row>
    <row r="34" spans="6:23" x14ac:dyDescent="0.2">
      <c r="F34" s="490"/>
      <c r="G34" s="78"/>
      <c r="H34" s="78"/>
      <c r="I34" s="78"/>
      <c r="J34" s="78"/>
      <c r="K34" s="78"/>
      <c r="L34" s="78"/>
      <c r="M34" s="78"/>
      <c r="N34" s="78"/>
      <c r="O34" s="78"/>
      <c r="P34" s="78"/>
    </row>
    <row r="35" spans="6:23" x14ac:dyDescent="0.2">
      <c r="F35" s="490"/>
      <c r="Q35" s="79"/>
      <c r="R35" s="79"/>
      <c r="S35" s="80"/>
      <c r="T35" s="78"/>
      <c r="U35" s="78"/>
      <c r="V35" s="78"/>
      <c r="W35" s="78"/>
    </row>
    <row r="36" spans="6:23" x14ac:dyDescent="0.2">
      <c r="F36" s="490"/>
      <c r="Q36" s="79"/>
      <c r="R36" s="79"/>
      <c r="S36" s="80"/>
      <c r="T36" s="78"/>
      <c r="U36" s="78"/>
      <c r="V36" s="78"/>
      <c r="W36" s="78"/>
    </row>
    <row r="37" spans="6:23" x14ac:dyDescent="0.2">
      <c r="F37" s="490"/>
      <c r="Q37" s="79"/>
      <c r="R37" s="79"/>
      <c r="S37" s="80"/>
      <c r="T37" s="78"/>
      <c r="U37" s="78"/>
      <c r="V37" s="78"/>
      <c r="W37" s="78"/>
    </row>
    <row r="38" spans="6:23" x14ac:dyDescent="0.2">
      <c r="F38" s="490"/>
    </row>
    <row r="39" spans="6:23" x14ac:dyDescent="0.2">
      <c r="F39" s="490"/>
    </row>
    <row r="40" spans="6:23" x14ac:dyDescent="0.2">
      <c r="F40" s="490"/>
    </row>
    <row r="41" spans="6:23" x14ac:dyDescent="0.2">
      <c r="F41" s="490"/>
    </row>
    <row r="42" spans="6:23" x14ac:dyDescent="0.2">
      <c r="F42" s="490"/>
    </row>
    <row r="43" spans="6:23" x14ac:dyDescent="0.2">
      <c r="F43" s="490"/>
    </row>
    <row r="44" spans="6:23" x14ac:dyDescent="0.2">
      <c r="F44" s="490"/>
    </row>
    <row r="45" spans="6:23" x14ac:dyDescent="0.2">
      <c r="F45" s="490"/>
    </row>
    <row r="46" spans="6:23" x14ac:dyDescent="0.2">
      <c r="F46" s="490"/>
    </row>
    <row r="47" spans="6:23" x14ac:dyDescent="0.2">
      <c r="F47" s="490"/>
    </row>
    <row r="48" spans="6:23" x14ac:dyDescent="0.2">
      <c r="F48" s="490"/>
    </row>
    <row r="49" spans="6:6" x14ac:dyDescent="0.2">
      <c r="F49" s="490"/>
    </row>
    <row r="50" spans="6:6" x14ac:dyDescent="0.2">
      <c r="F50" s="490"/>
    </row>
    <row r="51" spans="6:6" x14ac:dyDescent="0.2">
      <c r="F51" s="490"/>
    </row>
  </sheetData>
  <phoneticPr fontId="5" type="noConversion"/>
  <pageMargins left="0.7" right="0.7" top="1" bottom="1" header="0.5" footer="0.5"/>
  <pageSetup scale="70" orientation="landscape" r:id="rId1"/>
  <headerFooter alignWithMargins="0">
    <oddFooter>&amp;R&amp;P of &amp;N&amp;L&amp;F  &amp;A
&amp;D   &amp;T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0"/>
  <sheetViews>
    <sheetView workbookViewId="0">
      <selection activeCell="C4" sqref="C4:C6"/>
    </sheetView>
  </sheetViews>
  <sheetFormatPr defaultColWidth="9.140625" defaultRowHeight="15" x14ac:dyDescent="0.2"/>
  <cols>
    <col min="1" max="1" width="3.7109375" style="104" customWidth="1"/>
    <col min="2" max="2" width="33.85546875" style="104" customWidth="1"/>
    <col min="3" max="4" width="14.7109375" style="104" bestFit="1" customWidth="1"/>
    <col min="5" max="5" width="14.85546875" style="104" customWidth="1"/>
    <col min="6" max="6" width="12.5703125" style="104" bestFit="1" customWidth="1"/>
    <col min="7" max="7" width="7.5703125" style="104" customWidth="1"/>
    <col min="8" max="8" width="16.140625" style="104" customWidth="1"/>
    <col min="9" max="9" width="14.42578125" style="104" customWidth="1"/>
    <col min="10" max="10" width="12.42578125" style="104" customWidth="1"/>
    <col min="11" max="21" width="10.140625" style="104" customWidth="1"/>
    <col min="22" max="16384" width="9.140625" style="104"/>
  </cols>
  <sheetData>
    <row r="1" spans="1:10" x14ac:dyDescent="0.2">
      <c r="A1" s="100" t="s">
        <v>163</v>
      </c>
      <c r="G1" s="471" t="s">
        <v>383</v>
      </c>
      <c r="H1" s="471" t="s">
        <v>384</v>
      </c>
      <c r="I1" s="471" t="s">
        <v>386</v>
      </c>
      <c r="J1" s="472" t="s">
        <v>385</v>
      </c>
    </row>
    <row r="2" spans="1:10" x14ac:dyDescent="0.2">
      <c r="A2" s="100"/>
      <c r="B2" s="103"/>
      <c r="C2" s="103" t="s">
        <v>385</v>
      </c>
      <c r="G2" s="469">
        <v>2004</v>
      </c>
      <c r="H2" s="515">
        <v>22500</v>
      </c>
      <c r="I2" s="516">
        <f>1.3395</f>
        <v>1.3394999999999999</v>
      </c>
      <c r="J2" s="470">
        <v>30138.749999999996</v>
      </c>
    </row>
    <row r="3" spans="1:10" x14ac:dyDescent="0.2">
      <c r="A3" s="100"/>
      <c r="B3" s="104" t="s">
        <v>394</v>
      </c>
      <c r="C3" s="102">
        <v>19728930.719999999</v>
      </c>
      <c r="G3" s="469">
        <v>2012</v>
      </c>
      <c r="H3" s="515">
        <v>2214734</v>
      </c>
      <c r="I3" s="516">
        <v>1.1365000000000001</v>
      </c>
      <c r="J3" s="470">
        <v>2517000.8963199998</v>
      </c>
    </row>
    <row r="4" spans="1:10" x14ac:dyDescent="0.2">
      <c r="B4" s="104" t="s">
        <v>137</v>
      </c>
      <c r="C4" s="102">
        <v>31613323.440000001</v>
      </c>
      <c r="G4" s="469">
        <v>2013</v>
      </c>
      <c r="H4" s="515">
        <v>341077</v>
      </c>
      <c r="I4" s="516">
        <v>1.1169</v>
      </c>
      <c r="J4" s="470">
        <v>380956.63822468574</v>
      </c>
    </row>
    <row r="5" spans="1:10" x14ac:dyDescent="0.2">
      <c r="B5" s="104" t="s">
        <v>138</v>
      </c>
      <c r="C5" s="102">
        <v>146822873.81</v>
      </c>
      <c r="D5" s="106"/>
      <c r="G5" s="469">
        <v>2014</v>
      </c>
      <c r="H5" s="515">
        <v>731565</v>
      </c>
      <c r="I5" s="516">
        <v>1.0964</v>
      </c>
      <c r="J5" s="470">
        <v>802100.24813321233</v>
      </c>
    </row>
    <row r="6" spans="1:10" x14ac:dyDescent="0.2">
      <c r="B6" s="104" t="s">
        <v>140</v>
      </c>
      <c r="C6" s="102">
        <v>1921337.62</v>
      </c>
      <c r="D6" s="106"/>
      <c r="G6" s="469">
        <v>2015</v>
      </c>
      <c r="H6" s="515">
        <v>654097</v>
      </c>
      <c r="I6" s="516">
        <v>1.0855999999999999</v>
      </c>
      <c r="J6" s="470">
        <v>710059.27783668111</v>
      </c>
    </row>
    <row r="7" spans="1:10" x14ac:dyDescent="0.2">
      <c r="B7" s="104" t="s">
        <v>281</v>
      </c>
      <c r="C7" s="102">
        <v>3984819.73</v>
      </c>
      <c r="G7" s="469">
        <v>2016</v>
      </c>
      <c r="H7" s="515">
        <v>1725278</v>
      </c>
      <c r="I7" s="516">
        <v>1.0748</v>
      </c>
      <c r="J7" s="470">
        <v>1854306.7348590884</v>
      </c>
    </row>
    <row r="8" spans="1:10" x14ac:dyDescent="0.2">
      <c r="B8" s="104" t="s">
        <v>224</v>
      </c>
      <c r="C8" s="102">
        <v>18597659.390000001</v>
      </c>
      <c r="D8" s="468"/>
      <c r="G8" s="469">
        <v>2017</v>
      </c>
      <c r="H8" s="515">
        <v>3665015</v>
      </c>
      <c r="I8" s="516">
        <v>1.0548</v>
      </c>
      <c r="J8" s="470">
        <v>3865737.558539913</v>
      </c>
    </row>
    <row r="9" spans="1:10" x14ac:dyDescent="0.2">
      <c r="B9" s="104" t="s">
        <v>280</v>
      </c>
      <c r="C9" s="102">
        <v>0</v>
      </c>
      <c r="G9" s="469">
        <v>2018</v>
      </c>
      <c r="H9" s="515">
        <v>967124</v>
      </c>
      <c r="I9" s="516">
        <v>1.0302</v>
      </c>
      <c r="J9" s="470">
        <v>996289.99331043044</v>
      </c>
    </row>
    <row r="10" spans="1:10" x14ac:dyDescent="0.2">
      <c r="B10" s="382" t="s">
        <v>141</v>
      </c>
      <c r="C10" s="383">
        <f>SUM(C3:C9)</f>
        <v>222668944.70999998</v>
      </c>
      <c r="G10" s="469">
        <v>2019</v>
      </c>
      <c r="H10" s="515">
        <v>6511759</v>
      </c>
      <c r="I10" s="516">
        <v>1.0121</v>
      </c>
      <c r="J10" s="470">
        <v>6590275.4094786905</v>
      </c>
    </row>
    <row r="11" spans="1:10" x14ac:dyDescent="0.2">
      <c r="G11" s="469">
        <v>2020</v>
      </c>
      <c r="H11" s="515">
        <v>4485570</v>
      </c>
      <c r="I11" s="516">
        <v>1</v>
      </c>
      <c r="J11" s="470">
        <v>4485570</v>
      </c>
    </row>
    <row r="12" spans="1:10" x14ac:dyDescent="0.2">
      <c r="G12" s="469">
        <v>2021</v>
      </c>
      <c r="H12" s="515">
        <v>1821225</v>
      </c>
      <c r="I12" s="516">
        <v>0.97470000000000001</v>
      </c>
      <c r="J12" s="470">
        <v>1775073.0994152043</v>
      </c>
    </row>
    <row r="13" spans="1:10" x14ac:dyDescent="0.2">
      <c r="A13" s="179" t="s">
        <v>175</v>
      </c>
      <c r="G13" s="469">
        <v>2022</v>
      </c>
      <c r="H13" s="515">
        <v>25994111</v>
      </c>
      <c r="I13" s="516">
        <v>0.94879999999999998</v>
      </c>
      <c r="J13" s="470">
        <v>24662344.402277049</v>
      </c>
    </row>
    <row r="14" spans="1:10" x14ac:dyDescent="0.2">
      <c r="B14" s="468" t="s">
        <v>411</v>
      </c>
      <c r="C14" s="513" t="s">
        <v>238</v>
      </c>
      <c r="E14" s="106"/>
      <c r="F14" s="106"/>
      <c r="G14" s="469">
        <v>2023</v>
      </c>
      <c r="H14" s="515">
        <v>4172748</v>
      </c>
      <c r="I14" s="516">
        <v>0.9234</v>
      </c>
      <c r="J14" s="470">
        <v>3852952.9085872578</v>
      </c>
    </row>
    <row r="15" spans="1:10" ht="30" x14ac:dyDescent="0.2">
      <c r="B15" s="103" t="s">
        <v>99</v>
      </c>
      <c r="C15" s="103" t="s">
        <v>412</v>
      </c>
      <c r="D15" s="103" t="s">
        <v>387</v>
      </c>
      <c r="E15" s="107"/>
      <c r="F15" s="107"/>
      <c r="G15" s="469">
        <v>2024</v>
      </c>
      <c r="H15" s="515">
        <v>794240</v>
      </c>
      <c r="I15" s="516">
        <v>0.89690000000000003</v>
      </c>
      <c r="J15" s="470">
        <v>712322.86995515705</v>
      </c>
    </row>
    <row r="16" spans="1:10" x14ac:dyDescent="0.2">
      <c r="B16" s="223">
        <v>2004</v>
      </c>
      <c r="C16" s="436">
        <f t="shared" ref="C16:C25" si="0">J2</f>
        <v>30138.749999999996</v>
      </c>
      <c r="D16" s="485">
        <f t="shared" ref="D16:D33" si="1">C16/(1.07^(B16-$B$25))</f>
        <v>88974.525177075659</v>
      </c>
      <c r="G16" s="469">
        <v>2025</v>
      </c>
      <c r="H16" s="515">
        <v>174383242</v>
      </c>
      <c r="I16" s="516">
        <v>0.94879999999999998</v>
      </c>
      <c r="J16" s="470">
        <v>165448996.20493358</v>
      </c>
    </row>
    <row r="17" spans="1:10" x14ac:dyDescent="0.2">
      <c r="B17" s="222">
        <v>2012</v>
      </c>
      <c r="C17" s="486">
        <f t="shared" si="0"/>
        <v>2517000.8963199998</v>
      </c>
      <c r="D17" s="487">
        <f t="shared" si="1"/>
        <v>4324676.1546815801</v>
      </c>
      <c r="G17" s="469">
        <v>2029</v>
      </c>
      <c r="H17" s="515">
        <v>4200000</v>
      </c>
      <c r="I17" s="516">
        <v>0.94879999999999998</v>
      </c>
      <c r="J17" s="470">
        <v>3984819.7343453509</v>
      </c>
    </row>
    <row r="18" spans="1:10" x14ac:dyDescent="0.2">
      <c r="B18" s="223">
        <v>2013</v>
      </c>
      <c r="C18" s="436">
        <f t="shared" si="0"/>
        <v>380956.63822468574</v>
      </c>
      <c r="D18" s="485">
        <f t="shared" si="1"/>
        <v>611733.11300269503</v>
      </c>
    </row>
    <row r="19" spans="1:10" x14ac:dyDescent="0.2">
      <c r="B19" s="222">
        <v>2014</v>
      </c>
      <c r="C19" s="486">
        <f t="shared" si="0"/>
        <v>802100.24813321233</v>
      </c>
      <c r="D19" s="487">
        <f t="shared" si="1"/>
        <v>1203736.187599126</v>
      </c>
    </row>
    <row r="20" spans="1:10" ht="14.45" customHeight="1" x14ac:dyDescent="0.2">
      <c r="B20" s="223">
        <v>2015</v>
      </c>
      <c r="C20" s="436">
        <f t="shared" si="0"/>
        <v>710059.27783668111</v>
      </c>
      <c r="D20" s="485">
        <f t="shared" si="1"/>
        <v>995894.86902942928</v>
      </c>
    </row>
    <row r="21" spans="1:10" x14ac:dyDescent="0.2">
      <c r="B21" s="222">
        <v>2016</v>
      </c>
      <c r="C21" s="486">
        <f t="shared" si="0"/>
        <v>1854306.7348590884</v>
      </c>
      <c r="D21" s="487">
        <f t="shared" si="1"/>
        <v>2430617.8693694212</v>
      </c>
    </row>
    <row r="22" spans="1:10" x14ac:dyDescent="0.2">
      <c r="B22" s="449">
        <v>2017</v>
      </c>
      <c r="C22" s="436">
        <f t="shared" si="0"/>
        <v>3865737.558539913</v>
      </c>
      <c r="D22" s="485">
        <f t="shared" si="1"/>
        <v>4735694.7359264111</v>
      </c>
    </row>
    <row r="23" spans="1:10" x14ac:dyDescent="0.2">
      <c r="B23" s="450">
        <v>2018</v>
      </c>
      <c r="C23" s="486">
        <f t="shared" si="0"/>
        <v>996289.99331043044</v>
      </c>
      <c r="D23" s="487">
        <f t="shared" si="1"/>
        <v>1140652.413341112</v>
      </c>
    </row>
    <row r="24" spans="1:10" x14ac:dyDescent="0.2">
      <c r="B24" s="449">
        <v>2019</v>
      </c>
      <c r="C24" s="436">
        <f t="shared" si="0"/>
        <v>6590275.4094786905</v>
      </c>
      <c r="D24" s="485">
        <f t="shared" si="1"/>
        <v>7051594.6881421991</v>
      </c>
      <c r="E24" s="105"/>
    </row>
    <row r="25" spans="1:10" x14ac:dyDescent="0.2">
      <c r="B25" s="450">
        <v>2020</v>
      </c>
      <c r="C25" s="486">
        <f t="shared" si="0"/>
        <v>4485570</v>
      </c>
      <c r="D25" s="487">
        <f t="shared" si="1"/>
        <v>4485570</v>
      </c>
    </row>
    <row r="26" spans="1:10" x14ac:dyDescent="0.2">
      <c r="B26" s="488">
        <v>2021</v>
      </c>
      <c r="C26" s="436">
        <f t="shared" ref="C26:C29" si="2">J12</f>
        <v>1775073.0994152043</v>
      </c>
      <c r="D26" s="485">
        <f t="shared" si="1"/>
        <v>1658946.8218833683</v>
      </c>
    </row>
    <row r="27" spans="1:10" x14ac:dyDescent="0.2">
      <c r="A27" s="177"/>
      <c r="B27" s="450">
        <v>2022</v>
      </c>
      <c r="C27" s="486">
        <f t="shared" si="2"/>
        <v>24662344.402277049</v>
      </c>
      <c r="D27" s="487">
        <f t="shared" si="1"/>
        <v>21541046.730960824</v>
      </c>
    </row>
    <row r="28" spans="1:10" x14ac:dyDescent="0.2">
      <c r="A28" s="177"/>
      <c r="B28" s="488">
        <v>2023</v>
      </c>
      <c r="C28" s="436">
        <f t="shared" si="2"/>
        <v>3852952.9085872578</v>
      </c>
      <c r="D28" s="485">
        <f t="shared" si="1"/>
        <v>3145157.2790402113</v>
      </c>
    </row>
    <row r="29" spans="1:10" x14ac:dyDescent="0.2">
      <c r="A29" s="177"/>
      <c r="B29" s="450">
        <v>2024</v>
      </c>
      <c r="C29" s="486">
        <f t="shared" si="2"/>
        <v>712322.86995515705</v>
      </c>
      <c r="D29" s="487">
        <f t="shared" si="1"/>
        <v>543427.70692074124</v>
      </c>
      <c r="E29" s="177"/>
      <c r="F29" s="177"/>
    </row>
    <row r="30" spans="1:10" x14ac:dyDescent="0.2">
      <c r="A30" s="177"/>
      <c r="B30" s="488">
        <v>2025</v>
      </c>
      <c r="C30" s="436">
        <f>$J$16*0.3</f>
        <v>49634698.861480072</v>
      </c>
      <c r="D30" s="485">
        <f t="shared" si="1"/>
        <v>35388854.311069056</v>
      </c>
      <c r="E30" s="177"/>
      <c r="F30" s="177"/>
    </row>
    <row r="31" spans="1:10" x14ac:dyDescent="0.2">
      <c r="A31" s="177"/>
      <c r="B31" s="450">
        <v>2026</v>
      </c>
      <c r="C31" s="486">
        <f>$J$16*0.3</f>
        <v>49634698.861480072</v>
      </c>
      <c r="D31" s="487">
        <f t="shared" si="1"/>
        <v>33073695.617821556</v>
      </c>
      <c r="E31" s="177"/>
      <c r="F31" s="177"/>
    </row>
    <row r="32" spans="1:10" s="177" customFormat="1" x14ac:dyDescent="0.2">
      <c r="B32" s="489">
        <v>2027</v>
      </c>
      <c r="C32" s="436">
        <f>J16*0.3</f>
        <v>49634698.861480072</v>
      </c>
      <c r="D32" s="485">
        <f t="shared" si="1"/>
        <v>30909995.904506125</v>
      </c>
    </row>
    <row r="33" spans="1:6" s="177" customFormat="1" ht="15.75" thickBot="1" x14ac:dyDescent="0.25">
      <c r="B33" s="450">
        <v>2028</v>
      </c>
      <c r="C33" s="486">
        <f>J16*0.1+J17</f>
        <v>20529719.35483871</v>
      </c>
      <c r="D33" s="487">
        <f t="shared" si="1"/>
        <v>11948483.578681216</v>
      </c>
    </row>
    <row r="34" spans="1:6" s="177" customFormat="1" ht="15.75" thickBot="1" x14ac:dyDescent="0.25">
      <c r="B34" s="451" t="s">
        <v>13</v>
      </c>
      <c r="C34" s="484">
        <f>SUM(C16:C33)</f>
        <v>222668944.72621629</v>
      </c>
      <c r="D34" s="484">
        <f>SUM(D16:D33)</f>
        <v>165278752.50715214</v>
      </c>
    </row>
    <row r="35" spans="1:6" s="177" customFormat="1" x14ac:dyDescent="0.2">
      <c r="B35" s="104"/>
      <c r="C35" s="436"/>
      <c r="D35" s="104"/>
    </row>
    <row r="36" spans="1:6" s="177" customFormat="1" x14ac:dyDescent="0.2">
      <c r="A36" s="104"/>
      <c r="B36" s="104"/>
      <c r="C36" s="104"/>
      <c r="D36" s="104"/>
    </row>
    <row r="37" spans="1:6" s="177" customFormat="1" x14ac:dyDescent="0.2">
      <c r="A37" s="104"/>
      <c r="B37" s="104"/>
      <c r="C37" s="104"/>
      <c r="D37" s="104"/>
    </row>
    <row r="38" spans="1:6" s="177" customFormat="1" x14ac:dyDescent="0.2">
      <c r="A38" s="104"/>
      <c r="B38" s="104"/>
      <c r="C38" s="104"/>
      <c r="D38" s="104"/>
      <c r="E38" s="104"/>
      <c r="F38" s="104"/>
    </row>
    <row r="39" spans="1:6" s="177" customFormat="1" x14ac:dyDescent="0.2">
      <c r="A39" s="104"/>
      <c r="B39" s="104"/>
      <c r="C39" s="104"/>
      <c r="D39" s="104"/>
      <c r="E39" s="104"/>
      <c r="F39" s="104"/>
    </row>
    <row r="40" spans="1:6" s="177" customFormat="1" x14ac:dyDescent="0.2">
      <c r="A40" s="104"/>
      <c r="B40" s="104"/>
      <c r="C40" s="104"/>
      <c r="D40" s="104"/>
      <c r="E40" s="104"/>
      <c r="F40" s="10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6"/>
  <dimension ref="A1:K59"/>
  <sheetViews>
    <sheetView zoomScaleNormal="100" workbookViewId="0">
      <pane ySplit="4" topLeftCell="A5" activePane="bottomLeft" state="frozen"/>
      <selection activeCell="L36" sqref="L36"/>
      <selection pane="bottomLeft" activeCell="M14" sqref="M14"/>
    </sheetView>
  </sheetViews>
  <sheetFormatPr defaultColWidth="9.140625" defaultRowHeight="15" x14ac:dyDescent="0.2"/>
  <cols>
    <col min="1" max="1" width="5.5703125" style="239" bestFit="1" customWidth="1"/>
    <col min="2" max="2" width="13.42578125" style="243" customWidth="1"/>
    <col min="3" max="3" width="12.42578125" style="243" bestFit="1" customWidth="1"/>
    <col min="4" max="4" width="14.7109375" style="243" customWidth="1"/>
    <col min="5" max="5" width="11.140625" style="230" bestFit="1" customWidth="1"/>
    <col min="6" max="6" width="14.7109375" style="232" bestFit="1" customWidth="1"/>
    <col min="7" max="7" width="17.7109375" style="233" bestFit="1" customWidth="1"/>
    <col min="8" max="8" width="17.7109375" style="233" customWidth="1"/>
    <col min="9" max="9" width="17.7109375" style="106" bestFit="1" customWidth="1"/>
    <col min="10" max="10" width="13" style="106" bestFit="1" customWidth="1"/>
    <col min="11" max="11" width="12.85546875" style="106" bestFit="1" customWidth="1"/>
    <col min="12" max="16384" width="9.140625" style="230"/>
  </cols>
  <sheetData>
    <row r="1" spans="1:11" x14ac:dyDescent="0.2">
      <c r="A1" s="224"/>
      <c r="B1" s="100" t="s">
        <v>67</v>
      </c>
      <c r="C1" s="225"/>
      <c r="D1" s="225"/>
      <c r="G1" s="233" t="s">
        <v>4</v>
      </c>
    </row>
    <row r="2" spans="1:11" x14ac:dyDescent="0.2">
      <c r="A2" s="224"/>
      <c r="B2" s="100" t="s">
        <v>97</v>
      </c>
      <c r="C2" s="225"/>
      <c r="D2" s="226" t="s">
        <v>106</v>
      </c>
      <c r="E2" s="234"/>
      <c r="F2" s="235"/>
      <c r="G2" s="236"/>
      <c r="H2" s="236"/>
      <c r="I2" s="237"/>
    </row>
    <row r="3" spans="1:11" x14ac:dyDescent="0.2">
      <c r="A3" s="224"/>
      <c r="B3" s="225"/>
      <c r="C3" s="225"/>
      <c r="D3" s="225"/>
      <c r="G3" s="238"/>
      <c r="H3" s="238"/>
    </row>
    <row r="4" spans="1:11" s="106" customFormat="1" ht="33.75" customHeight="1" x14ac:dyDescent="0.2">
      <c r="A4" s="231" t="s">
        <v>99</v>
      </c>
      <c r="B4" s="227" t="s">
        <v>103</v>
      </c>
      <c r="C4" s="227" t="s">
        <v>102</v>
      </c>
      <c r="D4" s="227" t="s">
        <v>83</v>
      </c>
      <c r="E4" s="227" t="s">
        <v>57</v>
      </c>
      <c r="F4" s="227" t="s">
        <v>65</v>
      </c>
      <c r="G4" s="227" t="s">
        <v>51</v>
      </c>
      <c r="H4" s="227" t="s">
        <v>199</v>
      </c>
      <c r="I4" s="228" t="s">
        <v>85</v>
      </c>
      <c r="J4" s="227" t="s">
        <v>94</v>
      </c>
      <c r="K4" s="229" t="s">
        <v>148</v>
      </c>
    </row>
    <row r="5" spans="1:11" s="106" customFormat="1" ht="14.45" customHeight="1" x14ac:dyDescent="0.2">
      <c r="A5" s="478">
        <v>2004</v>
      </c>
      <c r="B5" s="240">
        <v>0</v>
      </c>
      <c r="C5" s="240">
        <v>0</v>
      </c>
      <c r="D5" s="240">
        <v>0</v>
      </c>
      <c r="E5" s="241">
        <v>0</v>
      </c>
      <c r="F5" s="241">
        <v>0</v>
      </c>
      <c r="G5" s="241">
        <v>0</v>
      </c>
      <c r="H5" s="241">
        <v>0</v>
      </c>
      <c r="I5" s="240">
        <f>'Capital Costs'!C16</f>
        <v>30138.749999999996</v>
      </c>
      <c r="J5" s="240">
        <f>NPVCalc!$Q$19</f>
        <v>0</v>
      </c>
      <c r="K5" s="229"/>
    </row>
    <row r="6" spans="1:11" s="106" customFormat="1" ht="14.45" customHeight="1" x14ac:dyDescent="0.2">
      <c r="A6" s="478">
        <v>2012</v>
      </c>
      <c r="B6" s="240">
        <v>0</v>
      </c>
      <c r="C6" s="240">
        <v>0</v>
      </c>
      <c r="D6" s="240">
        <v>0</v>
      </c>
      <c r="E6" s="241">
        <v>0</v>
      </c>
      <c r="F6" s="241">
        <v>0</v>
      </c>
      <c r="G6" s="241">
        <v>0</v>
      </c>
      <c r="H6" s="241">
        <v>0</v>
      </c>
      <c r="I6" s="240">
        <f>'Capital Costs'!C17</f>
        <v>2517000.8963199998</v>
      </c>
      <c r="J6" s="240">
        <f>NPVCalc!$Q$19</f>
        <v>0</v>
      </c>
      <c r="K6" s="229"/>
    </row>
    <row r="7" spans="1:11" s="106" customFormat="1" ht="14.45" customHeight="1" x14ac:dyDescent="0.2">
      <c r="A7" s="478">
        <v>2013</v>
      </c>
      <c r="B7" s="240">
        <v>0</v>
      </c>
      <c r="C7" s="240">
        <v>0</v>
      </c>
      <c r="D7" s="240">
        <v>0</v>
      </c>
      <c r="E7" s="241">
        <v>0</v>
      </c>
      <c r="F7" s="241">
        <v>0</v>
      </c>
      <c r="G7" s="241">
        <v>0</v>
      </c>
      <c r="H7" s="241">
        <v>0</v>
      </c>
      <c r="I7" s="240">
        <f>'Capital Costs'!C18</f>
        <v>380956.63822468574</v>
      </c>
      <c r="J7" s="240">
        <f>NPVCalc!$Q$19</f>
        <v>0</v>
      </c>
      <c r="K7" s="229"/>
    </row>
    <row r="8" spans="1:11" s="106" customFormat="1" ht="14.45" customHeight="1" x14ac:dyDescent="0.2">
      <c r="A8" s="478">
        <v>2014</v>
      </c>
      <c r="B8" s="240">
        <v>0</v>
      </c>
      <c r="C8" s="240">
        <v>0</v>
      </c>
      <c r="D8" s="240">
        <v>0</v>
      </c>
      <c r="E8" s="241">
        <v>0</v>
      </c>
      <c r="F8" s="241">
        <v>0</v>
      </c>
      <c r="G8" s="241">
        <v>0</v>
      </c>
      <c r="H8" s="241">
        <v>0</v>
      </c>
      <c r="I8" s="240">
        <f>'Capital Costs'!C19</f>
        <v>802100.24813321233</v>
      </c>
      <c r="J8" s="240">
        <f>NPVCalc!$Q$19</f>
        <v>0</v>
      </c>
      <c r="K8" s="229"/>
    </row>
    <row r="9" spans="1:11" s="106" customFormat="1" ht="14.45" customHeight="1" x14ac:dyDescent="0.2">
      <c r="A9" s="478">
        <v>2015</v>
      </c>
      <c r="B9" s="240">
        <v>0</v>
      </c>
      <c r="C9" s="240">
        <v>0</v>
      </c>
      <c r="D9" s="240">
        <v>0</v>
      </c>
      <c r="E9" s="241">
        <v>0</v>
      </c>
      <c r="F9" s="241">
        <v>0</v>
      </c>
      <c r="G9" s="241">
        <v>0</v>
      </c>
      <c r="H9" s="241">
        <v>0</v>
      </c>
      <c r="I9" s="240">
        <f>'Capital Costs'!C20</f>
        <v>710059.27783668111</v>
      </c>
      <c r="J9" s="240">
        <f>NPVCalc!$Q$19</f>
        <v>0</v>
      </c>
      <c r="K9" s="229"/>
    </row>
    <row r="10" spans="1:11" s="106" customFormat="1" ht="14.45" customHeight="1" x14ac:dyDescent="0.2">
      <c r="A10" s="478">
        <v>2016</v>
      </c>
      <c r="B10" s="240">
        <v>0</v>
      </c>
      <c r="C10" s="240">
        <v>0</v>
      </c>
      <c r="D10" s="240">
        <v>0</v>
      </c>
      <c r="E10" s="241">
        <v>0</v>
      </c>
      <c r="F10" s="241">
        <v>0</v>
      </c>
      <c r="G10" s="241">
        <v>0</v>
      </c>
      <c r="H10" s="241">
        <v>0</v>
      </c>
      <c r="I10" s="240">
        <f>'Capital Costs'!C21</f>
        <v>1854306.7348590884</v>
      </c>
      <c r="J10" s="240">
        <f>NPVCalc!$Q$19</f>
        <v>0</v>
      </c>
      <c r="K10" s="229"/>
    </row>
    <row r="11" spans="1:11" s="106" customFormat="1" ht="14.45" customHeight="1" x14ac:dyDescent="0.2">
      <c r="A11" s="478">
        <v>2017</v>
      </c>
      <c r="B11" s="240">
        <v>0</v>
      </c>
      <c r="C11" s="240">
        <v>0</v>
      </c>
      <c r="D11" s="240">
        <v>0</v>
      </c>
      <c r="E11" s="241">
        <v>0</v>
      </c>
      <c r="F11" s="241">
        <v>0</v>
      </c>
      <c r="G11" s="241">
        <v>0</v>
      </c>
      <c r="H11" s="241">
        <v>0</v>
      </c>
      <c r="I11" s="240">
        <f>'Capital Costs'!C22</f>
        <v>3865737.558539913</v>
      </c>
      <c r="J11" s="240">
        <f>NPVCalc!$Q$19</f>
        <v>0</v>
      </c>
      <c r="K11" s="229"/>
    </row>
    <row r="12" spans="1:11" s="106" customFormat="1" ht="14.45" customHeight="1" x14ac:dyDescent="0.2">
      <c r="A12" s="478">
        <v>2018</v>
      </c>
      <c r="B12" s="240">
        <v>0</v>
      </c>
      <c r="C12" s="240">
        <v>0</v>
      </c>
      <c r="D12" s="240">
        <v>0</v>
      </c>
      <c r="E12" s="241">
        <v>0</v>
      </c>
      <c r="F12" s="241">
        <v>0</v>
      </c>
      <c r="G12" s="241">
        <v>0</v>
      </c>
      <c r="H12" s="241">
        <v>0</v>
      </c>
      <c r="I12" s="240">
        <f>'Capital Costs'!C23</f>
        <v>996289.99331043044</v>
      </c>
      <c r="J12" s="240">
        <f>NPVCalc!$Q$19</f>
        <v>0</v>
      </c>
      <c r="K12" s="229"/>
    </row>
    <row r="13" spans="1:11" s="106" customFormat="1" ht="14.45" customHeight="1" x14ac:dyDescent="0.2">
      <c r="A13" s="478">
        <v>2019</v>
      </c>
      <c r="B13" s="240">
        <v>0</v>
      </c>
      <c r="C13" s="240">
        <v>0</v>
      </c>
      <c r="D13" s="240">
        <v>0</v>
      </c>
      <c r="E13" s="241">
        <v>0</v>
      </c>
      <c r="F13" s="241">
        <v>0</v>
      </c>
      <c r="G13" s="241">
        <v>0</v>
      </c>
      <c r="H13" s="241">
        <v>0</v>
      </c>
      <c r="I13" s="240">
        <f>'Capital Costs'!C24</f>
        <v>6590275.4094786905</v>
      </c>
      <c r="J13" s="240">
        <f>NPVCalc!$Q$19</f>
        <v>0</v>
      </c>
      <c r="K13" s="229"/>
    </row>
    <row r="14" spans="1:11" x14ac:dyDescent="0.2">
      <c r="A14" s="244">
        <v>2020</v>
      </c>
      <c r="B14" s="240">
        <v>0</v>
      </c>
      <c r="C14" s="240">
        <v>0</v>
      </c>
      <c r="D14" s="240">
        <v>0</v>
      </c>
      <c r="E14" s="241">
        <v>0</v>
      </c>
      <c r="F14" s="241">
        <v>0</v>
      </c>
      <c r="G14" s="241">
        <v>0</v>
      </c>
      <c r="H14" s="241">
        <v>0</v>
      </c>
      <c r="I14" s="240">
        <f>'Capital Costs'!C25</f>
        <v>4485570</v>
      </c>
      <c r="J14" s="240">
        <f>NPVCalc!$Q$19</f>
        <v>0</v>
      </c>
      <c r="K14" s="240"/>
    </row>
    <row r="15" spans="1:11" x14ac:dyDescent="0.2">
      <c r="A15" s="244">
        <f>A14+1</f>
        <v>2021</v>
      </c>
      <c r="B15" s="240">
        <v>0</v>
      </c>
      <c r="C15" s="240">
        <v>0</v>
      </c>
      <c r="D15" s="240">
        <v>0</v>
      </c>
      <c r="E15" s="241">
        <v>0</v>
      </c>
      <c r="F15" s="241">
        <v>0</v>
      </c>
      <c r="G15" s="241">
        <v>0</v>
      </c>
      <c r="H15" s="241">
        <v>0</v>
      </c>
      <c r="I15" s="240">
        <f>'Capital Costs'!C26</f>
        <v>1775073.0994152043</v>
      </c>
      <c r="J15" s="240">
        <f>NPVCalc!$R$19</f>
        <v>0</v>
      </c>
      <c r="K15" s="240"/>
    </row>
    <row r="16" spans="1:11" x14ac:dyDescent="0.2">
      <c r="A16" s="244">
        <f t="shared" ref="A16:A37" si="0">A15+1</f>
        <v>2022</v>
      </c>
      <c r="B16" s="240">
        <v>0</v>
      </c>
      <c r="C16" s="240">
        <v>0</v>
      </c>
      <c r="D16" s="240">
        <v>0</v>
      </c>
      <c r="E16" s="241">
        <v>0</v>
      </c>
      <c r="F16" s="241">
        <v>0</v>
      </c>
      <c r="G16" s="241">
        <v>0</v>
      </c>
      <c r="H16" s="241">
        <v>0</v>
      </c>
      <c r="I16" s="240">
        <f>'Capital Costs'!C27</f>
        <v>24662344.402277049</v>
      </c>
      <c r="J16" s="240">
        <f>NPVCalc!$R$19</f>
        <v>0</v>
      </c>
      <c r="K16" s="240"/>
    </row>
    <row r="17" spans="1:11" x14ac:dyDescent="0.2">
      <c r="A17" s="244">
        <f t="shared" si="0"/>
        <v>2023</v>
      </c>
      <c r="B17" s="240">
        <v>0</v>
      </c>
      <c r="C17" s="240">
        <v>0</v>
      </c>
      <c r="D17" s="240">
        <v>0</v>
      </c>
      <c r="E17" s="241">
        <v>0</v>
      </c>
      <c r="F17" s="241">
        <v>0</v>
      </c>
      <c r="G17" s="241">
        <v>0</v>
      </c>
      <c r="H17" s="241">
        <v>0</v>
      </c>
      <c r="I17" s="240">
        <f>'Capital Costs'!C28</f>
        <v>3852952.9085872578</v>
      </c>
      <c r="J17" s="240">
        <f>NPVCalc!$R$19</f>
        <v>0</v>
      </c>
      <c r="K17" s="240"/>
    </row>
    <row r="18" spans="1:11" x14ac:dyDescent="0.2">
      <c r="A18" s="244">
        <f t="shared" si="0"/>
        <v>2024</v>
      </c>
      <c r="B18" s="240">
        <v>0</v>
      </c>
      <c r="C18" s="240">
        <v>0</v>
      </c>
      <c r="D18" s="240">
        <v>0</v>
      </c>
      <c r="E18" s="241">
        <v>0</v>
      </c>
      <c r="F18" s="241">
        <v>0</v>
      </c>
      <c r="G18" s="241">
        <v>0</v>
      </c>
      <c r="H18" s="241">
        <v>0</v>
      </c>
      <c r="I18" s="240">
        <f>'Capital Costs'!C29</f>
        <v>712322.86995515705</v>
      </c>
      <c r="J18" s="240">
        <f>NPVCalc!U19</f>
        <v>0</v>
      </c>
      <c r="K18" s="240"/>
    </row>
    <row r="19" spans="1:11" x14ac:dyDescent="0.2">
      <c r="A19" s="244">
        <f t="shared" si="0"/>
        <v>2025</v>
      </c>
      <c r="B19" s="240">
        <v>0</v>
      </c>
      <c r="C19" s="240">
        <v>0</v>
      </c>
      <c r="D19" s="240">
        <v>0</v>
      </c>
      <c r="E19" s="241">
        <v>0</v>
      </c>
      <c r="F19" s="241">
        <v>0</v>
      </c>
      <c r="G19" s="241">
        <v>0</v>
      </c>
      <c r="H19" s="241">
        <v>0</v>
      </c>
      <c r="I19" s="240">
        <f>'Capital Costs'!C30</f>
        <v>49634698.861480072</v>
      </c>
      <c r="J19" s="240">
        <f>NPVCalc!V19</f>
        <v>0</v>
      </c>
      <c r="K19" s="240"/>
    </row>
    <row r="20" spans="1:11" x14ac:dyDescent="0.2">
      <c r="A20" s="244">
        <f t="shared" si="0"/>
        <v>2026</v>
      </c>
      <c r="B20" s="240">
        <v>0</v>
      </c>
      <c r="C20" s="240">
        <v>0</v>
      </c>
      <c r="D20" s="240">
        <v>0</v>
      </c>
      <c r="E20" s="241">
        <v>0</v>
      </c>
      <c r="F20" s="241">
        <v>0</v>
      </c>
      <c r="G20" s="241">
        <v>0</v>
      </c>
      <c r="H20" s="241">
        <v>0</v>
      </c>
      <c r="I20" s="240">
        <f>'Capital Costs'!C31</f>
        <v>49634698.861480072</v>
      </c>
      <c r="J20" s="240">
        <f>NPVCalc!$W$19</f>
        <v>0</v>
      </c>
      <c r="K20" s="240"/>
    </row>
    <row r="21" spans="1:11" x14ac:dyDescent="0.2">
      <c r="A21" s="244">
        <f t="shared" si="0"/>
        <v>2027</v>
      </c>
      <c r="B21" s="240">
        <v>0</v>
      </c>
      <c r="C21" s="240">
        <v>0</v>
      </c>
      <c r="D21" s="240">
        <v>0</v>
      </c>
      <c r="E21" s="241">
        <v>0</v>
      </c>
      <c r="F21" s="241">
        <v>0</v>
      </c>
      <c r="G21" s="241">
        <v>0</v>
      </c>
      <c r="H21" s="241">
        <v>0</v>
      </c>
      <c r="I21" s="240">
        <f>'Capital Costs'!C32</f>
        <v>49634698.861480072</v>
      </c>
      <c r="J21" s="240">
        <f>NPVCalc!$W$19</f>
        <v>0</v>
      </c>
      <c r="K21" s="240"/>
    </row>
    <row r="22" spans="1:11" x14ac:dyDescent="0.2">
      <c r="A22" s="244">
        <f t="shared" si="0"/>
        <v>2028</v>
      </c>
      <c r="B22" s="241">
        <f>'Travel Time Benefits '!$M$13</f>
        <v>16533223.145816844</v>
      </c>
      <c r="C22" s="241">
        <f>'Travel Time Benefits '!M14</f>
        <v>2904265.7280000029</v>
      </c>
      <c r="D22" s="241">
        <f>'Crash Benefits'!M55</f>
        <v>5367920.253615397</v>
      </c>
      <c r="E22" s="241">
        <f>'Fuel Cost savings'!O28</f>
        <v>1084757.5960484762</v>
      </c>
      <c r="F22" s="241">
        <f>'Vehicle Op Costs (non-fuel)'!M33</f>
        <v>-1007595.6214826703</v>
      </c>
      <c r="G22" s="241">
        <f>'Emission Reduction Savings '!P45</f>
        <v>18901.088244807674</v>
      </c>
      <c r="H22" s="241">
        <f>'Emission Reduction Savings '!P50</f>
        <v>80666.500310038682</v>
      </c>
      <c r="I22" s="240">
        <f>'Capital Costs'!C33</f>
        <v>20529719.35483871</v>
      </c>
      <c r="J22" s="240">
        <f>NPVCalc!$Y$19</f>
        <v>-1803575.3487</v>
      </c>
      <c r="K22" s="240"/>
    </row>
    <row r="23" spans="1:11" x14ac:dyDescent="0.2">
      <c r="A23" s="244">
        <f t="shared" si="0"/>
        <v>2029</v>
      </c>
      <c r="B23" s="241">
        <f>'Travel Time Benefits '!$N$13</f>
        <v>18001472.342679624</v>
      </c>
      <c r="C23" s="241">
        <f>'Travel Time Benefits '!N14</f>
        <v>3162181.9119771724</v>
      </c>
      <c r="D23" s="241">
        <f>'Crash Benefits'!N55</f>
        <v>5348448.8097546408</v>
      </c>
      <c r="E23" s="241">
        <f>'Fuel Cost savings'!P28</f>
        <v>1292013.1694544964</v>
      </c>
      <c r="F23" s="241">
        <f>'Vehicle Op Costs (non-fuel)'!N33</f>
        <v>-1083996.6087014005</v>
      </c>
      <c r="G23" s="241">
        <f>'Emission Reduction Savings '!Q45</f>
        <v>30298.391488321126</v>
      </c>
      <c r="H23" s="241">
        <f>'Emission Reduction Savings '!Q50</f>
        <v>105953.35744830873</v>
      </c>
      <c r="I23" s="240">
        <f>NPVCalc!Z$22</f>
        <v>0</v>
      </c>
      <c r="J23" s="240">
        <f>NPVCalc!$Z$19</f>
        <v>-1803575.3487</v>
      </c>
      <c r="K23" s="240"/>
    </row>
    <row r="24" spans="1:11" x14ac:dyDescent="0.2">
      <c r="A24" s="244">
        <f t="shared" si="0"/>
        <v>2030</v>
      </c>
      <c r="B24" s="241">
        <f>'Travel Time Benefits '!$O$13</f>
        <v>19530843.224829484</v>
      </c>
      <c r="C24" s="241">
        <f>'Travel Time Benefits '!O14</f>
        <v>3430834.8781444365</v>
      </c>
      <c r="D24" s="241">
        <f>'Crash Benefits'!O55</f>
        <v>5328140.7396313399</v>
      </c>
      <c r="E24" s="241">
        <f>'Fuel Cost savings'!Q28</f>
        <v>1502537.3010763638</v>
      </c>
      <c r="F24" s="241">
        <f>'Vehicle Op Costs (non-fuel)'!O33</f>
        <v>-1161745.2144598067</v>
      </c>
      <c r="G24" s="241">
        <f>'Emission Reduction Savings '!R45</f>
        <v>42709.314050038112</v>
      </c>
      <c r="H24" s="241">
        <f>'Emission Reduction Savings '!R50</f>
        <v>132578.42237790953</v>
      </c>
      <c r="I24" s="240">
        <f>NPVCalc!AA$22</f>
        <v>0</v>
      </c>
      <c r="J24" s="240">
        <f>NPVCalc!$AA$19</f>
        <v>-1803575.3487</v>
      </c>
      <c r="K24" s="240"/>
    </row>
    <row r="25" spans="1:11" x14ac:dyDescent="0.2">
      <c r="A25" s="244">
        <f t="shared" si="0"/>
        <v>2031</v>
      </c>
      <c r="B25" s="241">
        <f>'Travel Time Benefits '!P13</f>
        <v>21123456.619762257</v>
      </c>
      <c r="C25" s="241">
        <f>'Travel Time Benefits '!P14</f>
        <v>3710597.1761587402</v>
      </c>
      <c r="D25" s="241">
        <f>'Crash Benefits'!P55</f>
        <v>5306982.0260226298</v>
      </c>
      <c r="E25" s="241">
        <f>'Fuel Cost savings'!R28</f>
        <v>1716368.535539113</v>
      </c>
      <c r="F25" s="241">
        <f>'Vehicle Op Costs (non-fuel)'!P33</f>
        <v>-1240860.0685587153</v>
      </c>
      <c r="G25" s="241">
        <f>'Emission Reduction Savings '!S45</f>
        <v>54785.413460557116</v>
      </c>
      <c r="H25" s="241">
        <f>'Emission Reduction Savings '!S50</f>
        <v>160577.88272545952</v>
      </c>
      <c r="I25" s="240">
        <f>NPVCalc!AB$22</f>
        <v>0</v>
      </c>
      <c r="J25" s="240">
        <f>NPVCalc!$AB$19</f>
        <v>-1803575.3487</v>
      </c>
      <c r="K25" s="240"/>
    </row>
    <row r="26" spans="1:11" x14ac:dyDescent="0.2">
      <c r="A26" s="244">
        <f t="shared" si="0"/>
        <v>2032</v>
      </c>
      <c r="B26" s="241">
        <f>'Travel Time Benefits '!Q13</f>
        <v>22781501.41805052</v>
      </c>
      <c r="C26" s="241">
        <f>'Travel Time Benefits '!Q14</f>
        <v>4001853.3118007281</v>
      </c>
      <c r="D26" s="241">
        <f>'Crash Benefits'!Q55</f>
        <v>5284958.4616057547</v>
      </c>
      <c r="E26" s="241">
        <f>'Fuel Cost savings'!S28</f>
        <v>1933545.8133123554</v>
      </c>
      <c r="F26" s="241">
        <f>'Vehicle Op Costs (non-fuel)'!Q33</f>
        <v>-1321360.0327889994</v>
      </c>
      <c r="G26" s="241">
        <f>'Emission Reduction Savings '!T45</f>
        <v>67266.214195841458</v>
      </c>
      <c r="H26" s="241">
        <f>'Emission Reduction Savings '!T50</f>
        <v>189988.66413167166</v>
      </c>
      <c r="I26" s="240">
        <f>NPVCalc!AC$22</f>
        <v>0</v>
      </c>
      <c r="J26" s="240">
        <f>NPVCalc!$AC$19</f>
        <v>-1803575.3487</v>
      </c>
      <c r="K26" s="240"/>
    </row>
    <row r="27" spans="1:11" x14ac:dyDescent="0.2">
      <c r="A27" s="244">
        <f t="shared" si="0"/>
        <v>2033</v>
      </c>
      <c r="B27" s="241">
        <f>'Travel Time Benefits '!R13</f>
        <v>24507236.671174563</v>
      </c>
      <c r="C27" s="241">
        <f>'Travel Time Benefits '!R14</f>
        <v>4305000.1154847806</v>
      </c>
      <c r="D27" s="241">
        <f>'Crash Benefits'!R55</f>
        <v>5262055.6466141744</v>
      </c>
      <c r="E27" s="241">
        <f>'Fuel Cost savings'!T28</f>
        <v>2154108.4743944257</v>
      </c>
      <c r="F27" s="241">
        <f>'Vehicle Op Costs (non-fuel)'!R33</f>
        <v>-1403264.2036583126</v>
      </c>
      <c r="G27" s="241">
        <f>'Emission Reduction Savings '!U45</f>
        <v>80159.98741923552</v>
      </c>
      <c r="H27" s="241">
        <f>'Emission Reduction Savings '!U50</f>
        <v>220848.44310701406</v>
      </c>
      <c r="I27" s="240">
        <f>NPVCalc!AD$22</f>
        <v>0</v>
      </c>
      <c r="J27" s="240">
        <f>NPVCalc!$AD$19</f>
        <v>-1803575.3487</v>
      </c>
      <c r="K27" s="240"/>
    </row>
    <row r="28" spans="1:11" x14ac:dyDescent="0.2">
      <c r="A28" s="244">
        <f t="shared" si="0"/>
        <v>2034</v>
      </c>
      <c r="B28" s="241">
        <f>'Travel Time Benefits '!S13</f>
        <v>26302993.752548572</v>
      </c>
      <c r="C28" s="241">
        <f>'Travel Time Benefits '!S14</f>
        <v>4620447.121870066</v>
      </c>
      <c r="D28" s="241">
        <f>'Crash Benefits'!S55</f>
        <v>5238258.9864662793</v>
      </c>
      <c r="E28" s="241">
        <f>'Fuel Cost savings'!U28</f>
        <v>2378096.2620276324</v>
      </c>
      <c r="F28" s="241">
        <f>'Vehicle Op Costs (non-fuel)'!S33</f>
        <v>-1486591.915148899</v>
      </c>
      <c r="G28" s="241">
        <f>'Emission Reduction Savings '!V45</f>
        <v>93475.140750699444</v>
      </c>
      <c r="H28" s="241">
        <f>'Emission Reduction Savings '!V50</f>
        <v>253195.66008977825</v>
      </c>
      <c r="I28" s="240">
        <f>NPVCalc!AE$22</f>
        <v>0</v>
      </c>
      <c r="J28" s="240">
        <f>NPVCalc!$AE$19</f>
        <v>-1803575.3487</v>
      </c>
      <c r="K28" s="240"/>
    </row>
    <row r="29" spans="1:11" x14ac:dyDescent="0.2">
      <c r="A29" s="244">
        <f t="shared" si="0"/>
        <v>2035</v>
      </c>
      <c r="B29" s="241">
        <f>'Travel Time Benefits '!T13</f>
        <v>28171178.583620142</v>
      </c>
      <c r="C29" s="241">
        <f>'Travel Time Benefits '!T14</f>
        <v>4948616.9609025372</v>
      </c>
      <c r="D29" s="241">
        <f>'Crash Benefits'!T55</f>
        <v>5213553.6893663444</v>
      </c>
      <c r="E29" s="241">
        <f>'Fuel Cost savings'!V28</f>
        <v>2585451.086004328</v>
      </c>
      <c r="F29" s="241">
        <f>'Vehicle Op Costs (non-fuel)'!T33</f>
        <v>-1571362.7415065244</v>
      </c>
      <c r="G29" s="241">
        <f>'Emission Reduction Savings '!W45</f>
        <v>107220.22026499873</v>
      </c>
      <c r="H29" s="241">
        <f>'Emission Reduction Savings '!W50</f>
        <v>287069.5327095096</v>
      </c>
      <c r="I29" s="240">
        <f>NPVCalc!AF$22</f>
        <v>0</v>
      </c>
      <c r="J29" s="240">
        <f>NPVCalc!$AF$19</f>
        <v>-1803575.3487</v>
      </c>
      <c r="K29" s="240"/>
    </row>
    <row r="30" spans="1:11" x14ac:dyDescent="0.2">
      <c r="A30" s="244">
        <f t="shared" si="0"/>
        <v>2036</v>
      </c>
      <c r="B30" s="241">
        <f>'Travel Time Benefits '!U13</f>
        <v>30114273.926976241</v>
      </c>
      <c r="C30" s="241">
        <f>'Travel Time Benefits '!U14</f>
        <v>5289945.7606274318</v>
      </c>
      <c r="D30" s="241">
        <f>'Crash Benefits'!U55</f>
        <v>5187924.7638775613</v>
      </c>
      <c r="E30" s="241">
        <f>'Fuel Cost savings'!W28</f>
        <v>4945950.4666015841</v>
      </c>
      <c r="F30" s="241">
        <f>'Vehicle Op Costs (non-fuel)'!U33</f>
        <v>-1657596.5000611097</v>
      </c>
      <c r="G30" s="241">
        <f>'Emission Reduction Savings '!X45</f>
        <v>260797.40980753012</v>
      </c>
      <c r="H30" s="241">
        <f>'Emission Reduction Savings '!X50</f>
        <v>639788.36803066125</v>
      </c>
      <c r="I30" s="240">
        <f>NPVCalc!AG$22</f>
        <v>0</v>
      </c>
      <c r="J30" s="240">
        <f>NPVCalc!$AG$19</f>
        <v>-1803575.3487</v>
      </c>
      <c r="K30" s="240"/>
    </row>
    <row r="31" spans="1:11" x14ac:dyDescent="0.2">
      <c r="A31" s="244">
        <f t="shared" si="0"/>
        <v>2037</v>
      </c>
      <c r="B31" s="241">
        <f>'Travel Time Benefits '!V13</f>
        <v>32134841.748445712</v>
      </c>
      <c r="C31" s="241">
        <f>'Travel Time Benefits '!V14</f>
        <v>5644883.562121884</v>
      </c>
      <c r="D31" s="241">
        <f>'Crash Benefits'!V55</f>
        <v>5161357.0164666902</v>
      </c>
      <c r="E31" s="241">
        <f>'Fuel Cost savings'!X28</f>
        <v>4961432.1668207385</v>
      </c>
      <c r="F31" s="241">
        <f>'Vehicle Op Costs (non-fuel)'!V33</f>
        <v>-1745313.2540791631</v>
      </c>
      <c r="G31" s="241">
        <f>'Emission Reduction Savings '!Y45</f>
        <v>261865.81993411772</v>
      </c>
      <c r="H31" s="241">
        <f>'Emission Reduction Savings '!Y50</f>
        <v>649751.74438010808</v>
      </c>
      <c r="I31" s="240">
        <f>NPVCalc!AH$22</f>
        <v>0</v>
      </c>
      <c r="J31" s="240">
        <f>NPVCalc!$AH$19</f>
        <v>-1803575.3487</v>
      </c>
      <c r="K31" s="240"/>
    </row>
    <row r="32" spans="1:11" x14ac:dyDescent="0.2">
      <c r="A32" s="244">
        <f t="shared" si="0"/>
        <v>2038</v>
      </c>
      <c r="B32" s="241">
        <f>'Travel Time Benefits '!W13</f>
        <v>34235525.650247604</v>
      </c>
      <c r="C32" s="241">
        <f>'Travel Time Benefits '!W14</f>
        <v>6013894.7469076021</v>
      </c>
      <c r="D32" s="241">
        <f>'Crash Benefits'!W55</f>
        <v>5133835.0490200631</v>
      </c>
      <c r="E32" s="241">
        <f>'Fuel Cost savings'!Y28</f>
        <v>4976771.1869508848</v>
      </c>
      <c r="F32" s="241">
        <f>'Vehicle Op Costs (non-fuel)'!W33</f>
        <v>-1834533.3156486899</v>
      </c>
      <c r="G32" s="241">
        <f>'Emission Reduction Savings '!Z45</f>
        <v>262931.44425883074</v>
      </c>
      <c r="H32" s="241">
        <f>'Emission Reduction Savings '!Z50</f>
        <v>659690.31786333397</v>
      </c>
      <c r="I32" s="240">
        <f>NPVCalc!AI$22</f>
        <v>0</v>
      </c>
      <c r="J32" s="240">
        <f>NPVCalc!$AI$19</f>
        <v>-1803575.3487</v>
      </c>
      <c r="K32" s="240"/>
    </row>
    <row r="33" spans="1:11" x14ac:dyDescent="0.2">
      <c r="A33" s="244">
        <f t="shared" si="0"/>
        <v>2039</v>
      </c>
      <c r="B33" s="241">
        <f>'Travel Time Benefits '!X13</f>
        <v>36419053.377293892</v>
      </c>
      <c r="C33" s="241">
        <f>'Travel Time Benefits '!X14</f>
        <v>6397458.477214043</v>
      </c>
      <c r="D33" s="241">
        <f>'Crash Benefits'!X55</f>
        <v>5105343.2563306736</v>
      </c>
      <c r="E33" s="241">
        <f>'Fuel Cost savings'!Z28</f>
        <v>4991963.4878718853</v>
      </c>
      <c r="F33" s="241">
        <f>'Vehicle Op Costs (non-fuel)'!X33</f>
        <v>-1925277.2485966161</v>
      </c>
      <c r="G33" s="241">
        <f>'Emission Reduction Savings '!AA45</f>
        <v>263994.13674419024</v>
      </c>
      <c r="H33" s="241">
        <f>'Emission Reduction Savings '!AA50</f>
        <v>669601.29476578021</v>
      </c>
      <c r="I33" s="240">
        <f>NPVCalc!AJ$22</f>
        <v>0</v>
      </c>
      <c r="J33" s="240">
        <f>NPVCalc!$AJ$19</f>
        <v>-1803575.3487</v>
      </c>
      <c r="K33" s="240"/>
    </row>
    <row r="34" spans="1:11" x14ac:dyDescent="0.2">
      <c r="A34" s="244">
        <f t="shared" si="0"/>
        <v>2040</v>
      </c>
      <c r="B34" s="241">
        <f>'Travel Time Benefits '!Y13</f>
        <v>38688239.398818523</v>
      </c>
      <c r="C34" s="241">
        <f>'Travel Time Benefits '!Y14</f>
        <v>6796069.149473561</v>
      </c>
      <c r="D34" s="241">
        <f>'Crash Benefits'!Y55</f>
        <v>5075865.8235559408</v>
      </c>
      <c r="E34" s="241">
        <f>'Fuel Cost savings'!AA28</f>
        <v>5007004.9670580812</v>
      </c>
      <c r="F34" s="241">
        <f>'Vehicle Op Costs (non-fuel)'!Y33</f>
        <v>-2017565.8714393601</v>
      </c>
      <c r="G34" s="241">
        <f>'Emission Reduction Savings '!AB45</f>
        <v>265053.7488521873</v>
      </c>
      <c r="H34" s="241">
        <f>'Emission Reduction Savings '!AB50</f>
        <v>679481.81738756131</v>
      </c>
      <c r="I34" s="240">
        <f>NPVCalc!AK$22</f>
        <v>0</v>
      </c>
      <c r="J34" s="240">
        <f>NPVCalc!$AK$19</f>
        <v>-1803575.3487</v>
      </c>
      <c r="K34" s="240"/>
    </row>
    <row r="35" spans="1:11" x14ac:dyDescent="0.2">
      <c r="A35" s="244">
        <f t="shared" si="0"/>
        <v>2041</v>
      </c>
      <c r="B35" s="241">
        <f>'Travel Time Benefits '!Z13</f>
        <v>41045987.56756749</v>
      </c>
      <c r="C35" s="241">
        <f>'Travel Time Benefits '!Z14</f>
        <v>7210236.8614411401</v>
      </c>
      <c r="D35" s="241">
        <f>'Crash Benefits'!Z55</f>
        <v>5045386.723645824</v>
      </c>
      <c r="E35" s="241">
        <f>'Fuel Cost savings'!AB28</f>
        <v>5021891.457740739</v>
      </c>
      <c r="F35" s="241">
        <f>'Vehicle Op Costs (non-fuel)'!Z33</f>
        <v>-2111420.2603665739</v>
      </c>
      <c r="G35" s="241">
        <f>'Emission Reduction Savings '!AC45</f>
        <v>266110.12951008801</v>
      </c>
      <c r="H35" s="241">
        <f>'Emission Reduction Savings '!AC50</f>
        <v>689328.96295669442</v>
      </c>
      <c r="I35" s="240">
        <f>NPVCalc!AL$22</f>
        <v>0</v>
      </c>
      <c r="J35" s="240">
        <f>NPVCalc!$AL$19</f>
        <v>-1803575.3487</v>
      </c>
      <c r="K35" s="240"/>
    </row>
    <row r="36" spans="1:11" x14ac:dyDescent="0.2">
      <c r="A36" s="244">
        <f t="shared" si="0"/>
        <v>2042</v>
      </c>
      <c r="B36" s="241">
        <f>'Travel Time Benefits '!AA13</f>
        <v>43495293.858851358</v>
      </c>
      <c r="C36" s="241">
        <f>'Travel Time Benefits '!AA14</f>
        <v>7640487.8933429467</v>
      </c>
      <c r="D36" s="241">
        <f>'Crash Benefits'!AA55</f>
        <v>5013889.7147409897</v>
      </c>
      <c r="E36" s="241">
        <f>'Fuel Cost savings'!AC28</f>
        <v>5036618.7280603126</v>
      </c>
      <c r="F36" s="241">
        <f>'Vehicle Op Costs (non-fuel)'!AA33</f>
        <v>-2206861.7522589564</v>
      </c>
      <c r="G36" s="241">
        <f>'Emission Reduction Savings '!AD45</f>
        <v>267163.12507581909</v>
      </c>
      <c r="H36" s="241">
        <f>'Emission Reduction Savings '!AD50</f>
        <v>699139.74252629653</v>
      </c>
      <c r="I36" s="240">
        <f>NPVCalc!AM$22</f>
        <v>0</v>
      </c>
      <c r="J36" s="240">
        <f>NPVCalc!$AM$19</f>
        <v>-1803575.3487</v>
      </c>
      <c r="K36" s="240"/>
    </row>
    <row r="37" spans="1:11" x14ac:dyDescent="0.2">
      <c r="A37" s="244">
        <f t="shared" si="0"/>
        <v>2043</v>
      </c>
      <c r="B37" s="241">
        <f>'Travel Time Benefits '!AB13</f>
        <v>46039249.191829026</v>
      </c>
      <c r="C37" s="241">
        <f>'Travel Time Benefits '!AB14</f>
        <v>8087365.2034698129</v>
      </c>
      <c r="D37" s="241">
        <f>'Crash Benefits'!AB55</f>
        <v>4981358.3375407755</v>
      </c>
      <c r="E37" s="241">
        <f>'Fuel Cost savings'!AD28</f>
        <v>5051182.4802083969</v>
      </c>
      <c r="F37" s="241">
        <f>'Vehicle Op Costs (non-fuel)'!AB33</f>
        <v>-2303911.9477398768</v>
      </c>
      <c r="G37" s="241">
        <f>'Emission Reduction Savings '!AE45</f>
        <v>268212.57930292119</v>
      </c>
      <c r="H37" s="241">
        <f>'Emission Reduction Savings '!AE50</f>
        <v>718238.87748518819</v>
      </c>
      <c r="I37" s="240">
        <f>NPVCalc!AN$22</f>
        <v>0</v>
      </c>
      <c r="J37" s="240">
        <f>NPVCalc!$AN$19</f>
        <v>-1803575.3487</v>
      </c>
      <c r="K37" s="240"/>
    </row>
    <row r="38" spans="1:11" x14ac:dyDescent="0.2">
      <c r="A38" s="230">
        <v>2044</v>
      </c>
      <c r="B38" s="241">
        <f>'Travel Time Benefits '!AC13</f>
        <v>48681042.335460924</v>
      </c>
      <c r="C38" s="241">
        <f>'Travel Time Benefits '!AC14</f>
        <v>8551428.938643964</v>
      </c>
      <c r="D38" s="241">
        <f>'Crash Benefits'!AC55</f>
        <v>4947775.9126403779</v>
      </c>
      <c r="E38" s="241">
        <f>'Fuel Cost savings'!AE28</f>
        <v>5065578.3495592624</v>
      </c>
      <c r="F38" s="241">
        <f>'Vehicle Op Costs (non-fuel)'!AC33</f>
        <v>-2402592.7142616361</v>
      </c>
      <c r="G38" s="241">
        <f>'Emission Reduction Savings '!AF45</f>
        <v>269258.33330507122</v>
      </c>
      <c r="H38" s="241">
        <f>'Emission Reduction Savings '!AF50</f>
        <v>727972.89612165885</v>
      </c>
      <c r="I38" s="240">
        <f>NPVCalc!AO$22</f>
        <v>0</v>
      </c>
      <c r="J38" s="240">
        <f>NPVCalc!$AO$19</f>
        <v>-1803575.3487</v>
      </c>
      <c r="K38" s="240"/>
    </row>
    <row r="39" spans="1:11" x14ac:dyDescent="0.2">
      <c r="A39" s="230">
        <v>2045</v>
      </c>
      <c r="B39" s="241">
        <f>'Travel Time Benefits '!AD13</f>
        <v>51423962.901642241</v>
      </c>
      <c r="C39" s="241">
        <f>'Travel Time Benefits '!AD14</f>
        <v>9033256.9600000009</v>
      </c>
      <c r="D39" s="241">
        <f>'Crash Benefits'!AD55</f>
        <v>4913125.5378371524</v>
      </c>
      <c r="E39" s="241">
        <f>'Fuel Cost savings'!AF28</f>
        <v>5079801.9037908465</v>
      </c>
      <c r="F39" s="241">
        <f>'Vehicle Op Costs (non-fuel)'!AD33</f>
        <v>-2502926.1892266721</v>
      </c>
      <c r="G39" s="241">
        <f>'Emission Reduction Savings '!AG45</f>
        <v>270300.22552016622</v>
      </c>
      <c r="H39" s="241">
        <f>'Emission Reduction Savings '!AG50</f>
        <v>737660.45362594398</v>
      </c>
      <c r="I39" s="240">
        <f>NPVCalc!AP$22</f>
        <v>0</v>
      </c>
      <c r="J39" s="240">
        <f>NPVCalc!$AP$19</f>
        <v>-1803575.3487</v>
      </c>
      <c r="K39" s="240"/>
    </row>
    <row r="40" spans="1:11" x14ac:dyDescent="0.2">
      <c r="A40" s="230">
        <v>2046</v>
      </c>
      <c r="B40" s="241">
        <f>'Travel Time Benefits '!AE13</f>
        <v>54271404.428100839</v>
      </c>
      <c r="C40" s="241">
        <f>'Travel Time Benefits '!AE14</f>
        <v>9533445.3845341541</v>
      </c>
      <c r="D40" s="241">
        <f>'Crash Benefits'!AE55</f>
        <v>4877390.0854054159</v>
      </c>
      <c r="E40" s="241">
        <f>'Fuel Cost savings'!AG28</f>
        <v>5093848.6419950202</v>
      </c>
      <c r="F40" s="241">
        <f>'Vehicle Op Costs (non-fuel)'!AE33</f>
        <v>-2604934.7831440195</v>
      </c>
      <c r="G40" s="241">
        <f>'Emission Reduction Savings '!AH45</f>
        <v>271338.09167396033</v>
      </c>
      <c r="H40" s="241">
        <f>'Emission Reduction Savings '!AH50</f>
        <v>747298.27100630384</v>
      </c>
      <c r="I40" s="240">
        <f>NPVCalc!AQ$22</f>
        <v>0</v>
      </c>
      <c r="J40" s="240">
        <f>NPVCalc!$AQ$19</f>
        <v>-1803575.3487</v>
      </c>
      <c r="K40" s="240"/>
    </row>
    <row r="41" spans="1:11" x14ac:dyDescent="0.2">
      <c r="A41" s="230">
        <v>2047</v>
      </c>
      <c r="B41" s="241">
        <f>'Travel Time Benefits '!AF13</f>
        <v>57226867.553718187</v>
      </c>
      <c r="C41" s="241">
        <f>'Travel Time Benefits '!AF14</f>
        <v>10052609.142888797</v>
      </c>
      <c r="D41" s="241">
        <f>'Crash Benefits'!AF55</f>
        <v>4840552.199339984</v>
      </c>
      <c r="E41" s="241">
        <f>'Fuel Cost savings'!AH28</f>
        <v>5107713.9937772676</v>
      </c>
      <c r="F41" s="241">
        <f>'Vehicle Op Costs (non-fuel)'!AF33</f>
        <v>-2708641.1828211322</v>
      </c>
      <c r="G41" s="241">
        <f>'Emission Reduction Savings '!AI45</f>
        <v>272371.76474325848</v>
      </c>
      <c r="H41" s="241">
        <f>'Emission Reduction Savings '!AI50</f>
        <v>747538.76260133507</v>
      </c>
      <c r="I41" s="240">
        <f>NPVCalc!AQ$22</f>
        <v>0</v>
      </c>
      <c r="J41" s="240">
        <f>NPVCalc!$AR$19</f>
        <v>-1803575.3487</v>
      </c>
      <c r="K41" s="240">
        <f>NPVCalc!AR17</f>
        <v>108214520.92200001</v>
      </c>
    </row>
    <row r="42" spans="1:11" x14ac:dyDescent="0.2">
      <c r="A42" s="230"/>
      <c r="B42" s="230"/>
      <c r="C42" s="230"/>
      <c r="D42" s="230"/>
      <c r="F42" s="230"/>
      <c r="G42" s="230"/>
      <c r="H42" s="230"/>
      <c r="I42" s="230"/>
      <c r="J42" s="230"/>
      <c r="K42" s="230"/>
    </row>
    <row r="43" spans="1:11" x14ac:dyDescent="0.2">
      <c r="A43" s="230"/>
      <c r="B43" s="230"/>
      <c r="C43" s="230"/>
      <c r="D43" s="230"/>
      <c r="F43" s="230"/>
      <c r="G43" s="230"/>
      <c r="H43" s="230"/>
      <c r="I43" s="230"/>
      <c r="J43" s="230"/>
      <c r="K43" s="230"/>
    </row>
    <row r="44" spans="1:11" x14ac:dyDescent="0.2">
      <c r="F44" s="230"/>
    </row>
    <row r="45" spans="1:11" x14ac:dyDescent="0.2">
      <c r="F45" s="230"/>
    </row>
    <row r="46" spans="1:11" x14ac:dyDescent="0.2">
      <c r="F46" s="230"/>
    </row>
    <row r="47" spans="1:11" x14ac:dyDescent="0.2">
      <c r="F47" s="230"/>
    </row>
    <row r="48" spans="1:11" x14ac:dyDescent="0.2">
      <c r="F48" s="230"/>
    </row>
    <row r="49" spans="6:6" x14ac:dyDescent="0.2">
      <c r="F49" s="230"/>
    </row>
    <row r="50" spans="6:6" x14ac:dyDescent="0.2">
      <c r="F50" s="230"/>
    </row>
    <row r="51" spans="6:6" x14ac:dyDescent="0.2">
      <c r="F51" s="230"/>
    </row>
    <row r="52" spans="6:6" x14ac:dyDescent="0.2">
      <c r="F52" s="230"/>
    </row>
    <row r="53" spans="6:6" x14ac:dyDescent="0.2">
      <c r="F53" s="230"/>
    </row>
    <row r="54" spans="6:6" x14ac:dyDescent="0.2">
      <c r="F54" s="230"/>
    </row>
    <row r="55" spans="6:6" x14ac:dyDescent="0.2">
      <c r="F55" s="230"/>
    </row>
    <row r="56" spans="6:6" x14ac:dyDescent="0.2">
      <c r="F56" s="230"/>
    </row>
    <row r="57" spans="6:6" x14ac:dyDescent="0.2">
      <c r="F57" s="230"/>
    </row>
    <row r="58" spans="6:6" x14ac:dyDescent="0.2">
      <c r="F58" s="230"/>
    </row>
    <row r="59" spans="6:6" x14ac:dyDescent="0.2">
      <c r="F59" s="230"/>
    </row>
  </sheetData>
  <pageMargins left="0.7" right="0.7" top="1" bottom="1" header="0.5" footer="0.5"/>
  <pageSetup scale="70" orientation="landscape" r:id="rId1"/>
  <headerFooter alignWithMargins="0">
    <oddFooter>&amp;R&amp;P of &amp;N&amp;L&amp;F  &amp;A
&amp;D   &amp;T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7"/>
  <dimension ref="A1:S63"/>
  <sheetViews>
    <sheetView zoomScaleNormal="100" workbookViewId="0">
      <selection activeCell="A4" sqref="A4:K42"/>
    </sheetView>
  </sheetViews>
  <sheetFormatPr defaultColWidth="9.140625" defaultRowHeight="12.75" x14ac:dyDescent="0.2"/>
  <cols>
    <col min="1" max="1" width="5" style="259" bestFit="1" customWidth="1"/>
    <col min="2" max="2" width="11.7109375" style="264" customWidth="1"/>
    <col min="3" max="3" width="11.42578125" style="264" bestFit="1" customWidth="1"/>
    <col min="4" max="4" width="10.42578125" style="264" bestFit="1" customWidth="1"/>
    <col min="5" max="5" width="11.5703125" style="247" customWidth="1"/>
    <col min="6" max="7" width="10.42578125" style="248" customWidth="1"/>
    <col min="8" max="8" width="11.5703125" style="249" customWidth="1"/>
    <col min="9" max="9" width="10.85546875" style="250" customWidth="1"/>
    <col min="10" max="11" width="11.5703125" style="250" customWidth="1"/>
    <col min="12" max="12" width="1.42578125" style="250" customWidth="1"/>
    <col min="13" max="13" width="10.42578125" style="247" bestFit="1" customWidth="1"/>
    <col min="14" max="14" width="9.42578125" style="247" bestFit="1" customWidth="1"/>
    <col min="15" max="15" width="1" style="247" customWidth="1"/>
    <col min="16" max="16" width="9.140625" style="247"/>
    <col min="17" max="17" width="10" style="247" bestFit="1" customWidth="1"/>
    <col min="18" max="18" width="13.140625" style="247" bestFit="1" customWidth="1"/>
    <col min="19" max="19" width="10" style="247" bestFit="1" customWidth="1"/>
    <col min="20" max="16384" width="9.140625" style="247"/>
  </cols>
  <sheetData>
    <row r="1" spans="1:14" x14ac:dyDescent="0.2">
      <c r="A1" s="149" t="s">
        <v>161</v>
      </c>
      <c r="C1" s="246"/>
      <c r="D1" s="246"/>
      <c r="H1" s="249" t="s">
        <v>4</v>
      </c>
    </row>
    <row r="2" spans="1:14" x14ac:dyDescent="0.2">
      <c r="A2" s="149" t="s">
        <v>14</v>
      </c>
      <c r="C2" s="246"/>
      <c r="D2" s="246"/>
      <c r="H2" s="249" t="s">
        <v>4</v>
      </c>
    </row>
    <row r="3" spans="1:14" x14ac:dyDescent="0.2">
      <c r="A3" s="245"/>
      <c r="B3" s="246"/>
      <c r="C3" s="246"/>
      <c r="D3" s="246"/>
      <c r="H3" s="251"/>
    </row>
    <row r="4" spans="1:14" ht="78" x14ac:dyDescent="0.2">
      <c r="A4" s="252" t="s">
        <v>99</v>
      </c>
      <c r="B4" s="253" t="s">
        <v>228</v>
      </c>
      <c r="C4" s="253" t="s">
        <v>83</v>
      </c>
      <c r="D4" s="253" t="s">
        <v>57</v>
      </c>
      <c r="E4" s="253" t="s">
        <v>65</v>
      </c>
      <c r="F4" s="253" t="s">
        <v>211</v>
      </c>
      <c r="G4" s="253" t="s">
        <v>210</v>
      </c>
      <c r="H4" s="254" t="s">
        <v>85</v>
      </c>
      <c r="I4" s="253" t="s">
        <v>229</v>
      </c>
      <c r="J4" s="253" t="s">
        <v>148</v>
      </c>
      <c r="K4" s="253" t="s">
        <v>91</v>
      </c>
      <c r="L4" s="255"/>
      <c r="M4" s="256" t="s">
        <v>103</v>
      </c>
      <c r="N4" s="256" t="s">
        <v>102</v>
      </c>
    </row>
    <row r="5" spans="1:14" x14ac:dyDescent="0.2">
      <c r="A5" s="483">
        <v>2004</v>
      </c>
      <c r="B5" s="258">
        <v>0</v>
      </c>
      <c r="C5" s="258">
        <v>0</v>
      </c>
      <c r="D5" s="258">
        <v>0</v>
      </c>
      <c r="E5" s="258">
        <v>0</v>
      </c>
      <c r="F5" s="258">
        <v>0</v>
      </c>
      <c r="G5" s="258">
        <v>0</v>
      </c>
      <c r="H5" s="258">
        <f>NPVCalcVert!I5/(1+Inputs!$C$4)^($A5-NPVCalcVertPV!$A$14)</f>
        <v>88974.525177075659</v>
      </c>
      <c r="I5" s="258">
        <v>0</v>
      </c>
      <c r="J5" s="258">
        <v>0</v>
      </c>
      <c r="K5" s="258">
        <f>SUM(B5:G5)+I5-H5+J5</f>
        <v>-88974.525177075659</v>
      </c>
      <c r="L5" s="255"/>
      <c r="M5" s="258">
        <v>0</v>
      </c>
      <c r="N5" s="258">
        <v>0</v>
      </c>
    </row>
    <row r="6" spans="1:14" x14ac:dyDescent="0.2">
      <c r="A6" s="247">
        <v>2012</v>
      </c>
      <c r="B6" s="258">
        <v>0</v>
      </c>
      <c r="C6" s="258">
        <v>0</v>
      </c>
      <c r="D6" s="258">
        <v>0</v>
      </c>
      <c r="E6" s="258">
        <v>0</v>
      </c>
      <c r="F6" s="258">
        <v>0</v>
      </c>
      <c r="G6" s="258">
        <v>0</v>
      </c>
      <c r="H6" s="258">
        <f>NPVCalcVert!I6/(1+Inputs!$C$4)^($A6-NPVCalcVertPV!$A$14)</f>
        <v>4324676.1546815801</v>
      </c>
      <c r="I6" s="258">
        <v>0</v>
      </c>
      <c r="J6" s="258">
        <v>0</v>
      </c>
      <c r="K6" s="258">
        <f t="shared" ref="K6:K41" si="0">SUM(B6:G6)+I6-H6+J6</f>
        <v>-4324676.1546815801</v>
      </c>
      <c r="L6" s="255"/>
      <c r="M6" s="258">
        <v>0</v>
      </c>
      <c r="N6" s="258">
        <v>0</v>
      </c>
    </row>
    <row r="7" spans="1:14" x14ac:dyDescent="0.2">
      <c r="A7" s="247">
        <v>2013</v>
      </c>
      <c r="B7" s="258">
        <v>0</v>
      </c>
      <c r="C7" s="258">
        <v>0</v>
      </c>
      <c r="D7" s="258">
        <v>0</v>
      </c>
      <c r="E7" s="258">
        <v>0</v>
      </c>
      <c r="F7" s="258">
        <v>0</v>
      </c>
      <c r="G7" s="258">
        <v>0</v>
      </c>
      <c r="H7" s="258">
        <f>NPVCalcVert!I7/(1+Inputs!$C$4)^($A7-NPVCalcVertPV!$A$14)</f>
        <v>611733.11300269503</v>
      </c>
      <c r="I7" s="258">
        <v>0</v>
      </c>
      <c r="J7" s="258">
        <v>0</v>
      </c>
      <c r="K7" s="258">
        <f t="shared" si="0"/>
        <v>-611733.11300269503</v>
      </c>
      <c r="L7" s="255"/>
      <c r="M7" s="258">
        <v>0</v>
      </c>
      <c r="N7" s="258">
        <v>0</v>
      </c>
    </row>
    <row r="8" spans="1:14" x14ac:dyDescent="0.2">
      <c r="A8" s="483">
        <v>2014</v>
      </c>
      <c r="B8" s="258">
        <v>0</v>
      </c>
      <c r="C8" s="258">
        <v>0</v>
      </c>
      <c r="D8" s="258">
        <v>0</v>
      </c>
      <c r="E8" s="258">
        <v>0</v>
      </c>
      <c r="F8" s="258">
        <v>0</v>
      </c>
      <c r="G8" s="258">
        <v>0</v>
      </c>
      <c r="H8" s="258">
        <f>NPVCalcVert!I8/(1+Inputs!$C$4)^($A8-NPVCalcVertPV!$A$14)</f>
        <v>1203736.187599126</v>
      </c>
      <c r="I8" s="258">
        <v>0</v>
      </c>
      <c r="J8" s="258">
        <v>0</v>
      </c>
      <c r="K8" s="258">
        <f t="shared" si="0"/>
        <v>-1203736.187599126</v>
      </c>
      <c r="L8" s="255"/>
      <c r="M8" s="258">
        <v>0</v>
      </c>
      <c r="N8" s="258">
        <v>0</v>
      </c>
    </row>
    <row r="9" spans="1:14" x14ac:dyDescent="0.2">
      <c r="A9" s="483">
        <v>2015</v>
      </c>
      <c r="B9" s="258">
        <v>0</v>
      </c>
      <c r="C9" s="258">
        <v>0</v>
      </c>
      <c r="D9" s="258">
        <v>0</v>
      </c>
      <c r="E9" s="258">
        <v>0</v>
      </c>
      <c r="F9" s="258">
        <v>0</v>
      </c>
      <c r="G9" s="258">
        <v>0</v>
      </c>
      <c r="H9" s="258">
        <f>NPVCalcVert!I9/(1+Inputs!$C$4)^($A9-NPVCalcVertPV!$A$14)</f>
        <v>995894.86902942928</v>
      </c>
      <c r="I9" s="258">
        <v>0</v>
      </c>
      <c r="J9" s="258">
        <v>0</v>
      </c>
      <c r="K9" s="258">
        <f t="shared" si="0"/>
        <v>-995894.86902942928</v>
      </c>
      <c r="L9" s="255"/>
      <c r="M9" s="258">
        <v>0</v>
      </c>
      <c r="N9" s="258">
        <v>0</v>
      </c>
    </row>
    <row r="10" spans="1:14" x14ac:dyDescent="0.2">
      <c r="A10" s="483">
        <v>2016</v>
      </c>
      <c r="B10" s="258">
        <v>0</v>
      </c>
      <c r="C10" s="258">
        <v>0</v>
      </c>
      <c r="D10" s="258">
        <v>0</v>
      </c>
      <c r="E10" s="258">
        <v>0</v>
      </c>
      <c r="F10" s="258">
        <v>0</v>
      </c>
      <c r="G10" s="258">
        <v>0</v>
      </c>
      <c r="H10" s="258">
        <f>NPVCalcVert!I10/(1+Inputs!$C$4)^($A10-NPVCalcVertPV!$A$14)</f>
        <v>2430617.8693694212</v>
      </c>
      <c r="I10" s="258">
        <v>0</v>
      </c>
      <c r="J10" s="258">
        <v>0</v>
      </c>
      <c r="K10" s="258">
        <f t="shared" si="0"/>
        <v>-2430617.8693694212</v>
      </c>
      <c r="L10" s="255"/>
      <c r="M10" s="258">
        <v>0</v>
      </c>
      <c r="N10" s="258">
        <v>0</v>
      </c>
    </row>
    <row r="11" spans="1:14" x14ac:dyDescent="0.2">
      <c r="A11" s="483">
        <v>2017</v>
      </c>
      <c r="B11" s="258">
        <v>0</v>
      </c>
      <c r="C11" s="258">
        <v>0</v>
      </c>
      <c r="D11" s="258">
        <v>0</v>
      </c>
      <c r="E11" s="258">
        <v>0</v>
      </c>
      <c r="F11" s="258">
        <v>0</v>
      </c>
      <c r="G11" s="258">
        <v>0</v>
      </c>
      <c r="H11" s="258">
        <f>NPVCalcVert!I11/(1+Inputs!$C$4)^($A11-NPVCalcVertPV!$A$14)</f>
        <v>4735694.7359264111</v>
      </c>
      <c r="I11" s="258">
        <v>0</v>
      </c>
      <c r="J11" s="258">
        <v>0</v>
      </c>
      <c r="K11" s="258">
        <f t="shared" si="0"/>
        <v>-4735694.7359264111</v>
      </c>
      <c r="L11" s="255"/>
      <c r="M11" s="258">
        <v>0</v>
      </c>
      <c r="N11" s="258">
        <v>0</v>
      </c>
    </row>
    <row r="12" spans="1:14" x14ac:dyDescent="0.2">
      <c r="A12" s="483">
        <v>2018</v>
      </c>
      <c r="B12" s="258">
        <v>0</v>
      </c>
      <c r="C12" s="258">
        <v>0</v>
      </c>
      <c r="D12" s="258">
        <v>0</v>
      </c>
      <c r="E12" s="258">
        <v>0</v>
      </c>
      <c r="F12" s="258">
        <v>0</v>
      </c>
      <c r="G12" s="258">
        <v>0</v>
      </c>
      <c r="H12" s="258">
        <f>NPVCalcVert!I12/(1+Inputs!$C$4)^($A12-NPVCalcVertPV!$A$14)</f>
        <v>1140652.413341112</v>
      </c>
      <c r="I12" s="258">
        <v>0</v>
      </c>
      <c r="J12" s="258">
        <v>0</v>
      </c>
      <c r="K12" s="258">
        <f t="shared" si="0"/>
        <v>-1140652.413341112</v>
      </c>
      <c r="L12" s="255"/>
      <c r="M12" s="258">
        <v>0</v>
      </c>
      <c r="N12" s="258">
        <v>0</v>
      </c>
    </row>
    <row r="13" spans="1:14" x14ac:dyDescent="0.2">
      <c r="A13" s="483">
        <v>2019</v>
      </c>
      <c r="B13" s="258">
        <v>0</v>
      </c>
      <c r="C13" s="258">
        <v>0</v>
      </c>
      <c r="D13" s="258">
        <v>0</v>
      </c>
      <c r="E13" s="258">
        <v>0</v>
      </c>
      <c r="F13" s="258">
        <v>0</v>
      </c>
      <c r="G13" s="258">
        <v>0</v>
      </c>
      <c r="H13" s="258">
        <f>NPVCalcVert!I13/(1+Inputs!$C$4)^($A13-NPVCalcVertPV!$A$14)</f>
        <v>7051594.6881421991</v>
      </c>
      <c r="I13" s="258">
        <v>0</v>
      </c>
      <c r="J13" s="258">
        <v>0</v>
      </c>
      <c r="K13" s="258">
        <f t="shared" si="0"/>
        <v>-7051594.6881421991</v>
      </c>
      <c r="L13" s="255"/>
      <c r="M13" s="258">
        <v>0</v>
      </c>
      <c r="N13" s="258">
        <v>0</v>
      </c>
    </row>
    <row r="14" spans="1:14" x14ac:dyDescent="0.2">
      <c r="A14" s="257">
        <v>2020</v>
      </c>
      <c r="B14" s="258">
        <f t="shared" ref="B14:B41" si="1">SUM(M14:N14)</f>
        <v>0</v>
      </c>
      <c r="C14" s="258">
        <v>0</v>
      </c>
      <c r="D14" s="258">
        <v>0</v>
      </c>
      <c r="E14" s="258">
        <v>0</v>
      </c>
      <c r="F14" s="258">
        <v>0</v>
      </c>
      <c r="G14" s="258">
        <v>0</v>
      </c>
      <c r="H14" s="258">
        <f>NPVCalcVert!I14/(1+Inputs!$C$4)^($A14-NPVCalcVertPV!$A$14)</f>
        <v>4485570</v>
      </c>
      <c r="I14" s="258">
        <v>0</v>
      </c>
      <c r="J14" s="258">
        <v>0</v>
      </c>
      <c r="K14" s="258">
        <f t="shared" si="0"/>
        <v>-4485570</v>
      </c>
      <c r="L14" s="258"/>
      <c r="M14" s="258">
        <v>0</v>
      </c>
      <c r="N14" s="258">
        <v>0</v>
      </c>
    </row>
    <row r="15" spans="1:14" x14ac:dyDescent="0.2">
      <c r="A15" s="257">
        <f>A14+1</f>
        <v>2021</v>
      </c>
      <c r="B15" s="258">
        <f t="shared" si="1"/>
        <v>0</v>
      </c>
      <c r="C15" s="258">
        <v>0</v>
      </c>
      <c r="D15" s="258">
        <v>0</v>
      </c>
      <c r="E15" s="258">
        <v>0</v>
      </c>
      <c r="F15" s="258">
        <v>0</v>
      </c>
      <c r="G15" s="258">
        <v>0</v>
      </c>
      <c r="H15" s="258">
        <f>NPVCalcVert!I15/(1+Inputs!$C$4)^($A15-NPVCalcVertPV!$A$14)</f>
        <v>1658946.8218833683</v>
      </c>
      <c r="I15" s="258">
        <v>0</v>
      </c>
      <c r="J15" s="258">
        <v>0</v>
      </c>
      <c r="K15" s="258">
        <f t="shared" si="0"/>
        <v>-1658946.8218833683</v>
      </c>
      <c r="L15" s="258"/>
      <c r="M15" s="258">
        <f>NPVCalcVert!B15/(1+Disc)^($A15-NPVCalcVertPV!$A$14)</f>
        <v>0</v>
      </c>
      <c r="N15" s="258">
        <f>NPVCalcVert!C15/(1+Disc)^($A15-NPVCalcVertPV!$A$14)</f>
        <v>0</v>
      </c>
    </row>
    <row r="16" spans="1:14" x14ac:dyDescent="0.2">
      <c r="A16" s="257">
        <f>A15+1</f>
        <v>2022</v>
      </c>
      <c r="B16" s="258">
        <f t="shared" si="1"/>
        <v>0</v>
      </c>
      <c r="C16" s="258">
        <v>0</v>
      </c>
      <c r="D16" s="258">
        <v>0</v>
      </c>
      <c r="E16" s="258">
        <v>0</v>
      </c>
      <c r="F16" s="258">
        <v>0</v>
      </c>
      <c r="G16" s="258">
        <v>0</v>
      </c>
      <c r="H16" s="258">
        <f>NPVCalcVert!I16/(1+Inputs!$C$4)^($A16-NPVCalcVertPV!$A$14)</f>
        <v>21541046.730960824</v>
      </c>
      <c r="I16" s="258">
        <v>0</v>
      </c>
      <c r="J16" s="258">
        <v>0</v>
      </c>
      <c r="K16" s="258">
        <f t="shared" si="0"/>
        <v>-21541046.730960824</v>
      </c>
      <c r="L16" s="258"/>
      <c r="M16" s="258">
        <f>NPVCalcVert!B16/(1+Disc)^($A16-NPVCalcVertPV!$A$14)</f>
        <v>0</v>
      </c>
      <c r="N16" s="258">
        <f>NPVCalcVert!C16/(1+Disc)^($A16-NPVCalcVertPV!$A$14)</f>
        <v>0</v>
      </c>
    </row>
    <row r="17" spans="1:14" x14ac:dyDescent="0.2">
      <c r="A17" s="257">
        <f t="shared" ref="A17:A41" si="2">A16+1</f>
        <v>2023</v>
      </c>
      <c r="B17" s="258">
        <f t="shared" si="1"/>
        <v>0</v>
      </c>
      <c r="C17" s="258">
        <v>0</v>
      </c>
      <c r="D17" s="258">
        <v>0</v>
      </c>
      <c r="E17" s="258">
        <v>0</v>
      </c>
      <c r="F17" s="258">
        <v>0</v>
      </c>
      <c r="G17" s="258">
        <v>0</v>
      </c>
      <c r="H17" s="258">
        <f>NPVCalcVert!I17/(1+Inputs!$C$4)^($A17-NPVCalcVertPV!$A$14)</f>
        <v>3145157.2790402113</v>
      </c>
      <c r="I17" s="258">
        <v>0</v>
      </c>
      <c r="J17" s="258">
        <v>0</v>
      </c>
      <c r="K17" s="258">
        <f t="shared" si="0"/>
        <v>-3145157.2790402113</v>
      </c>
      <c r="L17" s="258"/>
      <c r="M17" s="258">
        <f>NPVCalcVert!B17/(1+Disc)^($A17-NPVCalcVertPV!$A$14)</f>
        <v>0</v>
      </c>
      <c r="N17" s="258">
        <f>NPVCalcVert!C17/(1+Disc)^($A17-NPVCalcVertPV!$A$14)</f>
        <v>0</v>
      </c>
    </row>
    <row r="18" spans="1:14" x14ac:dyDescent="0.2">
      <c r="A18" s="257">
        <f t="shared" si="2"/>
        <v>2024</v>
      </c>
      <c r="B18" s="258">
        <f t="shared" si="1"/>
        <v>0</v>
      </c>
      <c r="C18" s="258">
        <v>0</v>
      </c>
      <c r="D18" s="258">
        <v>0</v>
      </c>
      <c r="E18" s="258">
        <v>0</v>
      </c>
      <c r="F18" s="258">
        <v>0</v>
      </c>
      <c r="G18" s="258">
        <v>0</v>
      </c>
      <c r="H18" s="258">
        <f>NPVCalcVert!I18/(1+Inputs!$C$4)^($A18-NPVCalcVertPV!$A$14)</f>
        <v>543427.70692074124</v>
      </c>
      <c r="I18" s="258">
        <v>0</v>
      </c>
      <c r="J18" s="258">
        <v>0</v>
      </c>
      <c r="K18" s="258">
        <f t="shared" si="0"/>
        <v>-543427.70692074124</v>
      </c>
      <c r="L18" s="258"/>
      <c r="M18" s="258">
        <f>NPVCalcVert!B18/(1+Disc)^($A18-NPVCalcVertPV!$A$14)</f>
        <v>0</v>
      </c>
      <c r="N18" s="258">
        <f>NPVCalcVert!C18/(1+Disc)^($A18-NPVCalcVertPV!$A$14)</f>
        <v>0</v>
      </c>
    </row>
    <row r="19" spans="1:14" x14ac:dyDescent="0.2">
      <c r="A19" s="257">
        <f t="shared" si="2"/>
        <v>2025</v>
      </c>
      <c r="B19" s="258">
        <f t="shared" si="1"/>
        <v>0</v>
      </c>
      <c r="C19" s="258">
        <v>0</v>
      </c>
      <c r="D19" s="258">
        <v>0</v>
      </c>
      <c r="E19" s="258">
        <v>0</v>
      </c>
      <c r="F19" s="258">
        <v>0</v>
      </c>
      <c r="G19" s="258">
        <v>0</v>
      </c>
      <c r="H19" s="258">
        <f>NPVCalcVert!I19/(1+Inputs!$C$4)^($A19-NPVCalcVertPV!$A$14)</f>
        <v>35388854.311069056</v>
      </c>
      <c r="I19" s="258">
        <v>0</v>
      </c>
      <c r="J19" s="258">
        <v>0</v>
      </c>
      <c r="K19" s="258">
        <f t="shared" si="0"/>
        <v>-35388854.311069056</v>
      </c>
      <c r="L19" s="258"/>
      <c r="M19" s="258">
        <f>NPVCalcVert!B19/(1+Disc)^($A19-NPVCalcVertPV!$A$14)</f>
        <v>0</v>
      </c>
      <c r="N19" s="258">
        <f>NPVCalcVert!C19/(1+Disc)^($A19-NPVCalcVertPV!$A$14)</f>
        <v>0</v>
      </c>
    </row>
    <row r="20" spans="1:14" x14ac:dyDescent="0.2">
      <c r="A20" s="257">
        <f t="shared" si="2"/>
        <v>2026</v>
      </c>
      <c r="B20" s="258">
        <f t="shared" si="1"/>
        <v>0</v>
      </c>
      <c r="C20" s="258">
        <v>0</v>
      </c>
      <c r="D20" s="258">
        <v>0</v>
      </c>
      <c r="E20" s="258">
        <v>0</v>
      </c>
      <c r="F20" s="258">
        <v>0</v>
      </c>
      <c r="G20" s="258">
        <v>0</v>
      </c>
      <c r="H20" s="258">
        <f>NPVCalcVert!I20/(1+Inputs!$C$4)^($A20-NPVCalcVertPV!$A$14)</f>
        <v>33073695.617821556</v>
      </c>
      <c r="I20" s="258">
        <v>0</v>
      </c>
      <c r="J20" s="258">
        <v>0</v>
      </c>
      <c r="K20" s="258">
        <f t="shared" si="0"/>
        <v>-33073695.617821556</v>
      </c>
      <c r="L20" s="258"/>
      <c r="M20" s="258">
        <f>NPVCalcVert!B20/(1+Disc)^($A20-NPVCalcVertPV!$A$14)</f>
        <v>0</v>
      </c>
      <c r="N20" s="258">
        <f>NPVCalcVert!C20/(1+Disc)^($A20-NPVCalcVertPV!$A$14)</f>
        <v>0</v>
      </c>
    </row>
    <row r="21" spans="1:14" x14ac:dyDescent="0.2">
      <c r="A21" s="257">
        <f t="shared" si="2"/>
        <v>2027</v>
      </c>
      <c r="B21" s="258">
        <f t="shared" si="1"/>
        <v>0</v>
      </c>
      <c r="C21" s="258">
        <v>0</v>
      </c>
      <c r="D21" s="258">
        <v>0</v>
      </c>
      <c r="E21" s="258">
        <v>0</v>
      </c>
      <c r="F21" s="258">
        <v>0</v>
      </c>
      <c r="G21" s="258">
        <v>0</v>
      </c>
      <c r="H21" s="258">
        <f>NPVCalcVert!I21/(1+Inputs!$C$4)^($A21-NPVCalcVertPV!$A$14)</f>
        <v>30909995.904506125</v>
      </c>
      <c r="I21" s="258">
        <v>0</v>
      </c>
      <c r="J21" s="258">
        <v>0</v>
      </c>
      <c r="K21" s="258">
        <f t="shared" si="0"/>
        <v>-30909995.904506125</v>
      </c>
      <c r="L21" s="258"/>
      <c r="M21" s="258">
        <f>NPVCalcVert!B21/(1+Disc)^($A21-NPVCalcVertPV!$A$14)</f>
        <v>0</v>
      </c>
      <c r="N21" s="258">
        <f>NPVCalcVert!C21/(1+Disc)^($A21-NPVCalcVertPV!$A$14)</f>
        <v>0</v>
      </c>
    </row>
    <row r="22" spans="1:14" x14ac:dyDescent="0.2">
      <c r="A22" s="257">
        <f t="shared" si="2"/>
        <v>2028</v>
      </c>
      <c r="B22" s="258">
        <f t="shared" si="1"/>
        <v>11312795.49444304</v>
      </c>
      <c r="C22" s="258">
        <f>NPVCalcVert!D22/(1+Disc)^($A22-NPVCalcVertPV!$A$14)</f>
        <v>3124178.4601832312</v>
      </c>
      <c r="D22" s="258">
        <f>NPVCalcVert!E22/(1+Disc)^($A22-NPVCalcVertPV!$A$14)</f>
        <v>631338.79714629729</v>
      </c>
      <c r="E22" s="258">
        <f>NPVCalcVert!F22/(1+Disc)^($A22-NPVCalcVertPV!$A$14)</f>
        <v>-586429.82542278233</v>
      </c>
      <c r="F22" s="258">
        <f>NPVCalcVert!G22/(1+Disc)^($A22-NPVCalcVertPV!$A$14)</f>
        <v>11000.605444665289</v>
      </c>
      <c r="G22" s="258">
        <f>NPVCalcVert!H22/(1+Inputs!$C$5)^($A22-NPVCalcVertPV!$A$14)</f>
        <v>63678.880244532498</v>
      </c>
      <c r="H22" s="258">
        <f>NPVCalcVert!I22/(1+Inputs!$C$4)^($A22-NPVCalcVertPV!$A$14)</f>
        <v>11948483.578681216</v>
      </c>
      <c r="I22" s="258">
        <f>NPVCalcVert!J22/(1+Disc)^($A22-NPVCalcVertPV!$A$14)</f>
        <v>-1049697.2737124639</v>
      </c>
      <c r="J22" s="258">
        <v>0</v>
      </c>
      <c r="K22" s="258">
        <f t="shared" si="0"/>
        <v>1558381.5596453063</v>
      </c>
      <c r="L22" s="258"/>
      <c r="M22" s="258">
        <f>NPVCalcVert!B22/(1+Disc)^($A22-NPVCalcVertPV!$A$14)</f>
        <v>9622486.3986708298</v>
      </c>
      <c r="N22" s="258">
        <f>NPVCalcVert!C22/(1+Disc)^($A22-NPVCalcVertPV!$A$14)</f>
        <v>1690309.0957722112</v>
      </c>
    </row>
    <row r="23" spans="1:14" x14ac:dyDescent="0.2">
      <c r="A23" s="257">
        <f t="shared" si="2"/>
        <v>2029</v>
      </c>
      <c r="B23" s="258">
        <f t="shared" si="1"/>
        <v>11511625.665492399</v>
      </c>
      <c r="C23" s="258">
        <f>NPVCalcVert!D23/(1+Disc)^($A23-NPVCalcVertPV!$A$14)</f>
        <v>2909201.7781095738</v>
      </c>
      <c r="D23" s="258">
        <f>NPVCalcVert!E23/(1+Disc)^($A23-NPVCalcVertPV!$A$14)</f>
        <v>702769.5587293912</v>
      </c>
      <c r="E23" s="258">
        <f>NPVCalcVert!F23/(1+Disc)^($A23-NPVCalcVertPV!$A$14)</f>
        <v>-589622.33231947699</v>
      </c>
      <c r="F23" s="258">
        <f>NPVCalcVert!G23/(1+Disc)^($A23-NPVCalcVertPV!$A$14)</f>
        <v>16480.317476522203</v>
      </c>
      <c r="G23" s="258">
        <f>NPVCalcVert!H23/(1+Inputs!$C$5)^($A23-NPVCalcVertPV!$A$14)</f>
        <v>81204.425996369057</v>
      </c>
      <c r="H23" s="258">
        <f>NPVCalcVert!I23/(1+Disc)^($A23-NPVCalcVertPV!$A$14)</f>
        <v>0</v>
      </c>
      <c r="I23" s="258">
        <f>NPVCalcVert!J23/(1+Disc)^($A23-NPVCalcVertPV!$A$14)</f>
        <v>-981025.48945090082</v>
      </c>
      <c r="J23" s="258">
        <v>0</v>
      </c>
      <c r="K23" s="258">
        <f t="shared" si="0"/>
        <v>13650633.924033877</v>
      </c>
      <c r="L23" s="258"/>
      <c r="M23" s="258">
        <f>NPVCalcVert!B23/(1+Disc)^($A23-NPVCalcVertPV!$A$14)</f>
        <v>9791608.2233787589</v>
      </c>
      <c r="N23" s="258">
        <f>NPVCalcVert!C23/(1+Disc)^($A23-NPVCalcVertPV!$A$14)</f>
        <v>1720017.4421136403</v>
      </c>
    </row>
    <row r="24" spans="1:14" x14ac:dyDescent="0.2">
      <c r="A24" s="257">
        <f t="shared" si="2"/>
        <v>2030</v>
      </c>
      <c r="B24" s="258">
        <f t="shared" si="1"/>
        <v>11672552.809872042</v>
      </c>
      <c r="C24" s="258">
        <f>NPVCalcVert!D24/(1+Disc)^($A24-NPVCalcVertPV!$A$14)</f>
        <v>2708556.5733857434</v>
      </c>
      <c r="D24" s="258">
        <f>NPVCalcVert!E24/(1+Disc)^($A24-NPVCalcVertPV!$A$14)</f>
        <v>763813.77340817882</v>
      </c>
      <c r="E24" s="258">
        <f>NPVCalcVert!F24/(1+Disc)^($A24-NPVCalcVertPV!$A$14)</f>
        <v>-590572.3574115386</v>
      </c>
      <c r="F24" s="258">
        <f>NPVCalcVert!G24/(1+Disc)^($A24-NPVCalcVertPV!$A$14)</f>
        <v>21711.249564896232</v>
      </c>
      <c r="G24" s="258">
        <f>NPVCalcVert!H24/(1+Inputs!$C$5)^($A24-NPVCalcVertPV!$A$14)</f>
        <v>98650.797338010307</v>
      </c>
      <c r="H24" s="258">
        <f>NPVCalcVert!I24/(1+Disc)^($A24-NPVCalcVertPV!$A$14)</f>
        <v>0</v>
      </c>
      <c r="I24" s="258">
        <f>NPVCalcVert!J24/(1+Disc)^($A24-NPVCalcVertPV!$A$14)</f>
        <v>-916846.25182327186</v>
      </c>
      <c r="J24" s="258">
        <v>0</v>
      </c>
      <c r="K24" s="258">
        <f t="shared" si="0"/>
        <v>13757866.594334058</v>
      </c>
      <c r="L24" s="258"/>
      <c r="M24" s="258">
        <f>NPVCalcVert!B24/(1+Disc)^($A24-NPVCalcVertPV!$A$14)</f>
        <v>9928490.3281362168</v>
      </c>
      <c r="N24" s="258">
        <f>NPVCalcVert!C24/(1+Disc)^($A24-NPVCalcVertPV!$A$14)</f>
        <v>1744062.4817358251</v>
      </c>
    </row>
    <row r="25" spans="1:14" x14ac:dyDescent="0.2">
      <c r="A25" s="257">
        <f t="shared" si="2"/>
        <v>2031</v>
      </c>
      <c r="B25" s="258">
        <f t="shared" si="1"/>
        <v>11798480.063543867</v>
      </c>
      <c r="C25" s="258">
        <f>NPVCalcVert!D25/(1+Disc)^($A25-NPVCalcVertPV!$A$14)</f>
        <v>2521308.9311217512</v>
      </c>
      <c r="D25" s="258">
        <f>NPVCalcVert!E25/(1+Disc)^($A25-NPVCalcVertPV!$A$14)</f>
        <v>815434.32718094415</v>
      </c>
      <c r="E25" s="258">
        <f>NPVCalcVert!F25/(1+Disc)^($A25-NPVCalcVertPV!$A$14)</f>
        <v>-589523.67989725259</v>
      </c>
      <c r="F25" s="258">
        <f>NPVCalcVert!G25/(1+Disc)^($A25-NPVCalcVertPV!$A$14)</f>
        <v>26028.155282226213</v>
      </c>
      <c r="G25" s="258">
        <f>NPVCalcVert!H25/(1+Inputs!$C$5)^($A25-NPVCalcVertPV!$A$14)</f>
        <v>116004.87903205281</v>
      </c>
      <c r="H25" s="258">
        <f>NPVCalcVert!I25/(1+Disc)^($A25-NPVCalcVertPV!$A$14)</f>
        <v>0</v>
      </c>
      <c r="I25" s="258">
        <f>NPVCalcVert!J25/(1+Disc)^($A25-NPVCalcVertPV!$A$14)</f>
        <v>-856865.65590959974</v>
      </c>
      <c r="J25" s="258">
        <v>0</v>
      </c>
      <c r="K25" s="258">
        <f t="shared" si="0"/>
        <v>13830867.02035399</v>
      </c>
      <c r="L25" s="258"/>
      <c r="M25" s="258">
        <f>NPVCalcVert!B25/(1+Disc)^($A25-NPVCalcVertPV!$A$14)</f>
        <v>10035602.07485473</v>
      </c>
      <c r="N25" s="258">
        <f>NPVCalcVert!C25/(1+Disc)^($A25-NPVCalcVertPV!$A$14)</f>
        <v>1762877.9886891383</v>
      </c>
    </row>
    <row r="26" spans="1:14" x14ac:dyDescent="0.2">
      <c r="A26" s="257">
        <f t="shared" si="2"/>
        <v>2032</v>
      </c>
      <c r="B26" s="258">
        <f t="shared" si="1"/>
        <v>11892129.808640867</v>
      </c>
      <c r="C26" s="258">
        <f>NPVCalcVert!D26/(1+Disc)^($A26-NPVCalcVertPV!$A$14)</f>
        <v>2346584.7610434736</v>
      </c>
      <c r="D26" s="258">
        <f>NPVCalcVert!E26/(1+Disc)^($A26-NPVCalcVertPV!$A$14)</f>
        <v>858517.46485053992</v>
      </c>
      <c r="E26" s="258">
        <f>NPVCalcVert!F26/(1+Disc)^($A26-NPVCalcVertPV!$A$14)</f>
        <v>-586699.6570210458</v>
      </c>
      <c r="F26" s="258">
        <f>NPVCalcVert!G26/(1+Disc)^($A26-NPVCalcVertPV!$A$14)</f>
        <v>29867.003555802527</v>
      </c>
      <c r="G26" s="258">
        <f>NPVCalcVert!H26/(1+Inputs!$C$5)^($A26-NPVCalcVertPV!$A$14)</f>
        <v>133254.22648669488</v>
      </c>
      <c r="H26" s="258">
        <f>NPVCalcVert!I26/(1+Disc)^($A26-NPVCalcVertPV!$A$14)</f>
        <v>0</v>
      </c>
      <c r="I26" s="258">
        <f>NPVCalcVert!J26/(1+Disc)^($A26-NPVCalcVertPV!$A$14)</f>
        <v>-800809.02421457937</v>
      </c>
      <c r="J26" s="258">
        <v>0</v>
      </c>
      <c r="K26" s="258">
        <f t="shared" si="0"/>
        <v>13872844.583341753</v>
      </c>
      <c r="L26" s="258"/>
      <c r="M26" s="258">
        <f>NPVCalcVert!B26/(1+Disc)^($A26-NPVCalcVertPV!$A$14)</f>
        <v>10115259.0790742</v>
      </c>
      <c r="N26" s="258">
        <f>NPVCalcVert!C26/(1+Disc)^($A26-NPVCalcVertPV!$A$14)</f>
        <v>1776870.7295666663</v>
      </c>
    </row>
    <row r="27" spans="1:14" x14ac:dyDescent="0.2">
      <c r="A27" s="257">
        <f t="shared" si="2"/>
        <v>2033</v>
      </c>
      <c r="B27" s="258">
        <f t="shared" si="1"/>
        <v>11956053.930609908</v>
      </c>
      <c r="C27" s="258">
        <f>NPVCalcVert!D27/(1+Disc)^($A27-NPVCalcVertPV!$A$14)</f>
        <v>2183566.0161560127</v>
      </c>
      <c r="D27" s="258">
        <f>NPVCalcVert!E27/(1+Disc)^($A27-NPVCalcVertPV!$A$14)</f>
        <v>893878.43376910291</v>
      </c>
      <c r="E27" s="258">
        <f>NPVCalcVert!F27/(1+Disc)^($A27-NPVCalcVertPV!$A$14)</f>
        <v>-582304.75551282009</v>
      </c>
      <c r="F27" s="258">
        <f>NPVCalcVert!G27/(1+Disc)^($A27-NPVCalcVertPV!$A$14)</f>
        <v>33263.544922175191</v>
      </c>
      <c r="G27" s="258">
        <f>NPVCalcVert!H27/(1+Inputs!$C$5)^($A27-NPVCalcVertPV!$A$14)</f>
        <v>150387.04326912833</v>
      </c>
      <c r="H27" s="258">
        <f>NPVCalcVert!I27/(1+Disc)^($A27-NPVCalcVertPV!$A$14)</f>
        <v>0</v>
      </c>
      <c r="I27" s="258">
        <f>NPVCalcVert!J27/(1+Disc)^($A27-NPVCalcVertPV!$A$14)</f>
        <v>-748419.64879867225</v>
      </c>
      <c r="J27" s="258">
        <v>0</v>
      </c>
      <c r="K27" s="258">
        <f t="shared" si="0"/>
        <v>13886424.564414833</v>
      </c>
      <c r="L27" s="258"/>
      <c r="M27" s="258">
        <f>NPVCalcVert!B27/(1+Disc)^($A27-NPVCalcVertPV!$A$14)</f>
        <v>10169631.934527675</v>
      </c>
      <c r="N27" s="258">
        <f>NPVCalcVert!C27/(1+Disc)^($A27-NPVCalcVertPV!$A$14)</f>
        <v>1786421.9960822326</v>
      </c>
    </row>
    <row r="28" spans="1:14" x14ac:dyDescent="0.2">
      <c r="A28" s="257">
        <f t="shared" si="2"/>
        <v>2034</v>
      </c>
      <c r="B28" s="258">
        <f t="shared" si="1"/>
        <v>11992643.522679409</v>
      </c>
      <c r="C28" s="258">
        <f>NPVCalcVert!D28/(1+Disc)^($A28-NPVCalcVertPV!$A$14)</f>
        <v>2031487.1478655611</v>
      </c>
      <c r="D28" s="258">
        <f>NPVCalcVert!E28/(1+Disc)^($A28-NPVCalcVertPV!$A$14)</f>
        <v>922266.73121316975</v>
      </c>
      <c r="E28" s="258">
        <f>NPVCalcVert!F28/(1+Disc)^($A28-NPVCalcVertPV!$A$14)</f>
        <v>-576525.97505170712</v>
      </c>
      <c r="F28" s="258">
        <f>NPVCalcVert!G28/(1+Disc)^($A28-NPVCalcVertPV!$A$14)</f>
        <v>36251.271189642372</v>
      </c>
      <c r="G28" s="258">
        <f>NPVCalcVert!H28/(1+Inputs!$C$5)^($A28-NPVCalcVertPV!$A$14)</f>
        <v>167392.15924135115</v>
      </c>
      <c r="H28" s="258">
        <f>NPVCalcVert!I28/(1+Disc)^($A28-NPVCalcVertPV!$A$14)</f>
        <v>0</v>
      </c>
      <c r="I28" s="258">
        <f>NPVCalcVert!J28/(1+Disc)^($A28-NPVCalcVertPV!$A$14)</f>
        <v>-699457.61569969368</v>
      </c>
      <c r="J28" s="258">
        <v>0</v>
      </c>
      <c r="K28" s="258">
        <f t="shared" si="0"/>
        <v>13874057.241437733</v>
      </c>
      <c r="L28" s="258"/>
      <c r="M28" s="258">
        <f>NPVCalcVert!B28/(1+Disc)^($A28-NPVCalcVertPV!$A$14)</f>
        <v>10200754.46760932</v>
      </c>
      <c r="N28" s="258">
        <f>NPVCalcVert!C28/(1+Disc)^($A28-NPVCalcVertPV!$A$14)</f>
        <v>1791889.0550700885</v>
      </c>
    </row>
    <row r="29" spans="1:14" x14ac:dyDescent="0.2">
      <c r="A29" s="257">
        <f t="shared" si="2"/>
        <v>2035</v>
      </c>
      <c r="B29" s="258">
        <f t="shared" si="1"/>
        <v>12004138.066481004</v>
      </c>
      <c r="C29" s="258">
        <f>NPVCalcVert!D29/(1+Disc)^($A29-NPVCalcVertPV!$A$14)</f>
        <v>1889631.7829025707</v>
      </c>
      <c r="D29" s="258">
        <f>NPVCalcVert!E29/(1+Disc)^($A29-NPVCalcVertPV!$A$14)</f>
        <v>937086.45510228479</v>
      </c>
      <c r="E29" s="258">
        <f>NPVCalcVert!F29/(1+Disc)^($A29-NPVCalcVertPV!$A$14)</f>
        <v>-569534.17107334593</v>
      </c>
      <c r="F29" s="258">
        <f>NPVCalcVert!G29/(1+Disc)^($A29-NPVCalcVertPV!$A$14)</f>
        <v>38861.54206022586</v>
      </c>
      <c r="G29" s="258">
        <f>NPVCalcVert!H29/(1+Inputs!$C$5)^($A29-NPVCalcVertPV!$A$14)</f>
        <v>184259.00930319159</v>
      </c>
      <c r="H29" s="258">
        <f>NPVCalcVert!I29/(1+Disc)^($A29-NPVCalcVertPV!$A$14)</f>
        <v>0</v>
      </c>
      <c r="I29" s="258">
        <f>NPVCalcVert!J29/(1+Disc)^($A29-NPVCalcVertPV!$A$14)</f>
        <v>-653698.70626139583</v>
      </c>
      <c r="J29" s="258">
        <v>0</v>
      </c>
      <c r="K29" s="258">
        <f t="shared" si="0"/>
        <v>13830743.978514535</v>
      </c>
      <c r="L29" s="258"/>
      <c r="M29" s="258">
        <f>NPVCalcVert!B29/(1+Disc)^($A29-NPVCalcVertPV!$A$14)</f>
        <v>10210531.546267208</v>
      </c>
      <c r="N29" s="258">
        <f>NPVCalcVert!C29/(1+Disc)^($A29-NPVCalcVertPV!$A$14)</f>
        <v>1793606.5202137951</v>
      </c>
    </row>
    <row r="30" spans="1:14" x14ac:dyDescent="0.2">
      <c r="A30" s="257">
        <f t="shared" si="2"/>
        <v>2036</v>
      </c>
      <c r="B30" s="258">
        <f t="shared" si="1"/>
        <v>11992634.116182821</v>
      </c>
      <c r="C30" s="258">
        <f>NPVCalcVert!D30/(1+Disc)^($A30-NPVCalcVertPV!$A$14)</f>
        <v>1757329.6082910758</v>
      </c>
      <c r="D30" s="258">
        <f>NPVCalcVert!E30/(1+Disc)^($A30-NPVCalcVertPV!$A$14)</f>
        <v>1675364.5420261831</v>
      </c>
      <c r="E30" s="258">
        <f>NPVCalcVert!F30/(1+Disc)^($A30-NPVCalcVertPV!$A$14)</f>
        <v>-561485.28375724831</v>
      </c>
      <c r="F30" s="258">
        <f>NPVCalcVert!G30/(1+Disc)^($A30-NPVCalcVertPV!$A$14)</f>
        <v>88341.105717548227</v>
      </c>
      <c r="G30" s="258">
        <f>NPVCalcVert!H30/(1+Inputs!$C$5)^($A30-NPVCalcVertPV!$A$14)</f>
        <v>398694.95905429922</v>
      </c>
      <c r="H30" s="258">
        <f>NPVCalcVert!I30/(1+Disc)^($A30-NPVCalcVertPV!$A$14)</f>
        <v>0</v>
      </c>
      <c r="I30" s="258">
        <f>NPVCalcVert!J30/(1+Disc)^($A30-NPVCalcVertPV!$A$14)</f>
        <v>-610933.37033775321</v>
      </c>
      <c r="J30" s="258">
        <v>0</v>
      </c>
      <c r="K30" s="258">
        <f t="shared" si="0"/>
        <v>14739945.677176926</v>
      </c>
      <c r="L30" s="258"/>
      <c r="M30" s="258">
        <f>NPVCalcVert!B30/(1+Disc)^($A30-NPVCalcVertPV!$A$14)</f>
        <v>10200746.46659087</v>
      </c>
      <c r="N30" s="258">
        <f>NPVCalcVert!C30/(1+Disc)^($A30-NPVCalcVertPV!$A$14)</f>
        <v>1791887.6495919512</v>
      </c>
    </row>
    <row r="31" spans="1:14" x14ac:dyDescent="0.2">
      <c r="A31" s="257">
        <f t="shared" si="2"/>
        <v>2037</v>
      </c>
      <c r="B31" s="258">
        <f t="shared" si="1"/>
        <v>11960093.512094453</v>
      </c>
      <c r="C31" s="258">
        <f>NPVCalcVert!D31/(1+Disc)^($A31-NPVCalcVertPV!$A$14)</f>
        <v>1633953.4514556006</v>
      </c>
      <c r="D31" s="258">
        <f>NPVCalcVert!E31/(1+Disc)^($A31-NPVCalcVertPV!$A$14)</f>
        <v>1570662.3640403047</v>
      </c>
      <c r="E31" s="258">
        <f>NPVCalcVert!F31/(1+Disc)^($A31-NPVCalcVertPV!$A$14)</f>
        <v>-552521.47957904369</v>
      </c>
      <c r="F31" s="258">
        <f>NPVCalcVert!G31/(1+Disc)^($A31-NPVCalcVertPV!$A$14)</f>
        <v>82900.012329027741</v>
      </c>
      <c r="G31" s="258">
        <f>NPVCalcVert!H31/(1+Inputs!$C$5)^($A31-NPVCalcVertPV!$A$14)</f>
        <v>393110.49106629333</v>
      </c>
      <c r="H31" s="258">
        <f>NPVCalcVert!I31/(1+Disc)^($A31-NPVCalcVertPV!$A$14)</f>
        <v>0</v>
      </c>
      <c r="I31" s="258">
        <f>NPVCalcVert!J31/(1+Disc)^($A31-NPVCalcVertPV!$A$14)</f>
        <v>-570965.76667079737</v>
      </c>
      <c r="J31" s="258">
        <v>0</v>
      </c>
      <c r="K31" s="258">
        <f t="shared" si="0"/>
        <v>14517232.584735837</v>
      </c>
      <c r="L31" s="258"/>
      <c r="M31" s="258">
        <f>NPVCalcVert!B31/(1+Disc)^($A31-NPVCalcVertPV!$A$14)</f>
        <v>10173067.939174842</v>
      </c>
      <c r="N31" s="258">
        <f>NPVCalcVert!C31/(1+Disc)^($A31-NPVCalcVertPV!$A$14)</f>
        <v>1787025.5729196104</v>
      </c>
    </row>
    <row r="32" spans="1:14" x14ac:dyDescent="0.2">
      <c r="A32" s="257">
        <f t="shared" si="2"/>
        <v>2038</v>
      </c>
      <c r="B32" s="258">
        <f t="shared" si="1"/>
        <v>11908351.148376759</v>
      </c>
      <c r="C32" s="258">
        <f>NPVCalcVert!D32/(1+Disc)^($A32-NPVCalcVertPV!$A$14)</f>
        <v>1518916.5433521604</v>
      </c>
      <c r="D32" s="258">
        <f>NPVCalcVert!E32/(1+Disc)^($A32-NPVCalcVertPV!$A$14)</f>
        <v>1472447.0140077779</v>
      </c>
      <c r="E32" s="258">
        <f>NPVCalcVert!F32/(1+Disc)^($A32-NPVCalcVertPV!$A$14)</f>
        <v>-542772.21139026817</v>
      </c>
      <c r="F32" s="258">
        <f>NPVCalcVert!G32/(1+Disc)^($A32-NPVCalcVertPV!$A$14)</f>
        <v>77791.926822511683</v>
      </c>
      <c r="G32" s="258">
        <f>NPVCalcVert!H32/(1+Inputs!$C$5)^($A32-NPVCalcVertPV!$A$14)</f>
        <v>387498.5354095939</v>
      </c>
      <c r="H32" s="258">
        <f>NPVCalcVert!I32/(1+Disc)^($A32-NPVCalcVertPV!$A$14)</f>
        <v>0</v>
      </c>
      <c r="I32" s="258">
        <f>NPVCalcVert!J32/(1+Disc)^($A32-NPVCalcVertPV!$A$14)</f>
        <v>-533612.86604747421</v>
      </c>
      <c r="J32" s="258">
        <v>0</v>
      </c>
      <c r="K32" s="258">
        <f t="shared" si="0"/>
        <v>14288620.09053106</v>
      </c>
      <c r="L32" s="258"/>
      <c r="M32" s="258">
        <f>NPVCalcVert!B32/(1+Disc)^($A32-NPVCalcVertPV!$A$14)</f>
        <v>10129056.696210789</v>
      </c>
      <c r="N32" s="258">
        <f>NPVCalcVert!C32/(1+Disc)^($A32-NPVCalcVertPV!$A$14)</f>
        <v>1779294.4521659701</v>
      </c>
    </row>
    <row r="33" spans="1:19" x14ac:dyDescent="0.2">
      <c r="A33" s="257">
        <f t="shared" si="2"/>
        <v>2039</v>
      </c>
      <c r="B33" s="258">
        <f t="shared" si="1"/>
        <v>11839122.318228835</v>
      </c>
      <c r="C33" s="258">
        <f>NPVCalcVert!D33/(1+Disc)^($A33-NPVCalcVertPV!$A$14)</f>
        <v>1411669.9532561256</v>
      </c>
      <c r="D33" s="258">
        <f>NPVCalcVert!E33/(1+Disc)^($A33-NPVCalcVertPV!$A$14)</f>
        <v>1380319.502482431</v>
      </c>
      <c r="E33" s="258">
        <f>NPVCalcVert!F33/(1+Disc)^($A33-NPVCalcVertPV!$A$14)</f>
        <v>-532355.20259314589</v>
      </c>
      <c r="F33" s="258">
        <f>NPVCalcVert!G33/(1+Disc)^($A33-NPVCalcVertPV!$A$14)</f>
        <v>72996.578675771656</v>
      </c>
      <c r="G33" s="258">
        <f>NPVCalcVert!H33/(1+Inputs!$C$5)^($A33-NPVCalcVertPV!$A$14)</f>
        <v>381864.26194009744</v>
      </c>
      <c r="H33" s="258">
        <f>NPVCalcVert!I33/(1+Disc)^($A33-NPVCalcVertPV!$A$14)</f>
        <v>0</v>
      </c>
      <c r="I33" s="258">
        <f>NPVCalcVert!J33/(1+Disc)^($A33-NPVCalcVertPV!$A$14)</f>
        <v>-498703.61312848056</v>
      </c>
      <c r="J33" s="258">
        <v>0</v>
      </c>
      <c r="K33" s="258">
        <f t="shared" si="0"/>
        <v>14054913.798861632</v>
      </c>
      <c r="L33" s="258"/>
      <c r="M33" s="258">
        <f>NPVCalcVert!B33/(1+Disc)^($A33-NPVCalcVertPV!$A$14)</f>
        <v>10070171.739188317</v>
      </c>
      <c r="N33" s="258">
        <f>NPVCalcVert!C33/(1+Disc)^($A33-NPVCalcVertPV!$A$14)</f>
        <v>1768950.5790405187</v>
      </c>
    </row>
    <row r="34" spans="1:19" x14ac:dyDescent="0.2">
      <c r="A34" s="257">
        <f t="shared" si="2"/>
        <v>2040</v>
      </c>
      <c r="B34" s="258">
        <f t="shared" si="1"/>
        <v>11754009.658727964</v>
      </c>
      <c r="C34" s="258">
        <f>NPVCalcVert!D34/(1+Disc)^($A34-NPVCalcVertPV!$A$14)</f>
        <v>1311700.1845403225</v>
      </c>
      <c r="D34" s="258">
        <f>NPVCalcVert!E34/(1+Disc)^($A34-NPVCalcVertPV!$A$14)</f>
        <v>1293905.2306712368</v>
      </c>
      <c r="E34" s="258">
        <f>NPVCalcVert!F34/(1+Disc)^($A34-NPVCalcVertPV!$A$14)</f>
        <v>-521377.36060865346</v>
      </c>
      <c r="F34" s="258">
        <f>NPVCalcVert!G34/(1+Disc)^($A34-NPVCalcVertPV!$A$14)</f>
        <v>68494.925470459842</v>
      </c>
      <c r="G34" s="258">
        <f>NPVCalcVert!H34/(1+Inputs!$C$5)^($A34-NPVCalcVertPV!$A$14)</f>
        <v>376212.60769795952</v>
      </c>
      <c r="H34" s="258">
        <f>NPVCalcVert!I34/(1+Disc)^($A34-NPVCalcVertPV!$A$14)</f>
        <v>0</v>
      </c>
      <c r="I34" s="258">
        <f>NPVCalcVert!J34/(1+Disc)^($A34-NPVCalcVertPV!$A$14)</f>
        <v>-466078.14311072952</v>
      </c>
      <c r="J34" s="258">
        <v>0</v>
      </c>
      <c r="K34" s="258">
        <f t="shared" si="0"/>
        <v>13816867.103388559</v>
      </c>
      <c r="L34" s="258"/>
      <c r="M34" s="258">
        <f>NPVCalcVert!B34/(1+Disc)^($A34-NPVCalcVertPV!$A$14)</f>
        <v>9997776.2460669093</v>
      </c>
      <c r="N34" s="258">
        <f>NPVCalcVert!C34/(1+Disc)^($A34-NPVCalcVertPV!$A$14)</f>
        <v>1756233.4126610544</v>
      </c>
    </row>
    <row r="35" spans="1:19" x14ac:dyDescent="0.2">
      <c r="A35" s="257">
        <f t="shared" si="2"/>
        <v>2041</v>
      </c>
      <c r="B35" s="258">
        <f t="shared" si="1"/>
        <v>11654509.716361364</v>
      </c>
      <c r="C35" s="258">
        <f>NPVCalcVert!D35/(1+Disc)^($A35-NPVCalcVertPV!$A$14)</f>
        <v>1218526.9214344728</v>
      </c>
      <c r="D35" s="258">
        <f>NPVCalcVert!E35/(1+Disc)^($A35-NPVCalcVertPV!$A$14)</f>
        <v>1212852.5072419131</v>
      </c>
      <c r="E35" s="258">
        <f>NPVCalcVert!F35/(1+Disc)^($A35-NPVCalcVertPV!$A$14)</f>
        <v>-509935.62449058786</v>
      </c>
      <c r="F35" s="258">
        <f>NPVCalcVert!G35/(1+Disc)^($A35-NPVCalcVertPV!$A$14)</f>
        <v>64269.078791277003</v>
      </c>
      <c r="G35" s="258">
        <f>NPVCalcVert!H35/(1+Inputs!$C$5)^($A35-NPVCalcVertPV!$A$14)</f>
        <v>370548.2849005165</v>
      </c>
      <c r="H35" s="258">
        <f>NPVCalcVert!I35/(1+Disc)^($A35-NPVCalcVertPV!$A$14)</f>
        <v>0</v>
      </c>
      <c r="I35" s="258">
        <f>NPVCalcVert!J35/(1+Disc)^($A35-NPVCalcVertPV!$A$14)</f>
        <v>-435587.04963619576</v>
      </c>
      <c r="J35" s="258">
        <v>0</v>
      </c>
      <c r="K35" s="258">
        <f t="shared" si="0"/>
        <v>13575183.834602762</v>
      </c>
      <c r="L35" s="258"/>
      <c r="M35" s="258">
        <f>NPVCalcVert!B35/(1+Disc)^($A35-NPVCalcVertPV!$A$14)</f>
        <v>9913143.1558142453</v>
      </c>
      <c r="N35" s="258">
        <f>NPVCalcVert!C35/(1+Disc)^($A35-NPVCalcVertPV!$A$14)</f>
        <v>1741366.5605471192</v>
      </c>
    </row>
    <row r="36" spans="1:19" x14ac:dyDescent="0.2">
      <c r="A36" s="257">
        <f t="shared" si="2"/>
        <v>2042</v>
      </c>
      <c r="B36" s="258">
        <f t="shared" si="1"/>
        <v>11542019.153209604</v>
      </c>
      <c r="C36" s="258">
        <f>NPVCalcVert!D36/(1+Disc)^($A36-NPVCalcVertPV!$A$14)</f>
        <v>1131700.9173745122</v>
      </c>
      <c r="D36" s="258">
        <f>NPVCalcVert!E36/(1+Disc)^($A36-NPVCalcVertPV!$A$14)</f>
        <v>1136831.1549122208</v>
      </c>
      <c r="E36" s="258">
        <f>NPVCalcVert!F36/(1+Disc)^($A36-NPVCalcVertPV!$A$14)</f>
        <v>-498117.75121567515</v>
      </c>
      <c r="F36" s="258">
        <f>NPVCalcVert!G36/(1+Disc)^($A36-NPVCalcVertPV!$A$14)</f>
        <v>60302.234580076904</v>
      </c>
      <c r="G36" s="258">
        <f>NPVCalcVert!H36/(1+Inputs!$C$5)^($A36-NPVCalcVertPV!$A$14)</f>
        <v>364875.7886934558</v>
      </c>
      <c r="H36" s="258">
        <f>NPVCalcVert!I36/(1+Disc)^($A36-NPVCalcVertPV!$A$14)</f>
        <v>0</v>
      </c>
      <c r="I36" s="258">
        <f>NPVCalcVert!J36/(1+Disc)^($A36-NPVCalcVertPV!$A$14)</f>
        <v>-407090.70059457549</v>
      </c>
      <c r="J36" s="258">
        <v>0</v>
      </c>
      <c r="K36" s="258">
        <f t="shared" si="0"/>
        <v>13330520.796959618</v>
      </c>
      <c r="L36" s="258"/>
      <c r="M36" s="258">
        <f>NPVCalcVert!B36/(1+Disc)^($A36-NPVCalcVertPV!$A$14)</f>
        <v>9817460.4472884573</v>
      </c>
      <c r="N36" s="258">
        <f>NPVCalcVert!C36/(1+Disc)^($A36-NPVCalcVertPV!$A$14)</f>
        <v>1724558.7059211466</v>
      </c>
    </row>
    <row r="37" spans="1:19" x14ac:dyDescent="0.2">
      <c r="A37" s="257">
        <f t="shared" si="2"/>
        <v>2043</v>
      </c>
      <c r="B37" s="258">
        <f t="shared" si="1"/>
        <v>11417840.612716382</v>
      </c>
      <c r="C37" s="258">
        <f>NPVCalcVert!D37/(1+Disc)^($A37-NPVCalcVertPV!$A$14)</f>
        <v>1050802.0161299137</v>
      </c>
      <c r="D37" s="258">
        <f>NPVCalcVert!E37/(1+Disc)^($A37-NPVCalcVertPV!$A$14)</f>
        <v>1065531.2014078998</v>
      </c>
      <c r="E37" s="258">
        <f>NPVCalcVert!F37/(1+Disc)^($A37-NPVCalcVertPV!$A$14)</f>
        <v>-486003.0448775242</v>
      </c>
      <c r="F37" s="258">
        <f>NPVCalcVert!G37/(1+Disc)^($A37-NPVCalcVertPV!$A$14)</f>
        <v>56578.607677931774</v>
      </c>
      <c r="G37" s="258">
        <f>NPVCalcVert!H37/(1+Inputs!$C$5)^($A37-NPVCalcVertPV!$A$14)</f>
        <v>363925.71262315125</v>
      </c>
      <c r="H37" s="258">
        <f>NPVCalcVert!I37/(1+Disc)^($A37-NPVCalcVertPV!$A$14)</f>
        <v>0</v>
      </c>
      <c r="I37" s="258">
        <f>NPVCalcVert!J37/(1+Disc)^($A37-NPVCalcVertPV!$A$14)</f>
        <v>-380458.59868651914</v>
      </c>
      <c r="J37" s="258">
        <v>0</v>
      </c>
      <c r="K37" s="258">
        <f t="shared" si="0"/>
        <v>13088216.506991234</v>
      </c>
      <c r="L37" s="258"/>
      <c r="M37" s="258">
        <f>NPVCalcVert!B37/(1+Disc)^($A37-NPVCalcVertPV!$A$14)</f>
        <v>9711836.1285699084</v>
      </c>
      <c r="N37" s="258">
        <f>NPVCalcVert!C37/(1+Disc)^($A37-NPVCalcVertPV!$A$14)</f>
        <v>1706004.4841464742</v>
      </c>
    </row>
    <row r="38" spans="1:19" x14ac:dyDescent="0.2">
      <c r="A38" s="257">
        <f t="shared" si="2"/>
        <v>2044</v>
      </c>
      <c r="B38" s="258">
        <f t="shared" si="1"/>
        <v>11283188.263006361</v>
      </c>
      <c r="C38" s="258">
        <f>NPVCalcVert!D38/(1+Disc)^($A38-NPVCalcVertPV!$A$14)</f>
        <v>975437.29744112166</v>
      </c>
      <c r="D38" s="258">
        <f>NPVCalcVert!E38/(1+Disc)^($A38-NPVCalcVertPV!$A$14)</f>
        <v>998661.64970141102</v>
      </c>
      <c r="E38" s="258">
        <f>NPVCalcVert!F38/(1+Disc)^($A38-NPVCalcVertPV!$A$14)</f>
        <v>-473663.03273028589</v>
      </c>
      <c r="F38" s="258">
        <f>NPVCalcVert!G38/(1+Disc)^($A38-NPVCalcVertPV!$A$14)</f>
        <v>53083.370304141215</v>
      </c>
      <c r="G38" s="258">
        <f>NPVCalcVert!H38/(1+Inputs!$C$5)^($A38-NPVCalcVertPV!$A$14)</f>
        <v>358114.42674302123</v>
      </c>
      <c r="H38" s="258">
        <f>NPVCalcVert!I38/(1+Disc)^($A38-NPVCalcVertPV!$A$14)</f>
        <v>0</v>
      </c>
      <c r="I38" s="258">
        <f>NPVCalcVert!J38/(1+Disc)^($A38-NPVCalcVertPV!$A$14)</f>
        <v>-355568.78381917678</v>
      </c>
      <c r="J38" s="258">
        <v>0</v>
      </c>
      <c r="K38" s="258">
        <f t="shared" si="0"/>
        <v>12839253.190646594</v>
      </c>
      <c r="L38" s="258"/>
      <c r="M38" s="258">
        <f>NPVCalcVert!B38/(1+Disc)^($A38-NPVCalcVertPV!$A$14)</f>
        <v>9597302.9520203806</v>
      </c>
      <c r="N38" s="258">
        <f>NPVCalcVert!C38/(1+Disc)^($A38-NPVCalcVertPV!$A$14)</f>
        <v>1685885.3109859806</v>
      </c>
    </row>
    <row r="39" spans="1:19" x14ac:dyDescent="0.2">
      <c r="A39" s="257">
        <f t="shared" si="2"/>
        <v>2045</v>
      </c>
      <c r="B39" s="258">
        <f t="shared" si="1"/>
        <v>11139193.034788789</v>
      </c>
      <c r="C39" s="258">
        <f>NPVCalcVert!D39/(1+Disc)^($A39-NPVCalcVertPV!$A$14)</f>
        <v>905239.3394100063</v>
      </c>
      <c r="D39" s="258">
        <f>NPVCalcVert!E39/(1+Disc)^($A39-NPVCalcVertPV!$A$14)</f>
        <v>935949.32274937024</v>
      </c>
      <c r="E39" s="258">
        <f>NPVCalcVert!F39/(1+Disc)^($A39-NPVCalcVertPV!$A$14)</f>
        <v>-461162.09176388773</v>
      </c>
      <c r="F39" s="258">
        <f>NPVCalcVert!G39/(1+Disc)^($A39-NPVCalcVertPV!$A$14)</f>
        <v>49802.5942361665</v>
      </c>
      <c r="G39" s="258">
        <f>NPVCalcVert!H39/(1+Inputs!$C$5)^($A39-NPVCalcVertPV!$A$14)</f>
        <v>352310.74087583309</v>
      </c>
      <c r="H39" s="258">
        <f>NPVCalcVert!I39/(1+Disc)^($A39-NPVCalcVertPV!$A$14)</f>
        <v>0</v>
      </c>
      <c r="I39" s="258">
        <f>NPVCalcVert!J39/(1+Disc)^($A39-NPVCalcVertPV!$A$14)</f>
        <v>-332307.27459736145</v>
      </c>
      <c r="J39" s="258">
        <v>0</v>
      </c>
      <c r="K39" s="258">
        <f t="shared" si="0"/>
        <v>12589025.665698918</v>
      </c>
      <c r="L39" s="258"/>
      <c r="M39" s="258">
        <f>NPVCalcVert!B39/(1+Disc)^($A39-NPVCalcVertPV!$A$14)</f>
        <v>9474822.869561743</v>
      </c>
      <c r="N39" s="258">
        <f>NPVCalcVert!C39/(1+Disc)^($A39-NPVCalcVertPV!$A$14)</f>
        <v>1664370.1652270465</v>
      </c>
    </row>
    <row r="40" spans="1:19" x14ac:dyDescent="0.2">
      <c r="A40" s="257">
        <f t="shared" si="2"/>
        <v>2046</v>
      </c>
      <c r="B40" s="258">
        <f t="shared" si="1"/>
        <v>10986907.570007496</v>
      </c>
      <c r="C40" s="258">
        <f>NPVCalcVert!D40/(1+Disc)^($A40-NPVCalcVertPV!$A$14)</f>
        <v>839864.59036548948</v>
      </c>
      <c r="D40" s="258">
        <f>NPVCalcVert!E40/(1+Disc)^($A40-NPVCalcVertPV!$A$14)</f>
        <v>877137.77823398088</v>
      </c>
      <c r="E40" s="258">
        <f>NPVCalcVert!F40/(1+Disc)^($A40-NPVCalcVertPV!$A$14)</f>
        <v>-448558.02924613003</v>
      </c>
      <c r="F40" s="258">
        <f>NPVCalcVert!G40/(1+Disc)^($A40-NPVCalcVertPV!$A$14)</f>
        <v>46723.196468580594</v>
      </c>
      <c r="G40" s="258">
        <f>NPVCalcVert!H40/(1+Inputs!$C$5)^($A40-NPVCalcVertPV!$A$14)</f>
        <v>346518.26808953373</v>
      </c>
      <c r="H40" s="258">
        <f>NPVCalcVert!I40/(1+Disc)^($A40-NPVCalcVertPV!$A$14)</f>
        <v>0</v>
      </c>
      <c r="I40" s="258">
        <f>NPVCalcVert!J40/(1+Disc)^($A40-NPVCalcVertPV!$A$14)</f>
        <v>-310567.54635267425</v>
      </c>
      <c r="J40" s="258">
        <v>0</v>
      </c>
      <c r="K40" s="258">
        <f t="shared" si="0"/>
        <v>12338025.827566277</v>
      </c>
      <c r="L40" s="258"/>
      <c r="M40" s="258">
        <f>NPVCalcVert!B40/(1+Disc)^($A40-NPVCalcVertPV!$A$14)</f>
        <v>9345291.2419200111</v>
      </c>
      <c r="N40" s="258">
        <f>NPVCalcVert!C40/(1+Disc)^($A40-NPVCalcVertPV!$A$14)</f>
        <v>1641616.3280874852</v>
      </c>
    </row>
    <row r="41" spans="1:19" x14ac:dyDescent="0.2">
      <c r="A41" s="257">
        <f t="shared" si="2"/>
        <v>2047</v>
      </c>
      <c r="B41" s="258">
        <f t="shared" si="1"/>
        <v>10827310.896564346</v>
      </c>
      <c r="C41" s="258">
        <f>NPVCalcVert!D41/(1+Disc)^($A41-NPVCalcVertPV!$A$14)</f>
        <v>778991.84337659169</v>
      </c>
      <c r="D41" s="258">
        <f>NPVCalcVert!E41/(1+Disc)^($A41-NPVCalcVertPV!$A$14)</f>
        <v>821986.28908402042</v>
      </c>
      <c r="E41" s="258">
        <f>NPVCalcVert!F41/(1+Disc)^($A41-NPVCalcVertPV!$A$14)</f>
        <v>-435902.62043642218</v>
      </c>
      <c r="F41" s="258">
        <f>NPVCalcVert!G41/(1+Disc)^($A41-NPVCalcVertPV!$A$14)</f>
        <v>43832.888142393487</v>
      </c>
      <c r="G41" s="258">
        <f>NPVCalcVert!H41/(1+Inputs!$C$5)^($A41-NPVCalcVertPV!$A$14)</f>
        <v>336533.76968363399</v>
      </c>
      <c r="H41" s="258">
        <f>NPVCalcVert!I41/(1+Disc)^($A41-NPVCalcVertPV!$A$14)</f>
        <v>0</v>
      </c>
      <c r="I41" s="258">
        <f>NPVCalcVert!J41/(1+Disc)^($A41-NPVCalcVertPV!$A$14)</f>
        <v>-290250.04332025629</v>
      </c>
      <c r="J41" s="258">
        <f>NPVCalcVert!K41/(1+Disc)^(A41-A14)</f>
        <v>17415002.599215377</v>
      </c>
      <c r="K41" s="258">
        <f t="shared" si="0"/>
        <v>29497505.622309685</v>
      </c>
      <c r="L41" s="258"/>
      <c r="M41" s="258">
        <f>NPVCalcVert!B41/(1+Disc)^($A41-NPVCalcVertPV!$A$14)</f>
        <v>9209540.8148717899</v>
      </c>
      <c r="N41" s="258">
        <f>NPVCalcVert!C41/(1+Disc)^($A41-NPVCalcVertPV!$A$14)</f>
        <v>1617770.0816925552</v>
      </c>
    </row>
    <row r="42" spans="1:19" x14ac:dyDescent="0.2">
      <c r="A42" s="260" t="s">
        <v>13</v>
      </c>
      <c r="B42" s="261">
        <f t="shared" ref="B42:K42" si="3">SUM(B5:B41)</f>
        <v>232445599.3620277</v>
      </c>
      <c r="C42" s="261">
        <f t="shared" si="3"/>
        <v>34248648.117195308</v>
      </c>
      <c r="D42" s="261">
        <f t="shared" si="3"/>
        <v>20966754.097958658</v>
      </c>
      <c r="E42" s="261">
        <f t="shared" si="3"/>
        <v>-10695066.486398838</v>
      </c>
      <c r="F42" s="261">
        <f t="shared" si="3"/>
        <v>978580.20871204254</v>
      </c>
      <c r="G42" s="261">
        <f t="shared" si="3"/>
        <v>5425039.2676887196</v>
      </c>
      <c r="H42" s="261">
        <f t="shared" si="3"/>
        <v>165278752.50715214</v>
      </c>
      <c r="I42" s="261">
        <f t="shared" si="3"/>
        <v>-11898943.422172576</v>
      </c>
      <c r="J42" s="261">
        <f t="shared" si="3"/>
        <v>17415002.599215377</v>
      </c>
      <c r="K42" s="261">
        <f t="shared" si="3"/>
        <v>123606861.23707423</v>
      </c>
      <c r="L42" s="258"/>
      <c r="M42" s="258"/>
      <c r="N42" s="258"/>
      <c r="S42" s="467"/>
    </row>
    <row r="43" spans="1:19" x14ac:dyDescent="0.2">
      <c r="A43" s="247"/>
      <c r="B43" s="258"/>
      <c r="C43" s="258"/>
      <c r="D43" s="258"/>
      <c r="E43" s="258"/>
      <c r="F43" s="258"/>
      <c r="G43" s="258"/>
      <c r="H43" s="258"/>
      <c r="I43" s="258"/>
      <c r="J43" s="258"/>
      <c r="K43" s="258"/>
      <c r="L43" s="258"/>
      <c r="M43" s="258"/>
      <c r="N43" s="258"/>
    </row>
    <row r="44" spans="1:19" x14ac:dyDescent="0.2">
      <c r="B44" s="247"/>
      <c r="C44" s="247"/>
      <c r="D44" s="247"/>
      <c r="F44" s="247"/>
      <c r="G44" s="247"/>
      <c r="H44" s="247"/>
      <c r="I44" s="247"/>
      <c r="J44" s="247"/>
      <c r="K44" s="263"/>
      <c r="L44" s="258"/>
      <c r="M44" s="258"/>
      <c r="N44" s="258"/>
    </row>
    <row r="45" spans="1:19" x14ac:dyDescent="0.2">
      <c r="B45" s="247"/>
      <c r="C45" s="247"/>
      <c r="D45" s="247"/>
      <c r="F45" s="258"/>
      <c r="G45" s="258"/>
      <c r="H45" s="247"/>
      <c r="I45" s="258"/>
      <c r="J45" s="258"/>
      <c r="K45" s="263"/>
      <c r="L45" s="258"/>
      <c r="M45" s="258"/>
      <c r="N45" s="258"/>
      <c r="Q45" s="262" t="s">
        <v>162</v>
      </c>
    </row>
    <row r="46" spans="1:19" ht="10.5" customHeight="1" x14ac:dyDescent="0.2">
      <c r="B46" s="247"/>
      <c r="C46" s="247"/>
      <c r="D46" s="247"/>
      <c r="F46" s="247"/>
      <c r="G46" s="247"/>
      <c r="H46" s="247"/>
      <c r="I46" s="247"/>
      <c r="J46" s="247"/>
      <c r="K46" s="247"/>
      <c r="L46" s="258"/>
      <c r="M46" s="258"/>
      <c r="N46" s="258"/>
      <c r="Q46" s="247" t="s">
        <v>157</v>
      </c>
      <c r="R46" s="285">
        <f>SUM(B42:J42)-H42</f>
        <v>288885613.7442264</v>
      </c>
    </row>
    <row r="47" spans="1:19" x14ac:dyDescent="0.2">
      <c r="B47" s="247"/>
      <c r="C47" s="247"/>
      <c r="D47" s="247"/>
      <c r="F47" s="247"/>
      <c r="G47" s="247"/>
      <c r="H47" s="247"/>
      <c r="I47" s="247"/>
      <c r="J47" s="247"/>
      <c r="K47" s="263"/>
      <c r="L47" s="258"/>
      <c r="M47" s="258"/>
      <c r="N47" s="258"/>
      <c r="Q47" s="247" t="s">
        <v>95</v>
      </c>
      <c r="R47" s="285">
        <f>H42</f>
        <v>165278752.50715214</v>
      </c>
    </row>
    <row r="48" spans="1:19" x14ac:dyDescent="0.2">
      <c r="F48" s="247"/>
      <c r="G48" s="247"/>
      <c r="Q48" s="250" t="s">
        <v>158</v>
      </c>
      <c r="R48" s="284">
        <f>R46/R47</f>
        <v>1.7478690355659927</v>
      </c>
    </row>
    <row r="49" spans="1:12" x14ac:dyDescent="0.2">
      <c r="F49" s="247"/>
      <c r="G49" s="247"/>
    </row>
    <row r="50" spans="1:12" x14ac:dyDescent="0.2">
      <c r="F50" s="247"/>
      <c r="G50" s="247"/>
    </row>
    <row r="51" spans="1:12" x14ac:dyDescent="0.2">
      <c r="F51" s="247"/>
      <c r="G51" s="247"/>
    </row>
    <row r="52" spans="1:12" x14ac:dyDescent="0.2">
      <c r="F52" s="247"/>
      <c r="G52" s="247"/>
    </row>
    <row r="53" spans="1:12" x14ac:dyDescent="0.2">
      <c r="F53" s="247"/>
      <c r="G53" s="247"/>
    </row>
    <row r="54" spans="1:12" x14ac:dyDescent="0.2">
      <c r="F54" s="247"/>
      <c r="G54" s="247"/>
    </row>
    <row r="55" spans="1:12" x14ac:dyDescent="0.2">
      <c r="F55" s="247"/>
      <c r="G55" s="247"/>
    </row>
    <row r="56" spans="1:12" x14ac:dyDescent="0.2">
      <c r="F56" s="247"/>
      <c r="G56" s="247"/>
    </row>
    <row r="57" spans="1:12" s="249" customFormat="1" x14ac:dyDescent="0.2">
      <c r="A57" s="259"/>
      <c r="B57" s="264"/>
      <c r="C57" s="264"/>
      <c r="D57" s="264"/>
      <c r="E57" s="247"/>
      <c r="F57" s="247"/>
      <c r="G57" s="247"/>
      <c r="I57" s="250"/>
      <c r="J57" s="250"/>
      <c r="K57" s="250"/>
      <c r="L57" s="250"/>
    </row>
    <row r="58" spans="1:12" s="249" customFormat="1" x14ac:dyDescent="0.2">
      <c r="A58" s="259"/>
      <c r="B58" s="264"/>
      <c r="C58" s="264"/>
      <c r="D58" s="264"/>
      <c r="E58" s="247"/>
      <c r="F58" s="247"/>
      <c r="G58" s="247"/>
      <c r="I58" s="250"/>
      <c r="J58" s="250"/>
      <c r="K58" s="250"/>
      <c r="L58" s="250"/>
    </row>
    <row r="59" spans="1:12" s="249" customFormat="1" x14ac:dyDescent="0.2">
      <c r="A59" s="259"/>
      <c r="B59" s="264"/>
      <c r="C59" s="264"/>
      <c r="D59" s="264"/>
      <c r="E59" s="247"/>
      <c r="F59" s="247"/>
      <c r="G59" s="247"/>
      <c r="I59" s="250"/>
      <c r="J59" s="250"/>
      <c r="K59" s="250"/>
      <c r="L59" s="250"/>
    </row>
    <row r="60" spans="1:12" s="249" customFormat="1" x14ac:dyDescent="0.2">
      <c r="A60" s="259"/>
      <c r="B60" s="264"/>
      <c r="C60" s="264"/>
      <c r="D60" s="264"/>
      <c r="E60" s="247"/>
      <c r="F60" s="247"/>
      <c r="G60" s="247"/>
      <c r="I60" s="250"/>
      <c r="J60" s="250"/>
      <c r="K60" s="250"/>
      <c r="L60" s="250"/>
    </row>
    <row r="61" spans="1:12" s="249" customFormat="1" x14ac:dyDescent="0.2">
      <c r="A61" s="259"/>
      <c r="B61" s="264"/>
      <c r="C61" s="264"/>
      <c r="D61" s="264"/>
      <c r="E61" s="247"/>
      <c r="F61" s="247"/>
      <c r="G61" s="247"/>
      <c r="I61" s="250"/>
      <c r="J61" s="250"/>
      <c r="K61" s="250"/>
      <c r="L61" s="250"/>
    </row>
    <row r="62" spans="1:12" s="249" customFormat="1" x14ac:dyDescent="0.2">
      <c r="A62" s="259"/>
      <c r="B62" s="264"/>
      <c r="C62" s="264"/>
      <c r="D62" s="264"/>
      <c r="E62" s="247"/>
      <c r="F62" s="247"/>
      <c r="G62" s="247"/>
      <c r="I62" s="250"/>
      <c r="J62" s="250"/>
      <c r="K62" s="250"/>
      <c r="L62" s="250"/>
    </row>
    <row r="63" spans="1:12" s="249" customFormat="1" x14ac:dyDescent="0.2">
      <c r="A63" s="259"/>
      <c r="B63" s="264"/>
      <c r="C63" s="264"/>
      <c r="D63" s="264"/>
      <c r="E63" s="247"/>
      <c r="F63" s="247"/>
      <c r="G63" s="247"/>
      <c r="I63" s="250"/>
      <c r="J63" s="250"/>
      <c r="K63" s="250"/>
      <c r="L63" s="250"/>
    </row>
  </sheetData>
  <pageMargins left="0.7" right="0.7" top="1" bottom="1" header="0.5" footer="0.5"/>
  <pageSetup scale="70" orientation="landscape" r:id="rId1"/>
  <headerFooter alignWithMargins="0">
    <oddFooter>&amp;R&amp;P of &amp;N&amp;L&amp;F  &amp;A
&amp;D   &amp;T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6"/>
  <dimension ref="A1:AG10"/>
  <sheetViews>
    <sheetView zoomScale="90" zoomScaleNormal="90" workbookViewId="0">
      <pane xSplit="4" topLeftCell="E1" activePane="topRight" state="frozen"/>
      <selection activeCell="L36" sqref="L36"/>
      <selection pane="topRight" activeCell="N5" sqref="N5:AG5"/>
    </sheetView>
  </sheetViews>
  <sheetFormatPr defaultColWidth="9.140625" defaultRowHeight="12" x14ac:dyDescent="0.2"/>
  <cols>
    <col min="1" max="1" width="1.42578125" style="265" customWidth="1"/>
    <col min="2" max="2" width="27.42578125" style="265" customWidth="1"/>
    <col min="3" max="3" width="9.5703125" style="265" customWidth="1"/>
    <col min="4" max="4" width="8" style="265" customWidth="1"/>
    <col min="5" max="5" width="13.5703125" style="265" customWidth="1"/>
    <col min="6" max="9" width="4.85546875" style="265" bestFit="1" customWidth="1"/>
    <col min="10" max="10" width="12" style="265" customWidth="1"/>
    <col min="11" max="12" width="9.140625" style="265" bestFit="1" customWidth="1"/>
    <col min="13" max="13" width="9.85546875" style="265" customWidth="1"/>
    <col min="14" max="14" width="11.5703125" style="265" customWidth="1"/>
    <col min="15" max="32" width="13.5703125" style="265" customWidth="1"/>
    <col min="33" max="33" width="11.140625" style="265" customWidth="1"/>
    <col min="34" max="16384" width="9.140625" style="265"/>
  </cols>
  <sheetData>
    <row r="1" spans="1:33" x14ac:dyDescent="0.2">
      <c r="A1" s="22"/>
    </row>
    <row r="2" spans="1:33" x14ac:dyDescent="0.2">
      <c r="A2" s="22" t="str">
        <f>Inputs!C1</f>
        <v>US 27 PALMETTO Project</v>
      </c>
      <c r="M2" s="282"/>
      <c r="N2" s="266">
        <f>SUM(N5:AG5)</f>
        <v>-36071506.974000014</v>
      </c>
    </row>
    <row r="3" spans="1:33" x14ac:dyDescent="0.2">
      <c r="A3" s="22" t="s">
        <v>68</v>
      </c>
    </row>
    <row r="4" spans="1:33" x14ac:dyDescent="0.2">
      <c r="A4" s="86"/>
      <c r="F4" s="267">
        <v>2020</v>
      </c>
      <c r="G4" s="267">
        <f t="shared" ref="G4:AC4" si="0">F4+1</f>
        <v>2021</v>
      </c>
      <c r="H4" s="267">
        <f t="shared" si="0"/>
        <v>2022</v>
      </c>
      <c r="I4" s="267">
        <f t="shared" si="0"/>
        <v>2023</v>
      </c>
      <c r="J4" s="267">
        <f t="shared" si="0"/>
        <v>2024</v>
      </c>
      <c r="K4" s="267">
        <f t="shared" si="0"/>
        <v>2025</v>
      </c>
      <c r="L4" s="267">
        <f t="shared" si="0"/>
        <v>2026</v>
      </c>
      <c r="M4" s="267">
        <f t="shared" si="0"/>
        <v>2027</v>
      </c>
      <c r="N4" s="267">
        <f t="shared" si="0"/>
        <v>2028</v>
      </c>
      <c r="O4" s="267">
        <f t="shared" si="0"/>
        <v>2029</v>
      </c>
      <c r="P4" s="267">
        <f t="shared" si="0"/>
        <v>2030</v>
      </c>
      <c r="Q4" s="267">
        <f t="shared" si="0"/>
        <v>2031</v>
      </c>
      <c r="R4" s="267">
        <f t="shared" si="0"/>
        <v>2032</v>
      </c>
      <c r="S4" s="267">
        <f t="shared" si="0"/>
        <v>2033</v>
      </c>
      <c r="T4" s="267">
        <f t="shared" si="0"/>
        <v>2034</v>
      </c>
      <c r="U4" s="267">
        <f t="shared" si="0"/>
        <v>2035</v>
      </c>
      <c r="V4" s="267">
        <f t="shared" si="0"/>
        <v>2036</v>
      </c>
      <c r="W4" s="267">
        <f t="shared" si="0"/>
        <v>2037</v>
      </c>
      <c r="X4" s="267">
        <f t="shared" si="0"/>
        <v>2038</v>
      </c>
      <c r="Y4" s="267">
        <f t="shared" si="0"/>
        <v>2039</v>
      </c>
      <c r="Z4" s="267">
        <f t="shared" si="0"/>
        <v>2040</v>
      </c>
      <c r="AA4" s="267">
        <f t="shared" si="0"/>
        <v>2041</v>
      </c>
      <c r="AB4" s="267">
        <f t="shared" si="0"/>
        <v>2042</v>
      </c>
      <c r="AC4" s="267">
        <f t="shared" si="0"/>
        <v>2043</v>
      </c>
      <c r="AD4" s="267">
        <f t="shared" ref="AD4" si="1">AC4+1</f>
        <v>2044</v>
      </c>
      <c r="AE4" s="267">
        <f t="shared" ref="AE4" si="2">AD4+1</f>
        <v>2045</v>
      </c>
      <c r="AF4" s="267">
        <f t="shared" ref="AF4" si="3">AE4+1</f>
        <v>2046</v>
      </c>
      <c r="AG4" s="267">
        <f t="shared" ref="AG4" si="4">AF4+1</f>
        <v>2047</v>
      </c>
    </row>
    <row r="5" spans="1:33" x14ac:dyDescent="0.2">
      <c r="B5" s="265" t="s">
        <v>93</v>
      </c>
      <c r="F5" s="268">
        <v>0</v>
      </c>
      <c r="G5" s="268">
        <v>0</v>
      </c>
      <c r="H5" s="268">
        <v>0</v>
      </c>
      <c r="I5" s="268">
        <v>0</v>
      </c>
      <c r="J5" s="268">
        <v>0</v>
      </c>
      <c r="K5" s="268">
        <v>0</v>
      </c>
      <c r="L5" s="268">
        <v>0</v>
      </c>
      <c r="M5" s="268">
        <v>0</v>
      </c>
      <c r="N5" s="266">
        <f>SUM('Capital Costs'!$C$4:$C$6)*-0.01</f>
        <v>-1803575.3487</v>
      </c>
      <c r="O5" s="266">
        <f>SUM('Capital Costs'!$C$4:$C$6)*-0.01</f>
        <v>-1803575.3487</v>
      </c>
      <c r="P5" s="266">
        <f>SUM('Capital Costs'!$C$4:$C$6)*-0.01</f>
        <v>-1803575.3487</v>
      </c>
      <c r="Q5" s="266">
        <f>SUM('Capital Costs'!$C$4:$C$6)*-0.01</f>
        <v>-1803575.3487</v>
      </c>
      <c r="R5" s="266">
        <f>SUM('Capital Costs'!$C$4:$C$6)*-0.01</f>
        <v>-1803575.3487</v>
      </c>
      <c r="S5" s="266">
        <f>SUM('Capital Costs'!$C$4:$C$6)*-0.01</f>
        <v>-1803575.3487</v>
      </c>
      <c r="T5" s="266">
        <f>SUM('Capital Costs'!$C$4:$C$6)*-0.01</f>
        <v>-1803575.3487</v>
      </c>
      <c r="U5" s="266">
        <f>SUM('Capital Costs'!$C$4:$C$6)*-0.01</f>
        <v>-1803575.3487</v>
      </c>
      <c r="V5" s="266">
        <f>SUM('Capital Costs'!$C$4:$C$6)*-0.01</f>
        <v>-1803575.3487</v>
      </c>
      <c r="W5" s="266">
        <f>SUM('Capital Costs'!$C$4:$C$6)*-0.01</f>
        <v>-1803575.3487</v>
      </c>
      <c r="X5" s="266">
        <f>SUM('Capital Costs'!$C$4:$C$6)*-0.01</f>
        <v>-1803575.3487</v>
      </c>
      <c r="Y5" s="266">
        <f>SUM('Capital Costs'!$C$4:$C$6)*-0.01</f>
        <v>-1803575.3487</v>
      </c>
      <c r="Z5" s="266">
        <f>SUM('Capital Costs'!$C$4:$C$6)*-0.01</f>
        <v>-1803575.3487</v>
      </c>
      <c r="AA5" s="266">
        <f>SUM('Capital Costs'!$C$4:$C$6)*-0.01</f>
        <v>-1803575.3487</v>
      </c>
      <c r="AB5" s="266">
        <f>SUM('Capital Costs'!$C$4:$C$6)*-0.01</f>
        <v>-1803575.3487</v>
      </c>
      <c r="AC5" s="266">
        <f>SUM('Capital Costs'!$C$4:$C$6)*-0.01</f>
        <v>-1803575.3487</v>
      </c>
      <c r="AD5" s="266">
        <f>SUM('Capital Costs'!$C$4:$C$6)*-0.01</f>
        <v>-1803575.3487</v>
      </c>
      <c r="AE5" s="266">
        <f>SUM('Capital Costs'!$C$4:$C$6)*-0.01</f>
        <v>-1803575.3487</v>
      </c>
      <c r="AF5" s="266">
        <f>SUM('Capital Costs'!$C$4:$C$6)*-0.01</f>
        <v>-1803575.3487</v>
      </c>
      <c r="AG5" s="266">
        <f>SUM('Capital Costs'!$C$4:$C$6)*-0.01</f>
        <v>-1803575.3487</v>
      </c>
    </row>
    <row r="7" spans="1:33" x14ac:dyDescent="0.2">
      <c r="B7" s="275" t="s">
        <v>359</v>
      </c>
    </row>
    <row r="8" spans="1:33" x14ac:dyDescent="0.2">
      <c r="B8" s="265" t="s">
        <v>360</v>
      </c>
    </row>
    <row r="9" spans="1:33" x14ac:dyDescent="0.2">
      <c r="K9" s="312"/>
    </row>
    <row r="10" spans="1:33" ht="12.75" x14ac:dyDescent="0.2">
      <c r="C10" s="164"/>
      <c r="D10" s="164"/>
      <c r="E10" s="164"/>
    </row>
  </sheetData>
  <phoneticPr fontId="5" type="noConversion"/>
  <pageMargins left="0.75" right="0.75" top="0.75" bottom="0.75" header="0.5" footer="0.5"/>
  <pageSetup scale="70" orientation="landscape" r:id="rId1"/>
  <headerFooter alignWithMargins="0">
    <oddFooter>&amp;R&amp;P of &amp;N&amp;L&amp;F  &amp;A
&amp;D   &amp;T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B1:AF29"/>
  <sheetViews>
    <sheetView zoomScaleNormal="100" workbookViewId="0">
      <selection activeCell="J31" sqref="J31"/>
    </sheetView>
  </sheetViews>
  <sheetFormatPr defaultColWidth="9.140625" defaultRowHeight="11.25" x14ac:dyDescent="0.2"/>
  <cols>
    <col min="1" max="2" width="2.42578125" style="108" customWidth="1"/>
    <col min="3" max="3" width="18.140625" style="108" bestFit="1" customWidth="1"/>
    <col min="4" max="6" width="9.5703125" style="108" bestFit="1" customWidth="1"/>
    <col min="7" max="7" width="9.7109375" style="108" customWidth="1"/>
    <col min="8" max="8" width="9.5703125" style="108" bestFit="1" customWidth="1"/>
    <col min="9" max="9" width="10" style="108" bestFit="1" customWidth="1"/>
    <col min="10" max="10" width="10.42578125" style="108" bestFit="1" customWidth="1"/>
    <col min="11" max="28" width="10" style="108" bestFit="1" customWidth="1"/>
    <col min="29" max="16384" width="9.140625" style="108"/>
  </cols>
  <sheetData>
    <row r="1" spans="2:32" ht="15" x14ac:dyDescent="0.2">
      <c r="B1" s="100"/>
      <c r="M1" s="108" t="s">
        <v>4</v>
      </c>
    </row>
    <row r="2" spans="2:32" ht="15" x14ac:dyDescent="0.2">
      <c r="B2" s="100" t="str">
        <f>Inputs!C1</f>
        <v>US 27 PALMETTO Project</v>
      </c>
      <c r="J2" s="109">
        <f>SUM(M6:AF6)</f>
        <v>116836860.74342948</v>
      </c>
    </row>
    <row r="3" spans="2:32" ht="15" x14ac:dyDescent="0.2">
      <c r="B3" s="100" t="s">
        <v>10</v>
      </c>
      <c r="G3" s="110"/>
      <c r="H3" s="110"/>
      <c r="I3" s="111"/>
      <c r="J3" s="109">
        <f>SUM(M7:AF7)</f>
        <v>89753182.331598282</v>
      </c>
      <c r="K3" s="109">
        <f>J2-J3</f>
        <v>27083678.4118312</v>
      </c>
    </row>
    <row r="4" spans="2:32" ht="12" customHeight="1" x14ac:dyDescent="0.2">
      <c r="M4" s="447">
        <v>1</v>
      </c>
      <c r="N4" s="447">
        <v>2</v>
      </c>
      <c r="O4" s="447">
        <v>3</v>
      </c>
      <c r="P4" s="447">
        <v>4</v>
      </c>
      <c r="Q4" s="447">
        <v>5</v>
      </c>
      <c r="R4" s="447">
        <v>6</v>
      </c>
      <c r="S4" s="447">
        <v>7</v>
      </c>
      <c r="T4" s="447">
        <v>8</v>
      </c>
      <c r="U4" s="447">
        <v>9</v>
      </c>
      <c r="V4" s="447">
        <v>10</v>
      </c>
      <c r="W4" s="447">
        <v>11</v>
      </c>
      <c r="X4" s="447">
        <v>12</v>
      </c>
      <c r="Y4" s="447">
        <v>13</v>
      </c>
      <c r="Z4" s="447">
        <v>14</v>
      </c>
      <c r="AA4" s="447">
        <v>15</v>
      </c>
      <c r="AB4" s="447">
        <v>16</v>
      </c>
      <c r="AC4" s="447">
        <v>17</v>
      </c>
      <c r="AD4" s="447">
        <v>18</v>
      </c>
      <c r="AE4" s="447">
        <v>19</v>
      </c>
      <c r="AF4" s="447">
        <v>20</v>
      </c>
    </row>
    <row r="5" spans="2:32" x14ac:dyDescent="0.2">
      <c r="B5" s="112" t="s">
        <v>73</v>
      </c>
      <c r="C5" s="113"/>
      <c r="D5" s="114">
        <v>2019</v>
      </c>
      <c r="E5" s="114">
        <v>2020</v>
      </c>
      <c r="F5" s="114">
        <v>2021</v>
      </c>
      <c r="G5" s="114">
        <v>2022</v>
      </c>
      <c r="H5" s="114">
        <v>2023</v>
      </c>
      <c r="I5" s="114">
        <v>2024</v>
      </c>
      <c r="J5" s="114">
        <v>2025</v>
      </c>
      <c r="K5" s="114">
        <v>2026</v>
      </c>
      <c r="L5" s="114">
        <v>2027</v>
      </c>
      <c r="M5" s="114">
        <v>2028</v>
      </c>
      <c r="N5" s="114">
        <v>2029</v>
      </c>
      <c r="O5" s="114">
        <v>2030</v>
      </c>
      <c r="P5" s="114">
        <v>2031</v>
      </c>
      <c r="Q5" s="114">
        <v>2032</v>
      </c>
      <c r="R5" s="114">
        <v>2033</v>
      </c>
      <c r="S5" s="114">
        <v>2034</v>
      </c>
      <c r="T5" s="114">
        <v>2035</v>
      </c>
      <c r="U5" s="114">
        <v>2036</v>
      </c>
      <c r="V5" s="114">
        <v>2037</v>
      </c>
      <c r="W5" s="114">
        <v>2038</v>
      </c>
      <c r="X5" s="114">
        <v>2039</v>
      </c>
      <c r="Y5" s="114">
        <v>2040</v>
      </c>
      <c r="Z5" s="114">
        <v>2041</v>
      </c>
      <c r="AA5" s="114">
        <v>2042</v>
      </c>
      <c r="AB5" s="114">
        <v>2043</v>
      </c>
      <c r="AC5" s="114">
        <v>2044</v>
      </c>
      <c r="AD5" s="114">
        <v>2045</v>
      </c>
      <c r="AE5" s="114">
        <v>2046</v>
      </c>
      <c r="AF5" s="114">
        <v>2047</v>
      </c>
    </row>
    <row r="6" spans="2:32" s="111" customFormat="1" x14ac:dyDescent="0.2">
      <c r="B6" s="108"/>
      <c r="C6" s="108" t="s">
        <v>168</v>
      </c>
      <c r="D6" s="115"/>
      <c r="E6" s="115"/>
      <c r="F6" s="115"/>
      <c r="G6" s="115"/>
      <c r="H6" s="115"/>
      <c r="I6" s="115"/>
      <c r="J6" s="115"/>
      <c r="K6" s="115"/>
      <c r="L6" s="115"/>
      <c r="M6" s="115">
        <f>Inputs!D56</f>
        <v>4390422.4000000004</v>
      </c>
      <c r="N6" s="115">
        <f>(1+(($AD6/$M6)^(1/($AD5-$M5))-1))*M6</f>
        <v>4517956.7026341474</v>
      </c>
      <c r="O6" s="115">
        <f t="shared" ref="O6:AC6" si="0">(1+(($AD6/$M6)^(1/($AD5-$M5))-1))*N6</f>
        <v>4649195.6598246256</v>
      </c>
      <c r="P6" s="115">
        <f t="shared" si="0"/>
        <v>4784246.8854846982</v>
      </c>
      <c r="Q6" s="115">
        <f t="shared" si="0"/>
        <v>4923221.1195287574</v>
      </c>
      <c r="R6" s="115">
        <f t="shared" si="0"/>
        <v>5066232.3186773416</v>
      </c>
      <c r="S6" s="115">
        <f t="shared" si="0"/>
        <v>5213397.74989988</v>
      </c>
      <c r="T6" s="115">
        <f t="shared" si="0"/>
        <v>5364838.086571794</v>
      </c>
      <c r="U6" s="115">
        <f t="shared" si="0"/>
        <v>5520677.507424796</v>
      </c>
      <c r="V6" s="115">
        <f t="shared" si="0"/>
        <v>5681043.7983715264</v>
      </c>
      <c r="W6" s="115">
        <f t="shared" si="0"/>
        <v>5846068.4572880259</v>
      </c>
      <c r="X6" s="115">
        <f t="shared" si="0"/>
        <v>6015886.8018399561</v>
      </c>
      <c r="Y6" s="115">
        <f t="shared" si="0"/>
        <v>6190638.0804409916</v>
      </c>
      <c r="Z6" s="115">
        <f t="shared" si="0"/>
        <v>6370465.5864343643</v>
      </c>
      <c r="AA6" s="115">
        <f t="shared" si="0"/>
        <v>6555516.7755911844</v>
      </c>
      <c r="AB6" s="115">
        <f t="shared" si="0"/>
        <v>6745943.3870218918</v>
      </c>
      <c r="AC6" s="115">
        <f t="shared" si="0"/>
        <v>6941901.5675999774</v>
      </c>
      <c r="AD6" s="115">
        <f>Inputs!E56</f>
        <v>7143552</v>
      </c>
      <c r="AE6" s="115">
        <f>(1+(($AD6/$M6)^(1/($AD5-$M5))-1))*AD6</f>
        <v>7351060.0344548998</v>
      </c>
      <c r="AF6" s="115">
        <f t="shared" ref="AF6" si="1">(1+(($AD6/$M6)^(1/($AD5-$M5))-1))*AE6</f>
        <v>7564595.8243406191</v>
      </c>
    </row>
    <row r="7" spans="2:32" s="111" customFormat="1" x14ac:dyDescent="0.2">
      <c r="B7" s="108"/>
      <c r="C7" s="108" t="s">
        <v>84</v>
      </c>
      <c r="D7" s="115"/>
      <c r="E7" s="115"/>
      <c r="F7" s="115"/>
      <c r="G7" s="115"/>
      <c r="H7" s="115"/>
      <c r="I7" s="115"/>
      <c r="J7" s="115"/>
      <c r="K7" s="115"/>
      <c r="L7" s="115"/>
      <c r="M7" s="115">
        <f>Inputs!D57</f>
        <v>3742148.8</v>
      </c>
      <c r="N7" s="115">
        <f>(1+(($AD7/$M7)^(1/($AD5-$M5))-1))*M7</f>
        <v>3812112.5258535286</v>
      </c>
      <c r="O7" s="115">
        <f t="shared" ref="O7:AC7" si="2">(1+(($AD7/$M7)^(1/($AD5-$M5))-1))*N7</f>
        <v>3883384.3030959568</v>
      </c>
      <c r="P7" s="115">
        <f t="shared" si="2"/>
        <v>3955988.5872349795</v>
      </c>
      <c r="Q7" s="115">
        <f t="shared" si="2"/>
        <v>4029950.2910018093</v>
      </c>
      <c r="R7" s="115">
        <f t="shared" si="2"/>
        <v>4105294.7928994889</v>
      </c>
      <c r="S7" s="115">
        <f t="shared" si="2"/>
        <v>4182047.9459110261</v>
      </c>
      <c r="T7" s="115">
        <f t="shared" si="2"/>
        <v>4260236.086370335</v>
      </c>
      <c r="U7" s="115">
        <f t="shared" si="2"/>
        <v>4339886.0429990301</v>
      </c>
      <c r="V7" s="115">
        <f t="shared" si="2"/>
        <v>4421025.1461121775</v>
      </c>
      <c r="W7" s="115">
        <f t="shared" si="2"/>
        <v>4503681.2369961506</v>
      </c>
      <c r="X7" s="115">
        <f t="shared" si="2"/>
        <v>4587882.6774618216</v>
      </c>
      <c r="Y7" s="115">
        <f t="shared" si="2"/>
        <v>4673658.3595763575</v>
      </c>
      <c r="Z7" s="115">
        <f t="shared" si="2"/>
        <v>4761037.7155769672</v>
      </c>
      <c r="AA7" s="115">
        <f t="shared" si="2"/>
        <v>4850050.727969991</v>
      </c>
      <c r="AB7" s="115">
        <f t="shared" si="2"/>
        <v>4940727.9398188088</v>
      </c>
      <c r="AC7" s="115">
        <f t="shared" si="2"/>
        <v>5033100.4652240928</v>
      </c>
      <c r="AD7" s="115">
        <f>Inputs!E57</f>
        <v>5127200</v>
      </c>
      <c r="AE7" s="115">
        <f>(1+(($AD7/$M7)^(1/($AD5-$M5))-1))*AD7</f>
        <v>5223058.8325499548</v>
      </c>
      <c r="AF7" s="115">
        <f t="shared" ref="AF7" si="3">(1+(($AD7/$M7)^(1/($AD5-$M5))-1))*AE7</f>
        <v>5320709.8549457984</v>
      </c>
    </row>
    <row r="8" spans="2:32" x14ac:dyDescent="0.2">
      <c r="C8" s="113" t="s">
        <v>12</v>
      </c>
      <c r="D8" s="116"/>
      <c r="E8" s="116"/>
      <c r="F8" s="116"/>
      <c r="G8" s="116"/>
      <c r="H8" s="116"/>
      <c r="I8" s="116"/>
      <c r="J8" s="116"/>
      <c r="K8" s="116"/>
      <c r="L8" s="116"/>
      <c r="M8" s="116">
        <f t="shared" ref="M8:U8" si="4">M7-M6</f>
        <v>-648273.60000000056</v>
      </c>
      <c r="N8" s="116">
        <f t="shared" si="4"/>
        <v>-705844.17678061873</v>
      </c>
      <c r="O8" s="116">
        <f t="shared" si="4"/>
        <v>-765811.35672866879</v>
      </c>
      <c r="P8" s="116">
        <f t="shared" si="4"/>
        <v>-828258.29824971873</v>
      </c>
      <c r="Q8" s="116">
        <f t="shared" si="4"/>
        <v>-893270.82852694811</v>
      </c>
      <c r="R8" s="116">
        <f t="shared" si="4"/>
        <v>-960937.52577785263</v>
      </c>
      <c r="S8" s="116">
        <f t="shared" si="4"/>
        <v>-1031349.8039888539</v>
      </c>
      <c r="T8" s="116">
        <f t="shared" si="4"/>
        <v>-1104602.000201459</v>
      </c>
      <c r="U8" s="116">
        <f t="shared" si="4"/>
        <v>-1180791.4644257659</v>
      </c>
      <c r="V8" s="116">
        <f t="shared" ref="V8:AF8" si="5">V7-V6</f>
        <v>-1260018.6522593489</v>
      </c>
      <c r="W8" s="116">
        <f t="shared" si="5"/>
        <v>-1342387.2202918753</v>
      </c>
      <c r="X8" s="116">
        <f t="shared" si="5"/>
        <v>-1428004.1243781345</v>
      </c>
      <c r="Y8" s="116">
        <f t="shared" si="5"/>
        <v>-1516979.720864634</v>
      </c>
      <c r="Z8" s="116">
        <f t="shared" si="5"/>
        <v>-1609427.8708573971</v>
      </c>
      <c r="AA8" s="116">
        <f t="shared" si="5"/>
        <v>-1705466.0476211933</v>
      </c>
      <c r="AB8" s="116">
        <f t="shared" si="5"/>
        <v>-1805215.447203083</v>
      </c>
      <c r="AC8" s="116">
        <f t="shared" si="5"/>
        <v>-1908801.1023758845</v>
      </c>
      <c r="AD8" s="116">
        <f t="shared" si="5"/>
        <v>-2016352</v>
      </c>
      <c r="AE8" s="116">
        <f t="shared" si="5"/>
        <v>-2128001.2019049451</v>
      </c>
      <c r="AF8" s="116">
        <f t="shared" si="5"/>
        <v>-2243885.9693948207</v>
      </c>
    </row>
    <row r="9" spans="2:32" x14ac:dyDescent="0.2">
      <c r="S9" s="117"/>
    </row>
    <row r="11" spans="2:32" x14ac:dyDescent="0.2">
      <c r="B11" s="112" t="s">
        <v>40</v>
      </c>
      <c r="C11" s="113"/>
      <c r="D11" s="118">
        <f t="shared" ref="D11:AE11" si="6">D5</f>
        <v>2019</v>
      </c>
      <c r="E11" s="118">
        <f t="shared" si="6"/>
        <v>2020</v>
      </c>
      <c r="F11" s="118">
        <f t="shared" si="6"/>
        <v>2021</v>
      </c>
      <c r="G11" s="118">
        <f t="shared" si="6"/>
        <v>2022</v>
      </c>
      <c r="H11" s="118">
        <f t="shared" si="6"/>
        <v>2023</v>
      </c>
      <c r="I11" s="118">
        <f t="shared" si="6"/>
        <v>2024</v>
      </c>
      <c r="J11" s="118">
        <f t="shared" si="6"/>
        <v>2025</v>
      </c>
      <c r="K11" s="118">
        <f t="shared" si="6"/>
        <v>2026</v>
      </c>
      <c r="L11" s="118">
        <f t="shared" si="6"/>
        <v>2027</v>
      </c>
      <c r="M11" s="118">
        <f t="shared" si="6"/>
        <v>2028</v>
      </c>
      <c r="N11" s="118">
        <f t="shared" si="6"/>
        <v>2029</v>
      </c>
      <c r="O11" s="118">
        <f t="shared" si="6"/>
        <v>2030</v>
      </c>
      <c r="P11" s="118">
        <f t="shared" si="6"/>
        <v>2031</v>
      </c>
      <c r="Q11" s="118">
        <f t="shared" si="6"/>
        <v>2032</v>
      </c>
      <c r="R11" s="118">
        <f t="shared" si="6"/>
        <v>2033</v>
      </c>
      <c r="S11" s="118">
        <f t="shared" si="6"/>
        <v>2034</v>
      </c>
      <c r="T11" s="118">
        <f t="shared" si="6"/>
        <v>2035</v>
      </c>
      <c r="U11" s="118">
        <f t="shared" si="6"/>
        <v>2036</v>
      </c>
      <c r="V11" s="118">
        <f t="shared" si="6"/>
        <v>2037</v>
      </c>
      <c r="W11" s="118">
        <f t="shared" si="6"/>
        <v>2038</v>
      </c>
      <c r="X11" s="118">
        <f t="shared" si="6"/>
        <v>2039</v>
      </c>
      <c r="Y11" s="118">
        <f t="shared" si="6"/>
        <v>2040</v>
      </c>
      <c r="Z11" s="118">
        <f t="shared" si="6"/>
        <v>2041</v>
      </c>
      <c r="AA11" s="118">
        <f t="shared" si="6"/>
        <v>2042</v>
      </c>
      <c r="AB11" s="118">
        <f t="shared" si="6"/>
        <v>2043</v>
      </c>
      <c r="AC11" s="118">
        <f t="shared" si="6"/>
        <v>2044</v>
      </c>
      <c r="AD11" s="118">
        <f t="shared" si="6"/>
        <v>2045</v>
      </c>
      <c r="AE11" s="118">
        <f t="shared" si="6"/>
        <v>2046</v>
      </c>
      <c r="AF11" s="114">
        <v>2047</v>
      </c>
    </row>
    <row r="12" spans="2:32" x14ac:dyDescent="0.2">
      <c r="C12" s="108" t="s">
        <v>28</v>
      </c>
    </row>
    <row r="13" spans="2:32" x14ac:dyDescent="0.2">
      <c r="C13" s="108" t="s">
        <v>7</v>
      </c>
      <c r="D13" s="119">
        <v>0</v>
      </c>
      <c r="E13" s="119">
        <v>0</v>
      </c>
      <c r="F13" s="119">
        <v>0</v>
      </c>
      <c r="G13" s="119">
        <v>0</v>
      </c>
      <c r="H13" s="119">
        <v>0</v>
      </c>
      <c r="I13" s="119">
        <f>-I8*Inputs!$C$67*Inputs!$C$71*Inputs!$C$33</f>
        <v>0</v>
      </c>
      <c r="J13" s="119">
        <f>-J8*Inputs!$C$67*Inputs!$C$71*Inputs!$C$33</f>
        <v>0</v>
      </c>
      <c r="K13" s="119">
        <f>-K8*Inputs!$C$67*Inputs!$C$71*Inputs!$C$33</f>
        <v>0</v>
      </c>
      <c r="L13" s="119">
        <f>-L8*Inputs!$C$67*Inputs!$C$71*Inputs!$D$33</f>
        <v>0</v>
      </c>
      <c r="M13" s="119">
        <f>-M8*Inputs!$C$67*Inputs!$C$71*Inputs!$D$33</f>
        <v>16533223.145816844</v>
      </c>
      <c r="N13" s="119">
        <f>-N8*Inputs!$C$67*Inputs!$C$71*Inputs!$D$33</f>
        <v>18001472.342679624</v>
      </c>
      <c r="O13" s="119">
        <f>-O8*Inputs!$C$67*Inputs!$C$71*Inputs!$D$33</f>
        <v>19530843.224829484</v>
      </c>
      <c r="P13" s="119">
        <f>-P8*Inputs!$C$67*Inputs!$C$71*Inputs!$D$33</f>
        <v>21123456.619762257</v>
      </c>
      <c r="Q13" s="119">
        <f>-Q8*Inputs!$C$67*Inputs!$C$71*Inputs!$D$33</f>
        <v>22781501.41805052</v>
      </c>
      <c r="R13" s="119">
        <f>-R8*Inputs!$C$67*Inputs!$C$71*Inputs!$D$33</f>
        <v>24507236.671174563</v>
      </c>
      <c r="S13" s="119">
        <f>-S8*Inputs!$C$67*Inputs!$C$71*Inputs!$D$33</f>
        <v>26302993.752548572</v>
      </c>
      <c r="T13" s="119">
        <f>-T8*Inputs!$C$67*Inputs!$C$71*Inputs!$D$33</f>
        <v>28171178.583620142</v>
      </c>
      <c r="U13" s="119">
        <f>-U8*Inputs!$C$67*Inputs!$C$71*Inputs!$D$33</f>
        <v>30114273.926976241</v>
      </c>
      <c r="V13" s="119">
        <f>-V8*Inputs!$C$67*Inputs!$C$71*Inputs!$D$33</f>
        <v>32134841.748445712</v>
      </c>
      <c r="W13" s="119">
        <f>-W8*Inputs!$C$67*Inputs!$C$71*Inputs!$D$33</f>
        <v>34235525.650247604</v>
      </c>
      <c r="X13" s="119">
        <f>-X8*Inputs!$C$67*Inputs!$C$71*Inputs!$D$33</f>
        <v>36419053.377293892</v>
      </c>
      <c r="Y13" s="119">
        <f>-Y8*Inputs!$C$67*Inputs!$C$71*Inputs!$D$33</f>
        <v>38688239.398818523</v>
      </c>
      <c r="Z13" s="119">
        <f>-Z8*Inputs!$C$67*Inputs!$C$71*Inputs!$D$33</f>
        <v>41045987.56756749</v>
      </c>
      <c r="AA13" s="119">
        <f>-AA8*Inputs!$C$67*Inputs!$C$71*Inputs!$D$33</f>
        <v>43495293.858851358</v>
      </c>
      <c r="AB13" s="119">
        <f>-AB8*Inputs!$C$67*Inputs!$C$71*Inputs!$D$33</f>
        <v>46039249.191829026</v>
      </c>
      <c r="AC13" s="119">
        <f>-AC8*Inputs!$C$67*Inputs!$C$71*Inputs!$D$33</f>
        <v>48681042.335460924</v>
      </c>
      <c r="AD13" s="119">
        <f>-AD8*Inputs!$C$67*Inputs!$C$71*Inputs!$D$33</f>
        <v>51423962.901642241</v>
      </c>
      <c r="AE13" s="119">
        <f>-AE8*Inputs!$C$67*Inputs!$C$71*Inputs!$D$33</f>
        <v>54271404.428100839</v>
      </c>
      <c r="AF13" s="119">
        <f>-AF8*Inputs!$C$67*Inputs!$C$71*Inputs!$D$33</f>
        <v>57226867.553718187</v>
      </c>
    </row>
    <row r="14" spans="2:32" x14ac:dyDescent="0.2">
      <c r="C14" s="108" t="s">
        <v>8</v>
      </c>
      <c r="D14" s="119">
        <v>0</v>
      </c>
      <c r="E14" s="119">
        <v>0</v>
      </c>
      <c r="F14" s="119">
        <v>0</v>
      </c>
      <c r="G14" s="119">
        <v>0</v>
      </c>
      <c r="H14" s="119">
        <v>0</v>
      </c>
      <c r="I14" s="119">
        <f>-I8*Inputs!$C$68*Inputs!$C$35</f>
        <v>0</v>
      </c>
      <c r="J14" s="119">
        <f>-J8*Inputs!$C$68*Inputs!$C$35</f>
        <v>0</v>
      </c>
      <c r="K14" s="119">
        <f>-K8*Inputs!$C$68*Inputs!$C$35</f>
        <v>0</v>
      </c>
      <c r="L14" s="119">
        <f>-L8*Inputs!$C$68*Inputs!$C$35</f>
        <v>0</v>
      </c>
      <c r="M14" s="119">
        <f>-M8*Inputs!$C$68*Inputs!$C$35</f>
        <v>2904265.7280000029</v>
      </c>
      <c r="N14" s="119">
        <f>-N8*Inputs!$C$68*Inputs!$C$35</f>
        <v>3162181.9119771724</v>
      </c>
      <c r="O14" s="119">
        <f>-O8*Inputs!$C$68*Inputs!$C$35</f>
        <v>3430834.8781444365</v>
      </c>
      <c r="P14" s="119">
        <f>-P8*Inputs!$C$68*Inputs!$C$35</f>
        <v>3710597.1761587402</v>
      </c>
      <c r="Q14" s="119">
        <f>-Q8*Inputs!$C$68*Inputs!$C$35</f>
        <v>4001853.3118007281</v>
      </c>
      <c r="R14" s="119">
        <f>-R8*Inputs!$C$68*Inputs!$C$35</f>
        <v>4305000.1154847806</v>
      </c>
      <c r="S14" s="119">
        <f>-S8*Inputs!$C$68*Inputs!$C$35</f>
        <v>4620447.121870066</v>
      </c>
      <c r="T14" s="119">
        <f>-T8*Inputs!$C$68*Inputs!$C$35</f>
        <v>4948616.9609025372</v>
      </c>
      <c r="U14" s="119">
        <f>-U8*Inputs!$C$68*Inputs!$C$35</f>
        <v>5289945.7606274318</v>
      </c>
      <c r="V14" s="119">
        <f>-V8*Inputs!$C$68*Inputs!$C$35</f>
        <v>5644883.562121884</v>
      </c>
      <c r="W14" s="119">
        <f>-W8*Inputs!$C$68*Inputs!$C$35</f>
        <v>6013894.7469076021</v>
      </c>
      <c r="X14" s="119">
        <f>-X8*Inputs!$C$68*Inputs!$C$35</f>
        <v>6397458.477214043</v>
      </c>
      <c r="Y14" s="119">
        <f>-Y8*Inputs!$C$68*Inputs!$C$35</f>
        <v>6796069.149473561</v>
      </c>
      <c r="Z14" s="119">
        <f>-Z8*Inputs!$C$68*Inputs!$C$35</f>
        <v>7210236.8614411401</v>
      </c>
      <c r="AA14" s="119">
        <f>-AA8*Inputs!$C$68*Inputs!$C$35</f>
        <v>7640487.8933429467</v>
      </c>
      <c r="AB14" s="119">
        <f>-AB8*Inputs!$C$68*Inputs!$C$35</f>
        <v>8087365.2034698129</v>
      </c>
      <c r="AC14" s="119">
        <f>-AC8*Inputs!$C$68*Inputs!$C$35</f>
        <v>8551428.938643964</v>
      </c>
      <c r="AD14" s="119">
        <f>-AD8*Inputs!$C$68*Inputs!$C$35</f>
        <v>9033256.9600000009</v>
      </c>
      <c r="AE14" s="119">
        <f>-AE8*Inputs!$C$68*Inputs!$C$35</f>
        <v>9533445.3845341541</v>
      </c>
      <c r="AF14" s="119">
        <f>-AF8*Inputs!$C$68*Inputs!$C$35</f>
        <v>10052609.142888797</v>
      </c>
    </row>
    <row r="15" spans="2:32" x14ac:dyDescent="0.2">
      <c r="C15" s="113" t="s">
        <v>9</v>
      </c>
      <c r="D15" s="120">
        <v>0</v>
      </c>
      <c r="E15" s="120">
        <f>SUM(E13:E14)</f>
        <v>0</v>
      </c>
      <c r="F15" s="120">
        <f t="shared" ref="F15:U15" si="7">SUM(F13:F14)</f>
        <v>0</v>
      </c>
      <c r="G15" s="121">
        <f t="shared" si="7"/>
        <v>0</v>
      </c>
      <c r="H15" s="121">
        <f t="shared" si="7"/>
        <v>0</v>
      </c>
      <c r="I15" s="121">
        <f t="shared" si="7"/>
        <v>0</v>
      </c>
      <c r="J15" s="121">
        <f t="shared" si="7"/>
        <v>0</v>
      </c>
      <c r="K15" s="121">
        <f t="shared" si="7"/>
        <v>0</v>
      </c>
      <c r="L15" s="120">
        <f t="shared" si="7"/>
        <v>0</v>
      </c>
      <c r="M15" s="120">
        <f t="shared" si="7"/>
        <v>19437488.873816848</v>
      </c>
      <c r="N15" s="120">
        <f t="shared" si="7"/>
        <v>21163654.254656795</v>
      </c>
      <c r="O15" s="120">
        <f t="shared" si="7"/>
        <v>22961678.102973919</v>
      </c>
      <c r="P15" s="120">
        <f t="shared" si="7"/>
        <v>24834053.795920998</v>
      </c>
      <c r="Q15" s="120">
        <f t="shared" si="7"/>
        <v>26783354.72985125</v>
      </c>
      <c r="R15" s="120">
        <f t="shared" si="7"/>
        <v>28812236.786659345</v>
      </c>
      <c r="S15" s="120">
        <f t="shared" si="7"/>
        <v>30923440.874418639</v>
      </c>
      <c r="T15" s="120">
        <f t="shared" si="7"/>
        <v>33119795.54452268</v>
      </c>
      <c r="U15" s="120">
        <f t="shared" si="7"/>
        <v>35404219.687603675</v>
      </c>
      <c r="V15" s="120">
        <f t="shared" ref="V15:AF15" si="8">SUM(V13:V14)</f>
        <v>37779725.310567595</v>
      </c>
      <c r="W15" s="120">
        <f t="shared" si="8"/>
        <v>40249420.397155203</v>
      </c>
      <c r="X15" s="120">
        <f t="shared" si="8"/>
        <v>42816511.854507938</v>
      </c>
      <c r="Y15" s="120">
        <f t="shared" si="8"/>
        <v>45484308.548292086</v>
      </c>
      <c r="Z15" s="120">
        <f t="shared" si="8"/>
        <v>48256224.429008633</v>
      </c>
      <c r="AA15" s="120">
        <f t="shared" si="8"/>
        <v>51135781.752194308</v>
      </c>
      <c r="AB15" s="120">
        <f t="shared" si="8"/>
        <v>54126614.395298839</v>
      </c>
      <c r="AC15" s="120">
        <f t="shared" si="8"/>
        <v>57232471.274104886</v>
      </c>
      <c r="AD15" s="120">
        <f t="shared" si="8"/>
        <v>60457219.861642241</v>
      </c>
      <c r="AE15" s="120">
        <f t="shared" si="8"/>
        <v>63804849.81263499</v>
      </c>
      <c r="AF15" s="120">
        <f t="shared" si="8"/>
        <v>67279476.696606979</v>
      </c>
    </row>
    <row r="16" spans="2:32" x14ac:dyDescent="0.2">
      <c r="F16" s="122"/>
      <c r="G16" s="122"/>
      <c r="H16" s="122"/>
      <c r="I16" s="122"/>
      <c r="J16" s="122"/>
      <c r="K16" s="122"/>
      <c r="L16" s="122"/>
      <c r="M16" s="122"/>
      <c r="N16" s="122"/>
      <c r="O16" s="122"/>
      <c r="P16" s="122"/>
      <c r="Q16" s="122"/>
      <c r="R16" s="122"/>
      <c r="S16" s="122"/>
      <c r="T16" s="122"/>
      <c r="U16" s="122"/>
      <c r="V16" s="122"/>
      <c r="W16" s="122"/>
      <c r="X16" s="122"/>
      <c r="Y16" s="122"/>
      <c r="Z16" s="122"/>
      <c r="AA16" s="122"/>
      <c r="AB16" s="122"/>
    </row>
    <row r="17" spans="4:32" x14ac:dyDescent="0.2">
      <c r="F17" s="123"/>
      <c r="Y17" s="124"/>
    </row>
    <row r="18" spans="4:32" x14ac:dyDescent="0.2">
      <c r="E18" s="111"/>
      <c r="F18" s="111"/>
      <c r="G18" s="108" t="s">
        <v>104</v>
      </c>
      <c r="J18" s="124"/>
      <c r="K18" s="124"/>
      <c r="L18" s="124"/>
      <c r="M18" s="124"/>
      <c r="N18" s="124">
        <f t="shared" ref="N18:X18" si="9">N8/M8-1</f>
        <v>8.8805986825035266E-2</v>
      </c>
      <c r="O18" s="124">
        <f t="shared" si="9"/>
        <v>8.4958099706315515E-2</v>
      </c>
      <c r="P18" s="124">
        <f t="shared" si="9"/>
        <v>8.1543504118045229E-2</v>
      </c>
      <c r="Q18" s="124">
        <f t="shared" si="9"/>
        <v>7.8493062387197776E-2</v>
      </c>
      <c r="R18" s="124">
        <f t="shared" si="9"/>
        <v>7.5751603086032127E-2</v>
      </c>
      <c r="S18" s="124">
        <f t="shared" si="9"/>
        <v>7.3274563977511864E-2</v>
      </c>
      <c r="T18" s="124">
        <f t="shared" si="9"/>
        <v>7.10255588640194E-2</v>
      </c>
      <c r="U18" s="124">
        <f t="shared" si="9"/>
        <v>6.8974584701468222E-2</v>
      </c>
      <c r="V18" s="124">
        <f t="shared" si="9"/>
        <v>6.7096680676051568E-2</v>
      </c>
      <c r="W18" s="124">
        <f t="shared" si="9"/>
        <v>6.5370911680418864E-2</v>
      </c>
      <c r="X18" s="124">
        <f t="shared" si="9"/>
        <v>6.3779588178471736E-2</v>
      </c>
      <c r="Y18" s="124">
        <f t="shared" ref="Y18:AB18" si="10">Y8/X8-1</f>
        <v>6.230766071858973E-2</v>
      </c>
      <c r="Z18" s="124">
        <f t="shared" si="10"/>
        <v>6.0942245121161198E-2</v>
      </c>
      <c r="AA18" s="124">
        <f t="shared" si="10"/>
        <v>5.9672246580788624E-2</v>
      </c>
      <c r="AB18" s="124">
        <f t="shared" si="10"/>
        <v>5.8488059449216978E-2</v>
      </c>
      <c r="AC18" s="124">
        <f t="shared" ref="AC18" si="11">AC8/AB8-1</f>
        <v>5.7381325499564317E-2</v>
      </c>
      <c r="AD18" s="124">
        <f t="shared" ref="AD18" si="12">AD8/AC8-1</f>
        <v>5.6344737799159272E-2</v>
      </c>
      <c r="AE18" s="124">
        <f t="shared" ref="AE18:AF18" si="13">AE8/AD8-1</f>
        <v>5.5371880457849132E-2</v>
      </c>
      <c r="AF18" s="124">
        <f t="shared" si="13"/>
        <v>5.4457096822190687E-2</v>
      </c>
    </row>
    <row r="19" spans="4:32" x14ac:dyDescent="0.2">
      <c r="E19" s="111"/>
      <c r="F19" s="111"/>
      <c r="G19" s="108" t="s">
        <v>105</v>
      </c>
      <c r="J19" s="124"/>
      <c r="K19" s="124"/>
      <c r="L19" s="124"/>
      <c r="M19" s="124"/>
      <c r="N19" s="124">
        <f t="shared" ref="N19:X19" si="14">N15/M15-1</f>
        <v>8.8805986825035266E-2</v>
      </c>
      <c r="O19" s="124">
        <f t="shared" si="14"/>
        <v>8.4958099706315737E-2</v>
      </c>
      <c r="P19" s="124">
        <f t="shared" si="14"/>
        <v>8.1543504118045007E-2</v>
      </c>
      <c r="Q19" s="124">
        <f t="shared" si="14"/>
        <v>7.8493062387197776E-2</v>
      </c>
      <c r="R19" s="124">
        <f t="shared" si="14"/>
        <v>7.5751603086032127E-2</v>
      </c>
      <c r="S19" s="124">
        <f t="shared" si="14"/>
        <v>7.3274563977511864E-2</v>
      </c>
      <c r="T19" s="124">
        <f t="shared" si="14"/>
        <v>7.10255588640194E-2</v>
      </c>
      <c r="U19" s="124">
        <f t="shared" si="14"/>
        <v>6.8974584701468444E-2</v>
      </c>
      <c r="V19" s="124">
        <f t="shared" si="14"/>
        <v>6.7096680676051568E-2</v>
      </c>
      <c r="W19" s="124">
        <f t="shared" si="14"/>
        <v>6.5370911680419086E-2</v>
      </c>
      <c r="X19" s="124">
        <f t="shared" si="14"/>
        <v>6.3779588178471736E-2</v>
      </c>
      <c r="Y19" s="124">
        <f t="shared" ref="Y19:AB19" si="15">Y15/X15-1</f>
        <v>6.2307660718589508E-2</v>
      </c>
      <c r="Z19" s="124">
        <f t="shared" si="15"/>
        <v>6.0942245121161198E-2</v>
      </c>
      <c r="AA19" s="124">
        <f t="shared" si="15"/>
        <v>5.9672246580788624E-2</v>
      </c>
      <c r="AB19" s="124">
        <f t="shared" si="15"/>
        <v>5.8488059449216978E-2</v>
      </c>
      <c r="AC19" s="124">
        <f t="shared" ref="AC19" si="16">AC15/AB15-1</f>
        <v>5.7381325499564317E-2</v>
      </c>
      <c r="AD19" s="124">
        <f t="shared" ref="AD19" si="17">AD15/AC15-1</f>
        <v>5.6344737799159272E-2</v>
      </c>
      <c r="AE19" s="124">
        <f t="shared" ref="AE19:AF19" si="18">AE15/AD15-1</f>
        <v>5.537188045784891E-2</v>
      </c>
      <c r="AF19" s="124">
        <f t="shared" si="18"/>
        <v>5.4457096822190465E-2</v>
      </c>
    </row>
    <row r="20" spans="4:32" ht="9.75" customHeight="1" x14ac:dyDescent="0.2">
      <c r="E20" s="111"/>
      <c r="F20" s="111"/>
    </row>
    <row r="21" spans="4:32" x14ac:dyDescent="0.2">
      <c r="E21" s="111"/>
      <c r="F21" s="111"/>
      <c r="I21" s="125"/>
    </row>
    <row r="22" spans="4:32" x14ac:dyDescent="0.2">
      <c r="E22" s="111"/>
      <c r="F22" s="111"/>
    </row>
    <row r="23" spans="4:32" x14ac:dyDescent="0.2">
      <c r="E23" s="111"/>
      <c r="F23" s="111"/>
    </row>
    <row r="24" spans="4:32" x14ac:dyDescent="0.2">
      <c r="D24" s="111"/>
      <c r="E24" s="111"/>
      <c r="F24" s="111"/>
    </row>
    <row r="25" spans="4:32" x14ac:dyDescent="0.2">
      <c r="D25" s="111"/>
      <c r="E25" s="111"/>
      <c r="F25" s="111"/>
    </row>
    <row r="26" spans="4:32" ht="12.75" x14ac:dyDescent="0.2">
      <c r="D26" s="126"/>
      <c r="E26" s="127"/>
      <c r="F26" s="111"/>
    </row>
    <row r="27" spans="4:32" ht="12.75" x14ac:dyDescent="0.2">
      <c r="D27" s="126"/>
      <c r="E27" s="127"/>
      <c r="F27" s="111"/>
    </row>
    <row r="28" spans="4:32" x14ac:dyDescent="0.2">
      <c r="D28" s="111"/>
      <c r="E28" s="111"/>
      <c r="F28" s="111"/>
    </row>
    <row r="29" spans="4:32" x14ac:dyDescent="0.2">
      <c r="D29" s="111"/>
      <c r="E29" s="111"/>
      <c r="F29" s="111"/>
    </row>
  </sheetData>
  <phoneticPr fontId="5" type="noConversion"/>
  <pageMargins left="0.5" right="0.5" top="1" bottom="1" header="0.5" footer="0.5"/>
  <pageSetup scale="68" orientation="landscape" r:id="rId1"/>
  <headerFooter alignWithMargins="0">
    <oddFooter>&amp;R&amp;"Arial Narrow,Regular"&amp;8&amp;P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8"/>
  <dimension ref="B1:AF41"/>
  <sheetViews>
    <sheetView showGridLines="0" zoomScaleNormal="100" workbookViewId="0">
      <pane xSplit="2" ySplit="5" topLeftCell="S6" activePane="bottomRight" state="frozen"/>
      <selection activeCell="L36" sqref="L36"/>
      <selection pane="topRight" activeCell="L36" sqref="L36"/>
      <selection pane="bottomLeft" activeCell="L36" sqref="L36"/>
      <selection pane="bottomRight" activeCell="B1" sqref="B1"/>
    </sheetView>
  </sheetViews>
  <sheetFormatPr defaultColWidth="9.140625" defaultRowHeight="12.75" x14ac:dyDescent="0.2"/>
  <cols>
    <col min="1" max="1" width="2.5703125" style="82" customWidth="1"/>
    <col min="2" max="2" width="38.140625" style="82" bestFit="1" customWidth="1"/>
    <col min="3" max="4" width="7.140625" style="82" bestFit="1" customWidth="1"/>
    <col min="5" max="8" width="10.7109375" style="82" bestFit="1" customWidth="1"/>
    <col min="9" max="28" width="11.28515625" style="82" bestFit="1" customWidth="1"/>
    <col min="29" max="29" width="12.5703125" style="82" customWidth="1"/>
    <col min="30" max="31" width="11.140625" style="82" customWidth="1"/>
    <col min="32" max="32" width="10" style="82" customWidth="1"/>
    <col min="33" max="16384" width="9.140625" style="82"/>
  </cols>
  <sheetData>
    <row r="1" spans="2:32" ht="15" x14ac:dyDescent="0.2">
      <c r="B1" s="100"/>
    </row>
    <row r="2" spans="2:32" ht="15" x14ac:dyDescent="0.2">
      <c r="B2" s="100" t="str">
        <f>Inputs!C1</f>
        <v>US 27 PALMETTO Project</v>
      </c>
    </row>
    <row r="3" spans="2:32" ht="15" x14ac:dyDescent="0.2">
      <c r="B3" s="100" t="s">
        <v>64</v>
      </c>
    </row>
    <row r="4" spans="2:32" ht="7.5" customHeight="1" x14ac:dyDescent="0.2">
      <c r="B4" s="128"/>
      <c r="C4" s="128"/>
      <c r="D4" s="128"/>
      <c r="E4" s="128"/>
      <c r="F4" s="128"/>
      <c r="G4" s="128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</row>
    <row r="5" spans="2:32" x14ac:dyDescent="0.2">
      <c r="B5" s="129"/>
      <c r="C5" s="130"/>
      <c r="D5" s="130"/>
      <c r="E5" s="131">
        <v>2020</v>
      </c>
      <c r="F5" s="131">
        <v>2021</v>
      </c>
      <c r="G5" s="131">
        <v>2022</v>
      </c>
      <c r="H5" s="131">
        <v>2023</v>
      </c>
      <c r="I5" s="131">
        <v>2024</v>
      </c>
      <c r="J5" s="131">
        <v>2025</v>
      </c>
      <c r="K5" s="131">
        <v>2026</v>
      </c>
      <c r="L5" s="131">
        <v>2027</v>
      </c>
      <c r="M5" s="131">
        <v>2028</v>
      </c>
      <c r="N5" s="131">
        <v>2029</v>
      </c>
      <c r="O5" s="131">
        <v>2030</v>
      </c>
      <c r="P5" s="131">
        <v>2031</v>
      </c>
      <c r="Q5" s="131">
        <v>2032</v>
      </c>
      <c r="R5" s="131">
        <v>2033</v>
      </c>
      <c r="S5" s="131">
        <v>2034</v>
      </c>
      <c r="T5" s="131">
        <v>2035</v>
      </c>
      <c r="U5" s="131">
        <v>2036</v>
      </c>
      <c r="V5" s="131">
        <v>2037</v>
      </c>
      <c r="W5" s="131">
        <v>2038</v>
      </c>
      <c r="X5" s="131">
        <v>2039</v>
      </c>
      <c r="Y5" s="131">
        <v>2040</v>
      </c>
      <c r="Z5" s="131">
        <v>2041</v>
      </c>
      <c r="AA5" s="131">
        <v>2042</v>
      </c>
      <c r="AB5" s="131">
        <v>2043</v>
      </c>
      <c r="AC5" s="131">
        <v>2044</v>
      </c>
      <c r="AD5" s="131">
        <v>2045</v>
      </c>
      <c r="AE5" s="131">
        <v>2046</v>
      </c>
      <c r="AF5" s="131">
        <v>2047</v>
      </c>
    </row>
    <row r="6" spans="2:32" x14ac:dyDescent="0.2">
      <c r="B6" s="132" t="s">
        <v>169</v>
      </c>
      <c r="C6" s="133"/>
      <c r="D6" s="134"/>
      <c r="E6" s="134"/>
      <c r="F6" s="134"/>
      <c r="G6" s="134"/>
      <c r="H6" s="134"/>
      <c r="I6" s="134"/>
      <c r="J6" s="134"/>
      <c r="K6" s="134"/>
      <c r="L6" s="134"/>
      <c r="M6" s="134">
        <f>Inputs!D60</f>
        <v>137914961.59999999</v>
      </c>
      <c r="N6" s="134">
        <f>(1+(($AD6/$M6)^(1/($AD$5-$M$5))-1))*M6</f>
        <v>139101201.27739206</v>
      </c>
      <c r="O6" s="134">
        <f t="shared" ref="O6:AC6" si="0">(1+(($AD6/$M6)^(1/($AD$5-$M$5))-1))*N6</f>
        <v>140297644.08688739</v>
      </c>
      <c r="P6" s="134">
        <f t="shared" si="0"/>
        <v>141504377.78807342</v>
      </c>
      <c r="Q6" s="134">
        <f t="shared" si="0"/>
        <v>142721490.89537889</v>
      </c>
      <c r="R6" s="134">
        <f t="shared" si="0"/>
        <v>143949072.68456635</v>
      </c>
      <c r="S6" s="134">
        <f t="shared" si="0"/>
        <v>145187213.19928065</v>
      </c>
      <c r="T6" s="134">
        <f t="shared" si="0"/>
        <v>146436003.25765359</v>
      </c>
      <c r="U6" s="134">
        <f t="shared" si="0"/>
        <v>147695534.45896557</v>
      </c>
      <c r="V6" s="134">
        <f t="shared" si="0"/>
        <v>148965899.19036433</v>
      </c>
      <c r="W6" s="134">
        <f t="shared" si="0"/>
        <v>150247190.63364163</v>
      </c>
      <c r="X6" s="134">
        <f t="shared" si="0"/>
        <v>151539502.7720682</v>
      </c>
      <c r="Y6" s="134">
        <f t="shared" si="0"/>
        <v>152842930.39728746</v>
      </c>
      <c r="Z6" s="134">
        <f t="shared" si="0"/>
        <v>154157569.11626846</v>
      </c>
      <c r="AA6" s="134">
        <f t="shared" si="0"/>
        <v>155483515.35831872</v>
      </c>
      <c r="AB6" s="134">
        <f t="shared" si="0"/>
        <v>156820866.38215742</v>
      </c>
      <c r="AC6" s="134">
        <f t="shared" si="0"/>
        <v>158169720.28304932</v>
      </c>
      <c r="AD6" s="134">
        <f>Inputs!E60</f>
        <v>159530176</v>
      </c>
      <c r="AE6" s="134">
        <f>(1+(($AD6/$M6)^(1/($AD$5-$M$5))-1))*AD6</f>
        <v>160902333.32301331</v>
      </c>
      <c r="AF6" s="134">
        <f t="shared" ref="AF6" si="1">(1+(($AD6/$M6)^(1/($AD$5-$M$5))-1))*AE6</f>
        <v>162286292.90041077</v>
      </c>
    </row>
    <row r="7" spans="2:32" s="137" customFormat="1" x14ac:dyDescent="0.2">
      <c r="B7" s="135" t="s">
        <v>32</v>
      </c>
      <c r="C7" s="133"/>
      <c r="D7" s="134"/>
      <c r="E7" s="134"/>
      <c r="F7" s="134"/>
      <c r="G7" s="134"/>
      <c r="H7" s="134"/>
      <c r="I7" s="134"/>
      <c r="J7" s="134"/>
      <c r="K7" s="134"/>
      <c r="L7" s="134"/>
      <c r="M7" s="134">
        <f>Inputs!D61</f>
        <v>141261640</v>
      </c>
      <c r="N7" s="134">
        <f>(1+(($AD7/$M7)^(1/($AD$5-$M$5))-1))*M7</f>
        <v>142701641.73055321</v>
      </c>
      <c r="O7" s="134">
        <f t="shared" ref="O7:AC7" si="2">(1+(($AD7/$M7)^(1/($AD$5-$M$5))-1))*N7</f>
        <v>144156322.64070532</v>
      </c>
      <c r="P7" s="134">
        <f t="shared" si="2"/>
        <v>145625832.36799434</v>
      </c>
      <c r="Q7" s="134">
        <f t="shared" si="2"/>
        <v>147110322.07534277</v>
      </c>
      <c r="R7" s="134">
        <f t="shared" si="2"/>
        <v>148609944.46660718</v>
      </c>
      <c r="S7" s="134">
        <f t="shared" si="2"/>
        <v>150124853.80228621</v>
      </c>
      <c r="T7" s="134">
        <f t="shared" si="2"/>
        <v>151655205.91538879</v>
      </c>
      <c r="U7" s="134">
        <f t="shared" si="2"/>
        <v>153201158.2274642</v>
      </c>
      <c r="V7" s="134">
        <f t="shared" si="2"/>
        <v>154762869.76479524</v>
      </c>
      <c r="W7" s="134">
        <f t="shared" si="2"/>
        <v>156340501.17475682</v>
      </c>
      <c r="X7" s="134">
        <f t="shared" si="2"/>
        <v>157934214.7423411</v>
      </c>
      <c r="Y7" s="134">
        <f t="shared" si="2"/>
        <v>159544174.40685108</v>
      </c>
      <c r="Z7" s="134">
        <f t="shared" si="2"/>
        <v>161170545.77876455</v>
      </c>
      <c r="AA7" s="134">
        <f t="shared" si="2"/>
        <v>162813496.15676966</v>
      </c>
      <c r="AB7" s="134">
        <f t="shared" si="2"/>
        <v>164473194.54497445</v>
      </c>
      <c r="AC7" s="134">
        <f t="shared" si="2"/>
        <v>166149811.67029151</v>
      </c>
      <c r="AD7" s="134">
        <f>Inputs!E61</f>
        <v>167843520</v>
      </c>
      <c r="AE7" s="134">
        <f>(1+(($AD7/$M7)^(1/($AD$5-$M$5))-1))*AD7</f>
        <v>169554493.7594873</v>
      </c>
      <c r="AF7" s="134">
        <f t="shared" ref="AF7" si="3">(1+(($AD7/$M7)^(1/($AD$5-$M$5))-1))*AE7</f>
        <v>171282908.95016989</v>
      </c>
    </row>
    <row r="8" spans="2:32" s="137" customFormat="1" ht="9" customHeight="1" x14ac:dyDescent="0.2">
      <c r="B8" s="81"/>
      <c r="C8" s="133"/>
      <c r="D8" s="133"/>
      <c r="E8" s="133"/>
      <c r="F8" s="133"/>
      <c r="G8" s="133"/>
      <c r="H8" s="138"/>
      <c r="I8" s="138"/>
      <c r="J8" s="138"/>
      <c r="K8" s="138"/>
      <c r="L8" s="138"/>
      <c r="M8" s="138"/>
      <c r="N8" s="138"/>
      <c r="O8" s="138"/>
      <c r="P8" s="138"/>
      <c r="Q8" s="138"/>
      <c r="R8" s="138"/>
      <c r="S8" s="138"/>
      <c r="T8" s="138"/>
      <c r="U8" s="138"/>
      <c r="V8" s="138"/>
      <c r="W8" s="138"/>
      <c r="X8" s="138"/>
      <c r="Y8" s="138"/>
      <c r="Z8" s="138"/>
      <c r="AA8" s="138"/>
      <c r="AB8" s="138"/>
      <c r="AC8" s="136"/>
    </row>
    <row r="9" spans="2:32" s="137" customFormat="1" x14ac:dyDescent="0.2">
      <c r="B9" s="135" t="s">
        <v>34</v>
      </c>
      <c r="C9" s="139" t="s">
        <v>66</v>
      </c>
      <c r="D9" s="139" t="s">
        <v>8</v>
      </c>
      <c r="E9" s="81"/>
      <c r="F9" s="81"/>
      <c r="G9" s="81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</row>
    <row r="10" spans="2:32" s="137" customFormat="1" x14ac:dyDescent="0.2">
      <c r="B10" s="81" t="s">
        <v>170</v>
      </c>
      <c r="C10" s="143">
        <f>+Inputs!D83</f>
        <v>0.01</v>
      </c>
      <c r="D10" s="143">
        <f>Inputs!D93</f>
        <v>3.5999999999999997E-2</v>
      </c>
      <c r="E10" s="81"/>
      <c r="F10" s="81"/>
      <c r="G10" s="81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</row>
    <row r="11" spans="2:32" s="137" customFormat="1" x14ac:dyDescent="0.2">
      <c r="B11" s="81" t="s">
        <v>36</v>
      </c>
      <c r="C11" s="143"/>
      <c r="D11" s="143"/>
      <c r="E11" s="81"/>
      <c r="F11" s="81"/>
      <c r="G11" s="140"/>
      <c r="H11" s="141"/>
      <c r="I11" s="141"/>
      <c r="J11" s="141"/>
      <c r="K11" s="141"/>
      <c r="L11" s="141"/>
      <c r="M11" s="141">
        <f>M6*$C$10*Inputs!$C$67+M6*$D$10*Inputs!$C$68</f>
        <v>1881160.076224</v>
      </c>
      <c r="N11" s="141">
        <f>N6*$C$10*Inputs!$C$67+N6*$D$10*Inputs!$C$68</f>
        <v>1897340.3854236277</v>
      </c>
      <c r="O11" s="141">
        <f>O6*$C$10*Inputs!$C$67+O6*$D$10*Inputs!$C$68</f>
        <v>1913659.8653451439</v>
      </c>
      <c r="P11" s="141">
        <f>P6*$C$10*Inputs!$C$67+P6*$D$10*Inputs!$C$68</f>
        <v>1930119.7130293215</v>
      </c>
      <c r="Q11" s="141">
        <f>Q6*$C$10*Inputs!$C$67+Q6*$D$10*Inputs!$C$68</f>
        <v>1946721.135812968</v>
      </c>
      <c r="R11" s="141">
        <f>R6*$C$10*Inputs!$C$67+R6*$D$10*Inputs!$C$68</f>
        <v>1963465.3514174852</v>
      </c>
      <c r="S11" s="141">
        <f>S6*$C$10*Inputs!$C$67+S6*$D$10*Inputs!$C$68</f>
        <v>1980353.5880381879</v>
      </c>
      <c r="T11" s="141">
        <f>T6*$C$10*Inputs!$C$67+T6*$D$10*Inputs!$C$68</f>
        <v>1997387.0844343952</v>
      </c>
      <c r="U11" s="141">
        <f>U6*$C$10*Inputs!$C$67+U6*$D$10*Inputs!$C$68</f>
        <v>2014567.0900202903</v>
      </c>
      <c r="V11" s="141">
        <f>V6*$C$10*Inputs!$C$67+V6*$D$10*Inputs!$C$68</f>
        <v>2031894.8649565694</v>
      </c>
      <c r="W11" s="141">
        <f>W6*$C$10*Inputs!$C$67+W6*$D$10*Inputs!$C$68</f>
        <v>2049371.6802428716</v>
      </c>
      <c r="X11" s="141">
        <f>X6*$C$10*Inputs!$C$67+X6*$D$10*Inputs!$C$68</f>
        <v>2066998.8178110104</v>
      </c>
      <c r="Y11" s="141">
        <f>Y6*$C$10*Inputs!$C$67+Y6*$D$10*Inputs!$C$68</f>
        <v>2084777.5706190008</v>
      </c>
      <c r="Z11" s="141">
        <f>Z6*$C$10*Inputs!$C$67+Z6*$D$10*Inputs!$C$68</f>
        <v>2102709.2427459019</v>
      </c>
      <c r="AA11" s="141">
        <f>AA6*$C$10*Inputs!$C$67+AA6*$D$10*Inputs!$C$68</f>
        <v>2120795.1494874675</v>
      </c>
      <c r="AB11" s="141">
        <f>AB6*$C$10*Inputs!$C$67+AB6*$D$10*Inputs!$C$68</f>
        <v>2139036.617452627</v>
      </c>
      <c r="AC11" s="141">
        <f>AC6*$C$10*Inputs!$C$67+AC6*$D$10*Inputs!$C$68</f>
        <v>2157434.9846607926</v>
      </c>
      <c r="AD11" s="141">
        <f>AD6*$C$10*Inputs!$C$67+AD6*$D$10*Inputs!$C$68</f>
        <v>2175991.6006399998</v>
      </c>
      <c r="AE11" s="141">
        <f>AE6*$C$10*Inputs!$C$67+AE6*$D$10*Inputs!$C$68</f>
        <v>2194707.8265259014</v>
      </c>
      <c r="AF11" s="141">
        <f>AF6*$C$10*Inputs!$C$67+AF6*$D$10*Inputs!$C$68</f>
        <v>2213585.0351616032</v>
      </c>
    </row>
    <row r="12" spans="2:32" s="137" customFormat="1" x14ac:dyDescent="0.2">
      <c r="B12" s="81" t="s">
        <v>35</v>
      </c>
      <c r="C12" s="143"/>
      <c r="D12" s="143"/>
      <c r="E12" s="81"/>
      <c r="F12" s="81"/>
      <c r="G12" s="140"/>
      <c r="H12" s="141"/>
      <c r="I12" s="141"/>
      <c r="J12" s="141"/>
      <c r="K12" s="141"/>
      <c r="L12" s="141"/>
      <c r="M12" s="141">
        <f>M7*$C$10*Inputs!$C$67+M7*$D$10*Inputs!$C$68</f>
        <v>1926808.7696000002</v>
      </c>
      <c r="N12" s="141">
        <f>N7*$C$10*Inputs!$C$67+N7*$D$10*Inputs!$C$68</f>
        <v>1946450.3932047458</v>
      </c>
      <c r="O12" s="141">
        <f>O7*$C$10*Inputs!$C$67+O7*$D$10*Inputs!$C$68</f>
        <v>1966292.2408192207</v>
      </c>
      <c r="P12" s="141">
        <f>P7*$C$10*Inputs!$C$67+P7*$D$10*Inputs!$C$68</f>
        <v>1986336.3534994428</v>
      </c>
      <c r="Q12" s="141">
        <f>Q7*$C$10*Inputs!$C$67+Q7*$D$10*Inputs!$C$68</f>
        <v>2006584.7931076754</v>
      </c>
      <c r="R12" s="141">
        <f>R7*$C$10*Inputs!$C$67+R7*$D$10*Inputs!$C$68</f>
        <v>2027039.6425245218</v>
      </c>
      <c r="S12" s="141">
        <f>S7*$C$10*Inputs!$C$67+S7*$D$10*Inputs!$C$68</f>
        <v>2047703.0058631836</v>
      </c>
      <c r="T12" s="141">
        <f>T7*$C$10*Inputs!$C$67+T7*$D$10*Inputs!$C$68</f>
        <v>2068577.0086859032</v>
      </c>
      <c r="U12" s="141">
        <f>U7*$C$10*Inputs!$C$67+U7*$D$10*Inputs!$C$68</f>
        <v>2089663.7982226117</v>
      </c>
      <c r="V12" s="141">
        <f>V7*$C$10*Inputs!$C$67+V7*$D$10*Inputs!$C$68</f>
        <v>2110965.5435918071</v>
      </c>
      <c r="W12" s="141">
        <f>W7*$C$10*Inputs!$C$67+W7*$D$10*Inputs!$C$68</f>
        <v>2132484.4360236833</v>
      </c>
      <c r="X12" s="141">
        <f>X7*$C$10*Inputs!$C$67+X7*$D$10*Inputs!$C$68</f>
        <v>2154222.6890855324</v>
      </c>
      <c r="Y12" s="141">
        <f>Y7*$C$10*Inputs!$C$67+Y7*$D$10*Inputs!$C$68</f>
        <v>2176182.5389094488</v>
      </c>
      <c r="Z12" s="141">
        <f>Z7*$C$10*Inputs!$C$67+Z7*$D$10*Inputs!$C$68</f>
        <v>2198366.2444223482</v>
      </c>
      <c r="AA12" s="141">
        <f>AA7*$C$10*Inputs!$C$67+AA7*$D$10*Inputs!$C$68</f>
        <v>2220776.0875783386</v>
      </c>
      <c r="AB12" s="141">
        <f>AB7*$C$10*Inputs!$C$67+AB7*$D$10*Inputs!$C$68</f>
        <v>2243414.3735934515</v>
      </c>
      <c r="AC12" s="141">
        <f>AC7*$C$10*Inputs!$C$67+AC7*$D$10*Inputs!$C$68</f>
        <v>2266283.4311827761</v>
      </c>
      <c r="AD12" s="141">
        <f>AD7*$C$10*Inputs!$C$67+AD7*$D$10*Inputs!$C$68</f>
        <v>2289385.6127999998</v>
      </c>
      <c r="AE12" s="141">
        <f>AE7*$C$10*Inputs!$C$67+AE7*$D$10*Inputs!$C$68</f>
        <v>2312723.2948794067</v>
      </c>
      <c r="AF12" s="141">
        <f>AF7*$C$10*Inputs!$C$67+AF7*$D$10*Inputs!$C$68</f>
        <v>2336298.8780803173</v>
      </c>
    </row>
    <row r="13" spans="2:32" s="137" customFormat="1" x14ac:dyDescent="0.2">
      <c r="B13" s="81" t="s">
        <v>171</v>
      </c>
      <c r="C13" s="143">
        <f>Inputs!D84</f>
        <v>0.22226666666666667</v>
      </c>
      <c r="D13" s="408">
        <v>0</v>
      </c>
      <c r="E13" s="81"/>
      <c r="F13" s="81"/>
      <c r="G13" s="140"/>
      <c r="H13" s="141"/>
      <c r="I13" s="141"/>
      <c r="J13" s="141"/>
      <c r="K13" s="141"/>
      <c r="L13" s="141"/>
      <c r="M13" s="141"/>
      <c r="N13" s="141"/>
      <c r="O13" s="141"/>
      <c r="P13" s="141"/>
      <c r="Q13" s="141"/>
      <c r="R13" s="141"/>
      <c r="S13" s="141"/>
      <c r="T13" s="141"/>
      <c r="U13" s="141"/>
      <c r="V13" s="141"/>
      <c r="W13" s="141"/>
      <c r="X13" s="141"/>
      <c r="Y13" s="141"/>
      <c r="Z13" s="141"/>
      <c r="AA13" s="141"/>
      <c r="AB13" s="141"/>
      <c r="AC13" s="142"/>
    </row>
    <row r="14" spans="2:32" s="137" customFormat="1" x14ac:dyDescent="0.2">
      <c r="B14" s="81" t="s">
        <v>36</v>
      </c>
      <c r="C14" s="160">
        <v>1</v>
      </c>
      <c r="D14" s="143"/>
      <c r="E14" s="81"/>
      <c r="F14" s="81"/>
      <c r="G14" s="140"/>
      <c r="H14" s="140"/>
      <c r="I14" s="140"/>
      <c r="J14" s="140"/>
      <c r="K14" s="140"/>
      <c r="L14" s="140"/>
      <c r="M14" s="140">
        <f>(M6*$C$13*Inputs!$C$67+M6*$D$13*Inputs!$C$68)*$C$14</f>
        <v>26362352.966532268</v>
      </c>
      <c r="N14" s="140">
        <f>(N6*$C$13*Inputs!$C$67+N6*$D$13*Inputs!$C$68)*$C$14</f>
        <v>26589101.890039306</v>
      </c>
      <c r="O14" s="140">
        <f>(O6*$C$13*Inputs!$C$67+O6*$D$13*Inputs!$C$68)*$C$14</f>
        <v>26817801.1354458</v>
      </c>
      <c r="P14" s="140">
        <f>(P6*$C$13*Inputs!$C$67+P6*$D$13*Inputs!$C$68)*$C$14</f>
        <v>27048467.477938376</v>
      </c>
      <c r="Q14" s="140">
        <f>(Q6*$C$13*Inputs!$C$67+Q6*$D$13*Inputs!$C$68)*$C$14</f>
        <v>27281117.836991075</v>
      </c>
      <c r="R14" s="140">
        <f>(R6*$C$13*Inputs!$C$67+R6*$D$13*Inputs!$C$68)*$C$14</f>
        <v>27515769.277606398</v>
      </c>
      <c r="S14" s="140">
        <f>(S6*$C$13*Inputs!$C$67+S6*$D$13*Inputs!$C$68)*$C$14</f>
        <v>27752439.01156703</v>
      </c>
      <c r="T14" s="140">
        <f>(T6*$C$13*Inputs!$C$67+T6*$D$13*Inputs!$C$68)*$C$14</f>
        <v>27991144.398698311</v>
      </c>
      <c r="U14" s="140">
        <f>(U6*$C$13*Inputs!$C$67+U6*$D$13*Inputs!$C$68)*$C$14</f>
        <v>28231902.948141631</v>
      </c>
      <c r="V14" s="140">
        <f>(V6*$C$13*Inputs!$C$67+V6*$D$13*Inputs!$C$68)*$C$14</f>
        <v>28474732.319638681</v>
      </c>
      <c r="W14" s="140">
        <f>(W6*$C$13*Inputs!$C$67+W6*$D$13*Inputs!$C$68)*$C$14</f>
        <v>28719650.32482684</v>
      </c>
      <c r="X14" s="140">
        <f>(X6*$C$13*Inputs!$C$67+X6*$D$13*Inputs!$C$68)*$C$14</f>
        <v>28966674.928545654</v>
      </c>
      <c r="Y14" s="140">
        <f>(Y6*$C$13*Inputs!$C$67+Y6*$D$13*Inputs!$C$68)*$C$14</f>
        <v>29215824.250154562</v>
      </c>
      <c r="Z14" s="140">
        <f>(Z6*$C$13*Inputs!$C$67+Z6*$D$13*Inputs!$C$68)*$C$14</f>
        <v>29467116.564861968</v>
      </c>
      <c r="AA14" s="140">
        <f>(AA6*$C$13*Inputs!$C$67+AA6*$D$13*Inputs!$C$68)*$C$14</f>
        <v>29720570.305065718</v>
      </c>
      <c r="AB14" s="140">
        <f>(AB6*$C$13*Inputs!$C$67+AB6*$D$13*Inputs!$C$68)*$C$14</f>
        <v>29976204.061705139</v>
      </c>
      <c r="AC14" s="140">
        <f>(AC6*$C$13*Inputs!$C$67+AC6*$D$13*Inputs!$C$68)*$C$14</f>
        <v>30234036.585624691</v>
      </c>
      <c r="AD14" s="140">
        <f>(AD6*$C$13*Inputs!$C$67+AD6*$D$13*Inputs!$C$68)*$C$14</f>
        <v>30494086.788949329</v>
      </c>
      <c r="AE14" s="140">
        <f>(AE6*$C$13*Inputs!$C$67+AE6*$D$13*Inputs!$C$68)*$C$14</f>
        <v>30756373.746471778</v>
      </c>
      <c r="AF14" s="140">
        <f>(AF6*$C$13*Inputs!$C$67+AF6*$D$13*Inputs!$C$68)*$C$14</f>
        <v>31020916.697051588</v>
      </c>
    </row>
    <row r="15" spans="2:32" s="137" customFormat="1" x14ac:dyDescent="0.2">
      <c r="B15" s="81" t="s">
        <v>35</v>
      </c>
      <c r="C15" s="143"/>
      <c r="D15" s="143"/>
      <c r="E15" s="81"/>
      <c r="F15" s="81"/>
      <c r="G15" s="140"/>
      <c r="H15" s="140"/>
      <c r="I15" s="140"/>
      <c r="J15" s="140"/>
      <c r="K15" s="140"/>
      <c r="L15" s="140"/>
      <c r="M15" s="140">
        <f>(M7*$C$13*Inputs!$C$67+M7*$D$13*Inputs!$C$68)*$C$14</f>
        <v>27002068.311573334</v>
      </c>
      <c r="N15" s="140">
        <f>(N7*$C$13*Inputs!$C$67+N7*$D$13*Inputs!$C$68)*$C$14</f>
        <v>27277323.682367425</v>
      </c>
      <c r="O15" s="140">
        <f>(O7*$C$13*Inputs!$C$67+O7*$D$13*Inputs!$C$68)*$C$14</f>
        <v>27555384.968555726</v>
      </c>
      <c r="P15" s="140">
        <f>(P7*$C$13*Inputs!$C$67+P7*$D$13*Inputs!$C$68)*$C$14</f>
        <v>27836280.773253873</v>
      </c>
      <c r="Q15" s="140">
        <f>(Q7*$C$13*Inputs!$C$67+Q7*$D$13*Inputs!$C$68)*$C$14</f>
        <v>28120039.991153721</v>
      </c>
      <c r="R15" s="140">
        <f>(R7*$C$13*Inputs!$C$67+R7*$D$13*Inputs!$C$68)*$C$14</f>
        <v>28406691.811495654</v>
      </c>
      <c r="S15" s="140">
        <f>(S7*$C$13*Inputs!$C$67+S7*$D$13*Inputs!$C$68)*$C$14</f>
        <v>28696265.721071139</v>
      </c>
      <c r="T15" s="140">
        <f>(T7*$C$13*Inputs!$C$67+T7*$D$13*Inputs!$C$68)*$C$14</f>
        <v>28988791.507255953</v>
      </c>
      <c r="U15" s="140">
        <f>(U7*$C$13*Inputs!$C$67+U7*$D$13*Inputs!$C$68)*$C$14</f>
        <v>29284299.261074293</v>
      </c>
      <c r="V15" s="140">
        <f>(V7*$C$13*Inputs!$C$67+V7*$D$13*Inputs!$C$68)*$C$14</f>
        <v>29582819.380294103</v>
      </c>
      <c r="W15" s="140">
        <f>(W7*$C$13*Inputs!$C$67+W7*$D$13*Inputs!$C$68)*$C$14</f>
        <v>29884382.572553981</v>
      </c>
      <c r="X15" s="140">
        <f>(X7*$C$13*Inputs!$C$67+X7*$D$13*Inputs!$C$68)*$C$14</f>
        <v>30189019.858522005</v>
      </c>
      <c r="Y15" s="140">
        <f>(Y7*$C$13*Inputs!$C$67+Y7*$D$13*Inputs!$C$68)*$C$14</f>
        <v>30496762.57508665</v>
      </c>
      <c r="Z15" s="140">
        <f>(Z7*$C$13*Inputs!$C$67+Z7*$D$13*Inputs!$C$68)*$C$14</f>
        <v>30807642.378580324</v>
      </c>
      <c r="AA15" s="140">
        <f>(AA7*$C$13*Inputs!$C$67+AA7*$D$13*Inputs!$C$68)*$C$14</f>
        <v>31121691.248035751</v>
      </c>
      <c r="AB15" s="140">
        <f>(AB7*$C$13*Inputs!$C$67+AB7*$D$13*Inputs!$C$68)*$C$14</f>
        <v>31438941.488475505</v>
      </c>
      <c r="AC15" s="140">
        <f>(AC7*$C$13*Inputs!$C$67+AC7*$D$13*Inputs!$C$68)*$C$14</f>
        <v>31759425.734235108</v>
      </c>
      <c r="AD15" s="140">
        <f>(AD7*$C$13*Inputs!$C$67+AD7*$D$13*Inputs!$C$68)*$C$14</f>
        <v>32083176.952319998</v>
      </c>
      <c r="AE15" s="140">
        <f>(AE7*$C$13*Inputs!$C$67+AE7*$D$13*Inputs!$C$68)*$C$14</f>
        <v>32410228.445796825</v>
      </c>
      <c r="AF15" s="140">
        <f>(AF7*$C$13*Inputs!$C$67+AF7*$D$13*Inputs!$C$68)*$C$14</f>
        <v>32740613.857219011</v>
      </c>
    </row>
    <row r="16" spans="2:32" s="137" customFormat="1" x14ac:dyDescent="0.2">
      <c r="B16" s="81" t="s">
        <v>172</v>
      </c>
      <c r="C16" s="143">
        <f>Inputs!D85</f>
        <v>7.9399999999999998E-2</v>
      </c>
      <c r="D16" s="143">
        <f>Inputs!D95</f>
        <v>0.14299999999999999</v>
      </c>
      <c r="E16" s="81"/>
      <c r="F16" s="81"/>
      <c r="G16" s="140"/>
      <c r="H16" s="141"/>
      <c r="I16" s="141"/>
      <c r="J16" s="141"/>
      <c r="K16" s="141"/>
      <c r="L16" s="141"/>
      <c r="M16" s="141"/>
      <c r="N16" s="141"/>
      <c r="O16" s="141"/>
      <c r="P16" s="141"/>
      <c r="Q16" s="141"/>
      <c r="R16" s="141"/>
      <c r="S16" s="141"/>
      <c r="T16" s="141"/>
      <c r="U16" s="141"/>
      <c r="V16" s="141"/>
      <c r="W16" s="141"/>
      <c r="X16" s="141"/>
      <c r="Y16" s="141"/>
      <c r="Z16" s="141"/>
      <c r="AA16" s="141"/>
      <c r="AB16" s="141"/>
      <c r="AC16" s="142"/>
    </row>
    <row r="17" spans="2:32" s="137" customFormat="1" x14ac:dyDescent="0.2">
      <c r="B17" s="81" t="s">
        <v>36</v>
      </c>
      <c r="C17" s="139"/>
      <c r="D17" s="139"/>
      <c r="E17" s="81"/>
      <c r="F17" s="81"/>
      <c r="G17" s="140"/>
      <c r="H17" s="141"/>
      <c r="I17" s="141"/>
      <c r="J17" s="141"/>
      <c r="K17" s="141"/>
      <c r="L17" s="141"/>
      <c r="M17" s="141">
        <f>M6*$C$16*Inputs!$C$67+M6*$D$16*Inputs!$C$68</f>
        <v>12178442.769126398</v>
      </c>
      <c r="N17" s="141">
        <f>N6*$C$16*Inputs!$C$67+N6*$D$16*Inputs!$C$68</f>
        <v>12283192.477598827</v>
      </c>
      <c r="O17" s="141">
        <f>O6*$C$16*Inputs!$C$67+O6*$D$16*Inputs!$C$68</f>
        <v>12388843.163448503</v>
      </c>
      <c r="P17" s="141">
        <f>P6*$C$16*Inputs!$C$67+P6*$D$16*Inputs!$C$68</f>
        <v>12495402.576198034</v>
      </c>
      <c r="Q17" s="141">
        <f>Q6*$C$16*Inputs!$C$67+Q6*$D$16*Inputs!$C$68</f>
        <v>12602878.532025537</v>
      </c>
      <c r="R17" s="141">
        <f>R6*$C$16*Inputs!$C$67+R6*$D$16*Inputs!$C$68</f>
        <v>12711278.914337946</v>
      </c>
      <c r="S17" s="141">
        <f>S6*$C$16*Inputs!$C$67+S6*$D$16*Inputs!$C$68</f>
        <v>12820611.674349278</v>
      </c>
      <c r="T17" s="141">
        <f>T6*$C$16*Inputs!$C$67+T6*$D$16*Inputs!$C$68</f>
        <v>12930884.831663843</v>
      </c>
      <c r="U17" s="141">
        <f>U6*$C$16*Inputs!$C$67+U6*$D$16*Inputs!$C$68</f>
        <v>13042106.474864496</v>
      </c>
      <c r="V17" s="141">
        <f>V6*$C$16*Inputs!$C$67+V6*$D$16*Inputs!$C$68</f>
        <v>13154284.762105932</v>
      </c>
      <c r="W17" s="141">
        <f>W6*$C$16*Inputs!$C$67+W6*$D$16*Inputs!$C$68</f>
        <v>13267427.92171309</v>
      </c>
      <c r="X17" s="141">
        <f>X6*$C$16*Inputs!$C$67+X6*$D$16*Inputs!$C$68</f>
        <v>13381544.25278471</v>
      </c>
      <c r="Y17" s="141">
        <f>Y6*$C$16*Inputs!$C$67+Y6*$D$16*Inputs!$C$68</f>
        <v>13496642.125802072</v>
      </c>
      <c r="Z17" s="141">
        <f>Z6*$C$16*Inputs!$C$67+Z6*$D$16*Inputs!$C$68</f>
        <v>13612729.98324297</v>
      </c>
      <c r="AA17" s="141">
        <f>AA6*$C$16*Inputs!$C$67+AA6*$D$16*Inputs!$C$68</f>
        <v>13729816.340200976</v>
      </c>
      <c r="AB17" s="141">
        <f>AB6*$C$16*Inputs!$C$67+AB6*$D$16*Inputs!$C$68</f>
        <v>13847909.785010029</v>
      </c>
      <c r="AC17" s="141">
        <f>AC6*$C$16*Inputs!$C$67+AC6*$D$16*Inputs!$C$68</f>
        <v>13967018.979874387</v>
      </c>
      <c r="AD17" s="141">
        <f>AD6*$C$16*Inputs!$C$67+AD6*$D$16*Inputs!$C$68</f>
        <v>14087152.661504</v>
      </c>
      <c r="AE17" s="141">
        <f>AE6*$C$16*Inputs!$C$67+AE6*$D$16*Inputs!$C$68</f>
        <v>14208319.641755367</v>
      </c>
      <c r="AF17" s="141">
        <f>AF6*$C$16*Inputs!$C$67+AF6*$D$16*Inputs!$C$68</f>
        <v>14330528.808277873</v>
      </c>
    </row>
    <row r="18" spans="2:32" s="137" customFormat="1" x14ac:dyDescent="0.2">
      <c r="B18" s="81" t="s">
        <v>35</v>
      </c>
      <c r="C18" s="139"/>
      <c r="D18" s="139"/>
      <c r="E18" s="81"/>
      <c r="F18" s="81"/>
      <c r="G18" s="140"/>
      <c r="H18" s="141"/>
      <c r="I18" s="141"/>
      <c r="J18" s="141"/>
      <c r="K18" s="141"/>
      <c r="L18" s="141"/>
      <c r="M18" s="141">
        <f>M7*$C$16*Inputs!$C$67+M7*$D$16*Inputs!$C$68</f>
        <v>12473967.85856</v>
      </c>
      <c r="N18" s="141">
        <f>N7*$C$16*Inputs!$C$67+N7*$D$16*Inputs!$C$68</f>
        <v>12601125.771374771</v>
      </c>
      <c r="O18" s="141">
        <f>O7*$C$16*Inputs!$C$67+O7*$D$16*Inputs!$C$68</f>
        <v>12729579.914464843</v>
      </c>
      <c r="P18" s="141">
        <f>P7*$C$16*Inputs!$C$67+P7*$D$16*Inputs!$C$68</f>
        <v>12859343.501423372</v>
      </c>
      <c r="Q18" s="141">
        <f>Q7*$C$16*Inputs!$C$67+Q7*$D$16*Inputs!$C$68</f>
        <v>12990429.880541068</v>
      </c>
      <c r="R18" s="141">
        <f>R7*$C$16*Inputs!$C$67+R7*$D$16*Inputs!$C$68</f>
        <v>13122852.53617928</v>
      </c>
      <c r="S18" s="141">
        <f>S7*$C$16*Inputs!$C$67+S7*$D$16*Inputs!$C$68</f>
        <v>13256625.09015708</v>
      </c>
      <c r="T18" s="141">
        <f>T7*$C$16*Inputs!$C$67+T7*$D$16*Inputs!$C$68</f>
        <v>13391761.30315249</v>
      </c>
      <c r="U18" s="141">
        <f>U7*$C$16*Inputs!$C$67+U7*$D$16*Inputs!$C$68</f>
        <v>13528275.076118</v>
      </c>
      <c r="V18" s="141">
        <f>V7*$C$16*Inputs!$C$67+V7*$D$16*Inputs!$C$68</f>
        <v>13666180.451710479</v>
      </c>
      <c r="W18" s="141">
        <f>W7*$C$16*Inputs!$C$67+W7*$D$16*Inputs!$C$68</f>
        <v>13805491.615735726</v>
      </c>
      <c r="X18" s="141">
        <f>X7*$C$16*Inputs!$C$67+X7*$D$16*Inputs!$C$68</f>
        <v>13946222.898607688</v>
      </c>
      <c r="Y18" s="141">
        <f>Y7*$C$16*Inputs!$C$67+Y7*$D$16*Inputs!$C$68</f>
        <v>14088388.776822578</v>
      </c>
      <c r="Z18" s="141">
        <f>Z7*$C$16*Inputs!$C$67+Z7*$D$16*Inputs!$C$68</f>
        <v>14232003.874448024</v>
      </c>
      <c r="AA18" s="141">
        <f>AA7*$C$16*Inputs!$C$67+AA7*$D$16*Inputs!$C$68</f>
        <v>14377082.964627387</v>
      </c>
      <c r="AB18" s="141">
        <f>AB7*$C$16*Inputs!$C$67+AB7*$D$16*Inputs!$C$68</f>
        <v>14523640.971099423</v>
      </c>
      <c r="AC18" s="141">
        <f>AC7*$C$16*Inputs!$C$67+AC7*$D$16*Inputs!$C$68</f>
        <v>14671692.969733421</v>
      </c>
      <c r="AD18" s="141">
        <f>AD7*$C$16*Inputs!$C$67+AD7*$D$16*Inputs!$C$68</f>
        <v>14821254.19008</v>
      </c>
      <c r="AE18" s="141">
        <f>AE7*$C$16*Inputs!$C$67+AE7*$D$16*Inputs!$C$68</f>
        <v>14972340.016937766</v>
      </c>
      <c r="AF18" s="141">
        <f>AF7*$C$16*Inputs!$C$67+AF7*$D$16*Inputs!$C$68</f>
        <v>15124965.991935801</v>
      </c>
    </row>
    <row r="19" spans="2:32" s="137" customFormat="1" x14ac:dyDescent="0.2">
      <c r="B19" s="81" t="s">
        <v>61</v>
      </c>
      <c r="C19" s="408">
        <v>0</v>
      </c>
      <c r="D19" s="143">
        <f>Inputs!D96</f>
        <v>6.8000000000000005E-2</v>
      </c>
      <c r="E19" s="81"/>
      <c r="F19" s="81"/>
      <c r="G19" s="140"/>
      <c r="H19" s="141"/>
      <c r="I19" s="141"/>
      <c r="J19" s="141"/>
      <c r="K19" s="141"/>
      <c r="L19" s="141"/>
      <c r="M19" s="141"/>
      <c r="N19" s="141"/>
      <c r="O19" s="141"/>
      <c r="P19" s="141"/>
      <c r="Q19" s="141"/>
      <c r="R19" s="141"/>
      <c r="S19" s="141"/>
      <c r="T19" s="141"/>
      <c r="U19" s="141"/>
      <c r="V19" s="141"/>
      <c r="W19" s="141"/>
      <c r="X19" s="141"/>
      <c r="Y19" s="141"/>
      <c r="Z19" s="141"/>
      <c r="AA19" s="141"/>
      <c r="AB19" s="141"/>
      <c r="AC19" s="142"/>
    </row>
    <row r="20" spans="2:32" s="137" customFormat="1" x14ac:dyDescent="0.2">
      <c r="B20" s="81" t="s">
        <v>36</v>
      </c>
      <c r="C20" s="145">
        <v>0.5</v>
      </c>
      <c r="D20" s="139"/>
      <c r="E20" s="81"/>
      <c r="F20" s="81"/>
      <c r="G20" s="140"/>
      <c r="H20" s="141"/>
      <c r="I20" s="141"/>
      <c r="J20" s="141"/>
      <c r="K20" s="141"/>
      <c r="L20" s="141"/>
      <c r="M20" s="141">
        <f>(M6*$C$19*Inputs!$C$67+M6*$D$19*Inputs!$C$68)*$C$20</f>
        <v>656475.21721600008</v>
      </c>
      <c r="N20" s="141">
        <f>(N6*$C$19*Inputs!$C$67+N6*$D$19*Inputs!$C$68)*$C$20</f>
        <v>662121.71808038629</v>
      </c>
      <c r="O20" s="141">
        <f>(O6*$C$19*Inputs!$C$67+O6*$D$19*Inputs!$C$68)*$C$20</f>
        <v>667816.78585358406</v>
      </c>
      <c r="P20" s="141">
        <f>(P6*$C$19*Inputs!$C$67+P6*$D$19*Inputs!$C$68)*$C$20</f>
        <v>673560.83827122964</v>
      </c>
      <c r="Q20" s="141">
        <f>(Q6*$C$19*Inputs!$C$67+Q6*$D$19*Inputs!$C$68)*$C$20</f>
        <v>679354.29666200362</v>
      </c>
      <c r="R20" s="141">
        <f>(R6*$C$19*Inputs!$C$67+R6*$D$19*Inputs!$C$68)*$C$20</f>
        <v>685197.58597853594</v>
      </c>
      <c r="S20" s="141">
        <f>(S6*$C$19*Inputs!$C$67+S6*$D$19*Inputs!$C$68)*$C$20</f>
        <v>691091.134828576</v>
      </c>
      <c r="T20" s="141">
        <f>(T6*$C$19*Inputs!$C$67+T6*$D$19*Inputs!$C$68)*$C$20</f>
        <v>697035.37550643121</v>
      </c>
      <c r="U20" s="141">
        <f>(U6*$C$19*Inputs!$C$67+U6*$D$19*Inputs!$C$68)*$C$20</f>
        <v>703030.74402467627</v>
      </c>
      <c r="V20" s="141">
        <f>(V6*$C$19*Inputs!$C$67+V6*$D$19*Inputs!$C$68)*$C$20</f>
        <v>709077.68014613434</v>
      </c>
      <c r="W20" s="141">
        <f>(W6*$C$19*Inputs!$C$67+W6*$D$19*Inputs!$C$68)*$C$20</f>
        <v>715176.62741613423</v>
      </c>
      <c r="X20" s="141">
        <f>(X6*$C$19*Inputs!$C$67+X6*$D$19*Inputs!$C$68)*$C$20</f>
        <v>721328.03319504485</v>
      </c>
      <c r="Y20" s="141">
        <f>(Y6*$C$19*Inputs!$C$67+Y6*$D$19*Inputs!$C$68)*$C$20</f>
        <v>727532.3486910885</v>
      </c>
      <c r="Z20" s="141">
        <f>(Z6*$C$19*Inputs!$C$67+Z6*$D$19*Inputs!$C$68)*$C$20</f>
        <v>733790.028993438</v>
      </c>
      <c r="AA20" s="141">
        <f>(AA6*$C$19*Inputs!$C$67+AA6*$D$19*Inputs!$C$68)*$C$20</f>
        <v>740101.53310559725</v>
      </c>
      <c r="AB20" s="141">
        <f>(AB6*$C$19*Inputs!$C$67+AB6*$D$19*Inputs!$C$68)*$C$20</f>
        <v>746467.32397906948</v>
      </c>
      <c r="AC20" s="141">
        <f>(AC6*$C$19*Inputs!$C$67+AC6*$D$19*Inputs!$C$68)*$C$20</f>
        <v>752887.86854731489</v>
      </c>
      <c r="AD20" s="141">
        <f>(AD6*$C$19*Inputs!$C$67+AD6*$D$19*Inputs!$C$68)*$C$20</f>
        <v>759363.63776000007</v>
      </c>
      <c r="AE20" s="141">
        <f>(AE6*$C$19*Inputs!$C$67+AE6*$D$19*Inputs!$C$68)*$C$20</f>
        <v>765895.10661754338</v>
      </c>
      <c r="AF20" s="141">
        <f>(AF6*$C$19*Inputs!$C$67+AF6*$D$19*Inputs!$C$68)*$C$20</f>
        <v>772482.75420595543</v>
      </c>
    </row>
    <row r="21" spans="2:32" s="137" customFormat="1" x14ac:dyDescent="0.2">
      <c r="B21" s="81" t="s">
        <v>35</v>
      </c>
      <c r="C21" s="139"/>
      <c r="D21" s="139"/>
      <c r="E21" s="81"/>
      <c r="F21" s="81"/>
      <c r="G21" s="140"/>
      <c r="H21" s="141"/>
      <c r="I21" s="141"/>
      <c r="J21" s="141"/>
      <c r="K21" s="141"/>
      <c r="L21" s="141"/>
      <c r="M21" s="141">
        <f>(M7*$C$19*Inputs!$C$67+M7*$D$19*Inputs!$C$68)*$C$20</f>
        <v>672405.40640000021</v>
      </c>
      <c r="N21" s="141">
        <f>(N7*$C$19*Inputs!$C$67+N7*$D$19*Inputs!$C$68)*$C$20</f>
        <v>679259.81463743339</v>
      </c>
      <c r="O21" s="141">
        <f>(O7*$C$19*Inputs!$C$67+O7*$D$19*Inputs!$C$68)*$C$20</f>
        <v>686184.0957697574</v>
      </c>
      <c r="P21" s="141">
        <f>(P7*$C$19*Inputs!$C$67+P7*$D$19*Inputs!$C$68)*$C$20</f>
        <v>693178.96207165322</v>
      </c>
      <c r="Q21" s="141">
        <f>(Q7*$C$19*Inputs!$C$67+Q7*$D$19*Inputs!$C$68)*$C$20</f>
        <v>700245.13307863171</v>
      </c>
      <c r="R21" s="141">
        <f>(R7*$C$19*Inputs!$C$67+R7*$D$19*Inputs!$C$68)*$C$20</f>
        <v>707383.3356610504</v>
      </c>
      <c r="S21" s="141">
        <f>(S7*$C$19*Inputs!$C$67+S7*$D$19*Inputs!$C$68)*$C$20</f>
        <v>714594.30409888248</v>
      </c>
      <c r="T21" s="141">
        <f>(T7*$C$19*Inputs!$C$67+T7*$D$19*Inputs!$C$68)*$C$20</f>
        <v>721878.78015725082</v>
      </c>
      <c r="U21" s="141">
        <f>(U7*$C$19*Inputs!$C$67+U7*$D$19*Inputs!$C$68)*$C$20</f>
        <v>729237.51316272968</v>
      </c>
      <c r="V21" s="141">
        <f>(V7*$C$19*Inputs!$C$67+V7*$D$19*Inputs!$C$68)*$C$20</f>
        <v>736671.26008042542</v>
      </c>
      <c r="W21" s="141">
        <f>(W7*$C$19*Inputs!$C$67+W7*$D$19*Inputs!$C$68)*$C$20</f>
        <v>744180.78559184261</v>
      </c>
      <c r="X21" s="141">
        <f>(X7*$C$19*Inputs!$C$67+X7*$D$19*Inputs!$C$68)*$C$20</f>
        <v>751766.86217354378</v>
      </c>
      <c r="Y21" s="141">
        <f>(Y7*$C$19*Inputs!$C$67+Y7*$D$19*Inputs!$C$68)*$C$20</f>
        <v>759430.27017661126</v>
      </c>
      <c r="Z21" s="141">
        <f>(Z7*$C$19*Inputs!$C$67+Z7*$D$19*Inputs!$C$68)*$C$20</f>
        <v>767171.79790691938</v>
      </c>
      <c r="AA21" s="141">
        <f>(AA7*$C$19*Inputs!$C$67+AA7*$D$19*Inputs!$C$68)*$C$20</f>
        <v>774992.24170622369</v>
      </c>
      <c r="AB21" s="141">
        <f>(AB7*$C$19*Inputs!$C$67+AB7*$D$19*Inputs!$C$68)*$C$20</f>
        <v>782892.40603407857</v>
      </c>
      <c r="AC21" s="141">
        <f>(AC7*$C$19*Inputs!$C$67+AC7*$D$19*Inputs!$C$68)*$C$20</f>
        <v>790873.10355058766</v>
      </c>
      <c r="AD21" s="141">
        <f>(AD7*$C$19*Inputs!$C$67+AD7*$D$19*Inputs!$C$68)*$C$20</f>
        <v>798935.15520000015</v>
      </c>
      <c r="AE21" s="141">
        <f>(AE7*$C$19*Inputs!$C$67+AE7*$D$19*Inputs!$C$68)*$C$20</f>
        <v>807079.39029515965</v>
      </c>
      <c r="AF21" s="141">
        <f>(AF7*$C$19*Inputs!$C$67+AF7*$D$19*Inputs!$C$68)*$C$20</f>
        <v>815306.64660280885</v>
      </c>
    </row>
    <row r="22" spans="2:32" s="137" customFormat="1" x14ac:dyDescent="0.2">
      <c r="B22" s="81" t="s">
        <v>62</v>
      </c>
      <c r="C22" s="408">
        <v>0</v>
      </c>
      <c r="D22" s="143">
        <f>Inputs!D97</f>
        <v>2.3E-2</v>
      </c>
      <c r="E22" s="81"/>
      <c r="F22" s="81"/>
      <c r="G22" s="140"/>
      <c r="H22" s="141"/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1"/>
      <c r="V22" s="141"/>
      <c r="W22" s="141"/>
      <c r="X22" s="141"/>
      <c r="Y22" s="141"/>
      <c r="Z22" s="141"/>
      <c r="AA22" s="141"/>
      <c r="AB22" s="141"/>
      <c r="AC22" s="142"/>
      <c r="AD22" s="142"/>
      <c r="AE22" s="142"/>
      <c r="AF22" s="142"/>
    </row>
    <row r="23" spans="2:32" s="137" customFormat="1" x14ac:dyDescent="0.2">
      <c r="B23" s="81" t="s">
        <v>36</v>
      </c>
      <c r="C23" s="139"/>
      <c r="D23" s="139"/>
      <c r="E23" s="81"/>
      <c r="F23" s="81"/>
      <c r="G23" s="140"/>
      <c r="H23" s="141"/>
      <c r="I23" s="141"/>
      <c r="J23" s="141"/>
      <c r="K23" s="141"/>
      <c r="L23" s="141"/>
      <c r="M23" s="141">
        <f>M6*$C$22*Inputs!$C$67+M6*$D$22*Inputs!$C$68</f>
        <v>444086.17635200004</v>
      </c>
      <c r="N23" s="141">
        <f>N6*$C$22*Inputs!$C$67+N6*$D$22*Inputs!$C$68</f>
        <v>447905.86811320251</v>
      </c>
      <c r="O23" s="141">
        <f>O6*$C$22*Inputs!$C$67+O6*$D$22*Inputs!$C$68</f>
        <v>451758.41395977745</v>
      </c>
      <c r="P23" s="141">
        <f>P6*$C$22*Inputs!$C$67+P6*$D$22*Inputs!$C$68</f>
        <v>455644.0964775965</v>
      </c>
      <c r="Q23" s="141">
        <f>Q6*$C$22*Inputs!$C$67+Q6*$D$22*Inputs!$C$68</f>
        <v>459563.20068312006</v>
      </c>
      <c r="R23" s="141">
        <f>R6*$C$22*Inputs!$C$67+R6*$D$22*Inputs!$C$68</f>
        <v>463516.01404430368</v>
      </c>
      <c r="S23" s="141">
        <f>S6*$C$22*Inputs!$C$67+S6*$D$22*Inputs!$C$68</f>
        <v>467502.82650168374</v>
      </c>
      <c r="T23" s="141">
        <f>T6*$C$22*Inputs!$C$67+T6*$D$22*Inputs!$C$68</f>
        <v>471523.93048964464</v>
      </c>
      <c r="U23" s="141">
        <f>U6*$C$22*Inputs!$C$67+U6*$D$22*Inputs!$C$68</f>
        <v>475579.62095786916</v>
      </c>
      <c r="V23" s="141">
        <f>V6*$C$22*Inputs!$C$67+V6*$D$22*Inputs!$C$68</f>
        <v>479670.1953929732</v>
      </c>
      <c r="W23" s="141">
        <f>W6*$C$22*Inputs!$C$67+W6*$D$22*Inputs!$C$68</f>
        <v>483795.95384032611</v>
      </c>
      <c r="X23" s="141">
        <f>X6*$C$22*Inputs!$C$67+X6*$D$22*Inputs!$C$68</f>
        <v>487957.19892605965</v>
      </c>
      <c r="Y23" s="141">
        <f>Y6*$C$22*Inputs!$C$67+Y6*$D$22*Inputs!$C$68</f>
        <v>492154.23587926565</v>
      </c>
      <c r="Z23" s="141">
        <f>Z6*$C$22*Inputs!$C$67+Z6*$D$22*Inputs!$C$68</f>
        <v>496387.37255438446</v>
      </c>
      <c r="AA23" s="141">
        <f>AA6*$C$22*Inputs!$C$67+AA6*$D$22*Inputs!$C$68</f>
        <v>500656.91945378634</v>
      </c>
      <c r="AB23" s="141">
        <f>AB6*$C$22*Inputs!$C$67+AB6*$D$22*Inputs!$C$68</f>
        <v>504963.18975054688</v>
      </c>
      <c r="AC23" s="141">
        <f>AC6*$C$22*Inputs!$C$67+AC6*$D$22*Inputs!$C$68</f>
        <v>509306.49931141885</v>
      </c>
      <c r="AD23" s="141">
        <f>AD6*$C$22*Inputs!$C$67+AD6*$D$22*Inputs!$C$68</f>
        <v>513687.16672000004</v>
      </c>
      <c r="AE23" s="141">
        <f>AE6*$C$22*Inputs!$C$67+AE6*$D$22*Inputs!$C$68</f>
        <v>518105.5133001029</v>
      </c>
      <c r="AF23" s="141">
        <f>AF6*$C$22*Inputs!$C$67+AF6*$D$22*Inputs!$C$68</f>
        <v>522561.86313932273</v>
      </c>
    </row>
    <row r="24" spans="2:32" s="137" customFormat="1" x14ac:dyDescent="0.2">
      <c r="B24" s="81" t="s">
        <v>35</v>
      </c>
      <c r="C24" s="139"/>
      <c r="D24" s="139"/>
      <c r="E24" s="81"/>
      <c r="F24" s="81"/>
      <c r="G24" s="140"/>
      <c r="H24" s="141"/>
      <c r="I24" s="141"/>
      <c r="J24" s="141"/>
      <c r="K24" s="141"/>
      <c r="L24" s="141"/>
      <c r="M24" s="141">
        <f>M7*$C$22*Inputs!$C$67+M7*$D$22*Inputs!$C$68</f>
        <v>454862.48080000002</v>
      </c>
      <c r="N24" s="141">
        <f>N7*$C$22*Inputs!$C$67+N7*$D$22*Inputs!$C$68</f>
        <v>459499.28637238138</v>
      </c>
      <c r="O24" s="141">
        <f>O7*$C$22*Inputs!$C$67+O7*$D$22*Inputs!$C$68</f>
        <v>464183.35890307114</v>
      </c>
      <c r="P24" s="141">
        <f>P7*$C$22*Inputs!$C$67+P7*$D$22*Inputs!$C$68</f>
        <v>468915.18022494181</v>
      </c>
      <c r="Q24" s="141">
        <f>Q7*$C$22*Inputs!$C$67+Q7*$D$22*Inputs!$C$68</f>
        <v>473695.23708260379</v>
      </c>
      <c r="R24" s="141">
        <f>R7*$C$22*Inputs!$C$67+R7*$D$22*Inputs!$C$68</f>
        <v>478524.02118247515</v>
      </c>
      <c r="S24" s="141">
        <f>S7*$C$22*Inputs!$C$67+S7*$D$22*Inputs!$C$68</f>
        <v>483402.02924336167</v>
      </c>
      <c r="T24" s="141">
        <f>T7*$C$22*Inputs!$C$67+T7*$D$22*Inputs!$C$68</f>
        <v>488329.76304755197</v>
      </c>
      <c r="U24" s="141">
        <f>U7*$C$22*Inputs!$C$67+U7*$D$22*Inputs!$C$68</f>
        <v>493307.72949243477</v>
      </c>
      <c r="V24" s="141">
        <f>V7*$C$22*Inputs!$C$67+V7*$D$22*Inputs!$C$68</f>
        <v>498336.44064264075</v>
      </c>
      <c r="W24" s="141">
        <f>W7*$C$22*Inputs!$C$67+W7*$D$22*Inputs!$C$68</f>
        <v>503416.41378271702</v>
      </c>
      <c r="X24" s="141">
        <f>X7*$C$22*Inputs!$C$67+X7*$D$22*Inputs!$C$68</f>
        <v>508548.17147033836</v>
      </c>
      <c r="Y24" s="141">
        <f>Y7*$C$22*Inputs!$C$67+Y7*$D$22*Inputs!$C$68</f>
        <v>513732.24159006053</v>
      </c>
      <c r="Z24" s="141">
        <f>Z7*$C$22*Inputs!$C$67+Z7*$D$22*Inputs!$C$68</f>
        <v>518969.15740762185</v>
      </c>
      <c r="AA24" s="141">
        <f>AA7*$C$22*Inputs!$C$67+AA7*$D$22*Inputs!$C$68</f>
        <v>524259.45762479835</v>
      </c>
      <c r="AB24" s="141">
        <f>AB7*$C$22*Inputs!$C$67+AB7*$D$22*Inputs!$C$68</f>
        <v>529603.68643481773</v>
      </c>
      <c r="AC24" s="141">
        <f>AC7*$C$22*Inputs!$C$67+AC7*$D$22*Inputs!$C$68</f>
        <v>535002.39357833867</v>
      </c>
      <c r="AD24" s="141">
        <f>AD7*$C$22*Inputs!$C$67+AD7*$D$22*Inputs!$C$68</f>
        <v>540456.1344000001</v>
      </c>
      <c r="AE24" s="141">
        <f>AE7*$C$22*Inputs!$C$67+AE7*$D$22*Inputs!$C$68</f>
        <v>545965.46990554908</v>
      </c>
      <c r="AF24" s="141">
        <f>AF7*$C$22*Inputs!$C$67+AF7*$D$22*Inputs!$C$68</f>
        <v>551530.96681954712</v>
      </c>
    </row>
    <row r="25" spans="2:32" s="137" customFormat="1" x14ac:dyDescent="0.2">
      <c r="B25" s="81" t="s">
        <v>63</v>
      </c>
      <c r="C25" s="408">
        <v>0</v>
      </c>
      <c r="D25" s="143">
        <f>Inputs!D98</f>
        <v>0</v>
      </c>
      <c r="E25" s="81"/>
      <c r="F25" s="81"/>
      <c r="G25" s="140"/>
      <c r="H25" s="141"/>
      <c r="I25" s="141"/>
      <c r="J25" s="141"/>
      <c r="K25" s="141"/>
      <c r="L25" s="141"/>
      <c r="M25" s="141"/>
      <c r="N25" s="141"/>
      <c r="O25" s="141"/>
      <c r="P25" s="141"/>
      <c r="Q25" s="141"/>
      <c r="R25" s="141"/>
      <c r="S25" s="141"/>
      <c r="T25" s="141"/>
      <c r="U25" s="141"/>
      <c r="V25" s="141"/>
      <c r="W25" s="141"/>
      <c r="X25" s="141"/>
      <c r="Y25" s="141"/>
      <c r="Z25" s="141"/>
      <c r="AA25" s="141"/>
      <c r="AB25" s="141"/>
      <c r="AC25" s="142"/>
      <c r="AD25" s="142"/>
      <c r="AE25" s="142"/>
      <c r="AF25" s="142"/>
    </row>
    <row r="26" spans="2:32" s="137" customFormat="1" x14ac:dyDescent="0.2">
      <c r="B26" s="81" t="s">
        <v>36</v>
      </c>
      <c r="C26" s="145">
        <v>0.5</v>
      </c>
      <c r="D26" s="81"/>
      <c r="E26" s="81"/>
      <c r="F26" s="81"/>
      <c r="G26" s="140"/>
      <c r="H26" s="140"/>
      <c r="I26" s="140"/>
      <c r="J26" s="140"/>
      <c r="K26" s="140"/>
      <c r="L26" s="140"/>
      <c r="M26" s="140">
        <f>(M6*$C$25*Inputs!$C$67+M6*$D$25*Inputs!$C$68)*$C$26</f>
        <v>0</v>
      </c>
      <c r="N26" s="140">
        <f>(N6*$C$25*Inputs!$C$67+N6*$D$25*Inputs!$C$68)*$C$26</f>
        <v>0</v>
      </c>
      <c r="O26" s="140">
        <f>(O6*$C$25*Inputs!$C$67+O6*$D$25*Inputs!$C$68)*$C$26</f>
        <v>0</v>
      </c>
      <c r="P26" s="140">
        <f>(P6*$C$25*Inputs!$C$67+P6*$D$25*Inputs!$C$68)*$C$26</f>
        <v>0</v>
      </c>
      <c r="Q26" s="140">
        <f>(Q6*$C$25*Inputs!$C$67+Q6*$D$25*Inputs!$C$68)*$C$26</f>
        <v>0</v>
      </c>
      <c r="R26" s="140">
        <f>(R6*$C$25*Inputs!$C$67+R6*$D$25*Inputs!$C$68)*$C$26</f>
        <v>0</v>
      </c>
      <c r="S26" s="140">
        <f>(S6*$C$25*Inputs!$C$67+S6*$D$25*Inputs!$C$68)*$C$26</f>
        <v>0</v>
      </c>
      <c r="T26" s="140">
        <f>(T6*$C$25*Inputs!$C$67+T6*$D$25*Inputs!$C$68)*$C$26</f>
        <v>0</v>
      </c>
      <c r="U26" s="140">
        <f>(U6*$C$25*Inputs!$C$67+U6*$D$25*Inputs!$C$68)*$C$26</f>
        <v>0</v>
      </c>
      <c r="V26" s="140">
        <f>(V6*$C$25*Inputs!$C$67+V6*$D$25*Inputs!$C$68)*$C$26</f>
        <v>0</v>
      </c>
      <c r="W26" s="140">
        <f>(W6*$C$25*Inputs!$C$67+W6*$D$25*Inputs!$C$68)*$C$26</f>
        <v>0</v>
      </c>
      <c r="X26" s="140">
        <f>(X6*$C$25*Inputs!$C$67+X6*$D$25*Inputs!$C$68)*$C$26</f>
        <v>0</v>
      </c>
      <c r="Y26" s="140">
        <f>(Y6*$C$25*Inputs!$C$67+Y6*$D$25*Inputs!$C$68)*$C$26</f>
        <v>0</v>
      </c>
      <c r="Z26" s="140">
        <f>(Z6*$C$25*Inputs!$C$67+Z6*$D$25*Inputs!$C$68)*$C$26</f>
        <v>0</v>
      </c>
      <c r="AA26" s="140">
        <f>(AA6*$C$25*Inputs!$C$67+AA6*$D$25*Inputs!$C$68)*$C$26</f>
        <v>0</v>
      </c>
      <c r="AB26" s="140">
        <f>(AB6*$C$25*Inputs!$C$67+AB6*$D$25*Inputs!$C$68)*$C$26</f>
        <v>0</v>
      </c>
      <c r="AC26" s="140">
        <f>(AC6*$C$25*Inputs!$C$67+AC6*$D$25*Inputs!$C$68)*$C$26</f>
        <v>0</v>
      </c>
      <c r="AD26" s="140">
        <f>(AD6*$C$25*Inputs!$C$67+AD6*$D$25*Inputs!$C$68)*$C$26</f>
        <v>0</v>
      </c>
      <c r="AE26" s="140">
        <f>(AE6*$C$25*Inputs!$C$67+AE6*$D$25*Inputs!$C$68)*$C$26</f>
        <v>0</v>
      </c>
      <c r="AF26" s="140">
        <f>(AF6*$C$25*Inputs!$C$67+AF6*$D$25*Inputs!$C$68)*$C$26</f>
        <v>0</v>
      </c>
    </row>
    <row r="27" spans="2:32" s="137" customFormat="1" x14ac:dyDescent="0.2">
      <c r="B27" s="81" t="s">
        <v>35</v>
      </c>
      <c r="C27" s="81"/>
      <c r="D27" s="81"/>
      <c r="E27" s="81"/>
      <c r="F27" s="81"/>
      <c r="G27" s="140"/>
      <c r="H27" s="140"/>
      <c r="I27" s="140"/>
      <c r="J27" s="140"/>
      <c r="K27" s="140"/>
      <c r="L27" s="140"/>
      <c r="M27" s="140">
        <f>(M7*$C$25*Inputs!$C$67+M7*$D$25*Inputs!$C$68)*$C$26</f>
        <v>0</v>
      </c>
      <c r="N27" s="140">
        <f>(N7*$C$25*Inputs!$C$67+N7*$D$25*Inputs!$C$68)*$C$26</f>
        <v>0</v>
      </c>
      <c r="O27" s="140">
        <f>(O7*$C$25*Inputs!$C$67+O7*$D$25*Inputs!$C$68)*$C$26</f>
        <v>0</v>
      </c>
      <c r="P27" s="140">
        <f>(P7*$C$25*Inputs!$C$67+P7*$D$25*Inputs!$C$68)*$C$26</f>
        <v>0</v>
      </c>
      <c r="Q27" s="140">
        <f>(Q7*$C$25*Inputs!$C$67+Q7*$D$25*Inputs!$C$68)*$C$26</f>
        <v>0</v>
      </c>
      <c r="R27" s="140">
        <f>(R7*$C$25*Inputs!$C$67+R7*$D$25*Inputs!$C$68)*$C$26</f>
        <v>0</v>
      </c>
      <c r="S27" s="140">
        <f>(S7*$C$25*Inputs!$C$67+S7*$D$25*Inputs!$C$68)*$C$26</f>
        <v>0</v>
      </c>
      <c r="T27" s="140">
        <f>(T7*$C$25*Inputs!$C$67+T7*$D$25*Inputs!$C$68)*$C$26</f>
        <v>0</v>
      </c>
      <c r="U27" s="140">
        <f>(U7*$C$25*Inputs!$C$67+U7*$D$25*Inputs!$C$68)*$C$26</f>
        <v>0</v>
      </c>
      <c r="V27" s="140">
        <f>(V7*$C$25*Inputs!$C$67+V7*$D$25*Inputs!$C$68)*$C$26</f>
        <v>0</v>
      </c>
      <c r="W27" s="140">
        <f>(W7*$C$25*Inputs!$C$67+W7*$D$25*Inputs!$C$68)*$C$26</f>
        <v>0</v>
      </c>
      <c r="X27" s="140">
        <f>(X7*$C$25*Inputs!$C$67+X7*$D$25*Inputs!$C$68)*$C$26</f>
        <v>0</v>
      </c>
      <c r="Y27" s="140">
        <f>(Y7*$C$25*Inputs!$C$67+Y7*$D$25*Inputs!$C$68)*$C$26</f>
        <v>0</v>
      </c>
      <c r="Z27" s="140">
        <f>(Z7*$C$25*Inputs!$C$67+Z7*$D$25*Inputs!$C$68)*$C$26</f>
        <v>0</v>
      </c>
      <c r="AA27" s="140">
        <f>(AA7*$C$25*Inputs!$C$67+AA7*$D$25*Inputs!$C$68)*$C$26</f>
        <v>0</v>
      </c>
      <c r="AB27" s="140">
        <f>(AB7*$C$25*Inputs!$C$67+AB7*$D$25*Inputs!$C$68)*$C$26</f>
        <v>0</v>
      </c>
      <c r="AC27" s="140">
        <f>(AC7*$C$25*Inputs!$C$67+AC7*$D$25*Inputs!$C$68)*$C$26</f>
        <v>0</v>
      </c>
      <c r="AD27" s="140">
        <f>(AD7*$C$25*Inputs!$C$67+AD7*$D$25*Inputs!$C$68)*$C$26</f>
        <v>0</v>
      </c>
      <c r="AE27" s="140">
        <f>(AE7*$C$25*Inputs!$C$67+AE7*$D$25*Inputs!$C$68)*$C$26</f>
        <v>0</v>
      </c>
      <c r="AF27" s="140">
        <f>(AF7*$C$25*Inputs!$C$67+AF7*$D$25*Inputs!$C$68)*$C$26</f>
        <v>0</v>
      </c>
    </row>
    <row r="28" spans="2:32" s="137" customFormat="1" x14ac:dyDescent="0.2">
      <c r="B28" s="81"/>
      <c r="C28" s="81"/>
      <c r="D28" s="81"/>
      <c r="E28" s="81"/>
      <c r="F28" s="81"/>
      <c r="G28" s="140"/>
      <c r="H28" s="141"/>
      <c r="I28" s="141"/>
      <c r="J28" s="141"/>
      <c r="K28" s="141"/>
      <c r="L28" s="141"/>
      <c r="M28" s="141"/>
      <c r="N28" s="141"/>
      <c r="O28" s="141"/>
      <c r="P28" s="141"/>
      <c r="Q28" s="141"/>
      <c r="R28" s="141"/>
      <c r="S28" s="141"/>
      <c r="T28" s="141"/>
      <c r="U28" s="141"/>
      <c r="V28" s="141"/>
      <c r="W28" s="141"/>
      <c r="X28" s="141"/>
      <c r="Y28" s="141"/>
      <c r="Z28" s="141"/>
      <c r="AA28" s="141"/>
      <c r="AB28" s="141"/>
      <c r="AC28" s="142"/>
    </row>
    <row r="29" spans="2:32" s="137" customFormat="1" x14ac:dyDescent="0.2">
      <c r="B29" s="135" t="s">
        <v>37</v>
      </c>
      <c r="C29" s="81"/>
      <c r="D29" s="81"/>
      <c r="E29" s="81"/>
      <c r="F29" s="81"/>
      <c r="G29" s="140"/>
      <c r="H29" s="141"/>
      <c r="I29" s="141"/>
      <c r="J29" s="141"/>
      <c r="K29" s="141"/>
      <c r="L29" s="141"/>
      <c r="M29" s="141"/>
      <c r="N29" s="141"/>
      <c r="O29" s="141"/>
      <c r="P29" s="141"/>
      <c r="Q29" s="141"/>
      <c r="R29" s="141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2"/>
    </row>
    <row r="30" spans="2:32" s="137" customFormat="1" x14ac:dyDescent="0.2">
      <c r="B30" s="81" t="s">
        <v>36</v>
      </c>
      <c r="C30" s="81"/>
      <c r="D30" s="81"/>
      <c r="E30" s="81"/>
      <c r="F30" s="81"/>
      <c r="G30" s="140"/>
      <c r="H30" s="140"/>
      <c r="I30" s="140"/>
      <c r="J30" s="140"/>
      <c r="K30" s="140"/>
      <c r="L30" s="140"/>
      <c r="M30" s="140">
        <f t="shared" ref="M30" si="4">SUM(M11,M14,M17,M20,M23,M26)</f>
        <v>41522517.205450669</v>
      </c>
      <c r="N30" s="140">
        <f t="shared" ref="N30:AE30" si="5">SUM(N11,N14,N17,N20,N23,N26)</f>
        <v>41879662.339255348</v>
      </c>
      <c r="O30" s="140">
        <f t="shared" si="5"/>
        <v>42239879.36405281</v>
      </c>
      <c r="P30" s="140">
        <f t="shared" si="5"/>
        <v>42603194.701914564</v>
      </c>
      <c r="Q30" s="140">
        <f t="shared" si="5"/>
        <v>42969635.002174698</v>
      </c>
      <c r="R30" s="140">
        <f t="shared" si="5"/>
        <v>43339227.143384673</v>
      </c>
      <c r="S30" s="140">
        <f t="shared" si="5"/>
        <v>43711998.235284753</v>
      </c>
      <c r="T30" s="140">
        <f t="shared" si="5"/>
        <v>44087975.620792627</v>
      </c>
      <c r="U30" s="140">
        <f t="shared" si="5"/>
        <v>44467186.878008962</v>
      </c>
      <c r="V30" s="140">
        <f t="shared" si="5"/>
        <v>44849659.822240293</v>
      </c>
      <c r="W30" s="140">
        <f t="shared" si="5"/>
        <v>45235422.508039258</v>
      </c>
      <c r="X30" s="140">
        <f t="shared" si="5"/>
        <v>45624503.23126249</v>
      </c>
      <c r="Y30" s="140">
        <f t="shared" si="5"/>
        <v>46016930.53114599</v>
      </c>
      <c r="Z30" s="140">
        <f t="shared" si="5"/>
        <v>46412733.19239866</v>
      </c>
      <c r="AA30" s="140">
        <f t="shared" si="5"/>
        <v>46811940.247313544</v>
      </c>
      <c r="AB30" s="140">
        <f t="shared" si="5"/>
        <v>47214580.977897406</v>
      </c>
      <c r="AC30" s="140">
        <f t="shared" si="5"/>
        <v>47620684.918018602</v>
      </c>
      <c r="AD30" s="140">
        <f t="shared" si="5"/>
        <v>48030281.855573326</v>
      </c>
      <c r="AE30" s="140">
        <f t="shared" si="5"/>
        <v>48443401.834670693</v>
      </c>
      <c r="AF30" s="140">
        <f t="shared" ref="AF30" si="6">SUM(AF11,AF14,AF17,AF20,AF23,AF26)</f>
        <v>48860075.157836348</v>
      </c>
    </row>
    <row r="31" spans="2:32" s="137" customFormat="1" x14ac:dyDescent="0.2">
      <c r="B31" s="81" t="s">
        <v>35</v>
      </c>
      <c r="C31" s="81"/>
      <c r="D31" s="81"/>
      <c r="E31" s="81"/>
      <c r="F31" s="81"/>
      <c r="G31" s="140"/>
      <c r="H31" s="140"/>
      <c r="I31" s="140"/>
      <c r="J31" s="140"/>
      <c r="K31" s="140"/>
      <c r="L31" s="140"/>
      <c r="M31" s="140">
        <f t="shared" ref="M31" si="7">SUM(M12,M15,M18,M21,M24,M27)</f>
        <v>42530112.826933339</v>
      </c>
      <c r="N31" s="140">
        <f t="shared" ref="N31:AE31" si="8">SUM(N12,N15,N18,N21,N24,N27)</f>
        <v>42963658.947956748</v>
      </c>
      <c r="O31" s="140">
        <f t="shared" si="8"/>
        <v>43401624.578512616</v>
      </c>
      <c r="P31" s="140">
        <f t="shared" si="8"/>
        <v>43844054.770473279</v>
      </c>
      <c r="Q31" s="140">
        <f t="shared" si="8"/>
        <v>44290995.034963697</v>
      </c>
      <c r="R31" s="140">
        <f t="shared" si="8"/>
        <v>44742491.347042985</v>
      </c>
      <c r="S31" s="140">
        <f t="shared" si="8"/>
        <v>45198590.150433652</v>
      </c>
      <c r="T31" s="140">
        <f t="shared" si="8"/>
        <v>45659338.362299152</v>
      </c>
      <c r="U31" s="140">
        <f t="shared" si="8"/>
        <v>46124783.378070071</v>
      </c>
      <c r="V31" s="140">
        <f t="shared" si="8"/>
        <v>46594973.076319456</v>
      </c>
      <c r="W31" s="140">
        <f t="shared" si="8"/>
        <v>47069955.823687948</v>
      </c>
      <c r="X31" s="140">
        <f t="shared" si="8"/>
        <v>47549780.479859106</v>
      </c>
      <c r="Y31" s="140">
        <f t="shared" si="8"/>
        <v>48034496.40258535</v>
      </c>
      <c r="Z31" s="140">
        <f t="shared" si="8"/>
        <v>48524153.452765234</v>
      </c>
      <c r="AA31" s="140">
        <f t="shared" si="8"/>
        <v>49018801.999572501</v>
      </c>
      <c r="AB31" s="140">
        <f t="shared" si="8"/>
        <v>49518492.925637282</v>
      </c>
      <c r="AC31" s="140">
        <f t="shared" si="8"/>
        <v>50023277.632280238</v>
      </c>
      <c r="AD31" s="140">
        <f t="shared" si="8"/>
        <v>50533208.044799998</v>
      </c>
      <c r="AE31" s="140">
        <f t="shared" si="8"/>
        <v>51048336.617814712</v>
      </c>
      <c r="AF31" s="140">
        <f t="shared" ref="AF31" si="9">SUM(AF12,AF15,AF18,AF21,AF24,AF27)</f>
        <v>51568716.34065748</v>
      </c>
    </row>
    <row r="32" spans="2:32" ht="7.5" customHeight="1" x14ac:dyDescent="0.2"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</row>
    <row r="33" spans="2:32" x14ac:dyDescent="0.2">
      <c r="B33" s="146" t="s">
        <v>39</v>
      </c>
      <c r="C33" s="130"/>
      <c r="D33" s="130"/>
      <c r="E33" s="130"/>
      <c r="F33" s="130"/>
      <c r="G33" s="147"/>
      <c r="H33" s="147"/>
      <c r="I33" s="93"/>
      <c r="J33" s="93"/>
      <c r="K33" s="93"/>
      <c r="L33" s="93"/>
      <c r="M33" s="93">
        <f t="shared" ref="M33:AE33" si="10">M30-M31</f>
        <v>-1007595.6214826703</v>
      </c>
      <c r="N33" s="93">
        <f t="shared" si="10"/>
        <v>-1083996.6087014005</v>
      </c>
      <c r="O33" s="93">
        <f t="shared" si="10"/>
        <v>-1161745.2144598067</v>
      </c>
      <c r="P33" s="93">
        <f t="shared" si="10"/>
        <v>-1240860.0685587153</v>
      </c>
      <c r="Q33" s="93">
        <f t="shared" si="10"/>
        <v>-1321360.0327889994</v>
      </c>
      <c r="R33" s="93">
        <f t="shared" si="10"/>
        <v>-1403264.2036583126</v>
      </c>
      <c r="S33" s="93">
        <f t="shared" si="10"/>
        <v>-1486591.915148899</v>
      </c>
      <c r="T33" s="93">
        <f t="shared" si="10"/>
        <v>-1571362.7415065244</v>
      </c>
      <c r="U33" s="93">
        <f t="shared" si="10"/>
        <v>-1657596.5000611097</v>
      </c>
      <c r="V33" s="93">
        <f t="shared" si="10"/>
        <v>-1745313.2540791631</v>
      </c>
      <c r="W33" s="93">
        <f t="shared" si="10"/>
        <v>-1834533.3156486899</v>
      </c>
      <c r="X33" s="93">
        <f t="shared" si="10"/>
        <v>-1925277.2485966161</v>
      </c>
      <c r="Y33" s="93">
        <f t="shared" si="10"/>
        <v>-2017565.8714393601</v>
      </c>
      <c r="Z33" s="93">
        <f t="shared" si="10"/>
        <v>-2111420.2603665739</v>
      </c>
      <c r="AA33" s="93">
        <f t="shared" si="10"/>
        <v>-2206861.7522589564</v>
      </c>
      <c r="AB33" s="93">
        <f t="shared" si="10"/>
        <v>-2303911.9477398768</v>
      </c>
      <c r="AC33" s="93">
        <f t="shared" si="10"/>
        <v>-2402592.7142616361</v>
      </c>
      <c r="AD33" s="93">
        <f t="shared" si="10"/>
        <v>-2502926.1892266721</v>
      </c>
      <c r="AE33" s="93">
        <f t="shared" si="10"/>
        <v>-2604934.7831440195</v>
      </c>
      <c r="AF33" s="93">
        <f t="shared" ref="AF33" si="11">AF30-AF31</f>
        <v>-2708641.1828211322</v>
      </c>
    </row>
    <row r="34" spans="2:32" x14ac:dyDescent="0.2">
      <c r="B34" s="81"/>
      <c r="C34" s="81"/>
      <c r="D34" s="81"/>
      <c r="E34" s="81"/>
      <c r="F34" s="81"/>
      <c r="G34" s="81"/>
      <c r="H34" s="23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</row>
    <row r="35" spans="2:32" s="137" customFormat="1" hidden="1" x14ac:dyDescent="0.2">
      <c r="B35" s="81"/>
      <c r="C35" s="85" t="s">
        <v>66</v>
      </c>
      <c r="D35" s="85" t="s">
        <v>8</v>
      </c>
      <c r="E35" s="81"/>
      <c r="F35" s="81"/>
      <c r="G35" s="81"/>
      <c r="H35" s="23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  <c r="AA35" s="82"/>
      <c r="AB35" s="82"/>
      <c r="AC35" s="82"/>
    </row>
    <row r="36" spans="2:32" hidden="1" x14ac:dyDescent="0.2">
      <c r="B36" s="21" t="s">
        <v>126</v>
      </c>
      <c r="C36" s="84"/>
      <c r="D36" s="84"/>
    </row>
    <row r="37" spans="2:32" hidden="1" x14ac:dyDescent="0.2">
      <c r="B37" s="21" t="s">
        <v>173</v>
      </c>
      <c r="C37" s="84"/>
      <c r="D37" s="84"/>
      <c r="G37" s="148"/>
      <c r="H37" s="148"/>
    </row>
    <row r="38" spans="2:32" hidden="1" x14ac:dyDescent="0.2">
      <c r="B38" s="21" t="s">
        <v>112</v>
      </c>
      <c r="C38" s="84"/>
      <c r="D38" s="84"/>
      <c r="G38" s="148"/>
      <c r="H38" s="148"/>
    </row>
    <row r="39" spans="2:32" hidden="1" x14ac:dyDescent="0.2">
      <c r="B39" s="21" t="s">
        <v>101</v>
      </c>
      <c r="C39" s="84"/>
      <c r="D39" s="84"/>
      <c r="G39" s="148"/>
      <c r="H39" s="148"/>
    </row>
    <row r="40" spans="2:32" hidden="1" x14ac:dyDescent="0.2">
      <c r="B40" s="21" t="s">
        <v>78</v>
      </c>
      <c r="C40" s="84"/>
      <c r="D40" s="84"/>
    </row>
    <row r="41" spans="2:32" x14ac:dyDescent="0.2">
      <c r="C41" s="83"/>
    </row>
  </sheetData>
  <phoneticPr fontId="5" type="noConversion"/>
  <pageMargins left="0.7" right="0.7" top="1" bottom="0.75" header="0.5" footer="0.5"/>
  <pageSetup scale="95" orientation="landscape" r:id="rId1"/>
  <headerFooter alignWithMargins="0">
    <oddFooter>&amp;R&amp;8&amp;P of &amp;N</oddFooter>
  </headerFooter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F0394A-EDC7-40CA-B795-DAA846CC6CD5}">
  <dimension ref="A1:Q54"/>
  <sheetViews>
    <sheetView workbookViewId="0">
      <selection activeCell="A45" sqref="A45:XFD45"/>
    </sheetView>
  </sheetViews>
  <sheetFormatPr defaultColWidth="8.85546875" defaultRowHeight="15" x14ac:dyDescent="0.25"/>
  <cols>
    <col min="1" max="1" width="52.5703125" style="17" customWidth="1"/>
    <col min="2" max="2" width="15.140625" style="17" customWidth="1"/>
    <col min="3" max="3" width="9.140625" style="17" customWidth="1"/>
    <col min="4" max="4" width="11" style="17" customWidth="1"/>
    <col min="5" max="5" width="8.28515625" style="17" customWidth="1"/>
    <col min="6" max="6" width="7.7109375" style="17" customWidth="1"/>
    <col min="7" max="7" width="7.5703125" style="17" customWidth="1"/>
    <col min="8" max="8" width="5.28515625" style="17" customWidth="1"/>
    <col min="9" max="9" width="8.85546875" style="17"/>
    <col min="10" max="10" width="8.5703125" style="17" customWidth="1"/>
    <col min="11" max="11" width="11.85546875" style="17" customWidth="1"/>
    <col min="12" max="12" width="8.85546875" style="17" customWidth="1"/>
    <col min="13" max="13" width="10.28515625" style="17" customWidth="1"/>
    <col min="14" max="14" width="4.85546875" style="17" customWidth="1"/>
    <col min="15" max="15" width="8.42578125" style="17" customWidth="1"/>
    <col min="16" max="16" width="11.5703125" style="17" customWidth="1"/>
    <col min="17" max="17" width="9.85546875" style="17" customWidth="1"/>
    <col min="18" max="16384" width="8.85546875" style="17"/>
  </cols>
  <sheetData>
    <row r="1" spans="1:17" x14ac:dyDescent="0.25">
      <c r="A1" s="510" t="s">
        <v>408</v>
      </c>
      <c r="I1" s="19" t="s">
        <v>369</v>
      </c>
      <c r="O1" s="19" t="s">
        <v>410</v>
      </c>
    </row>
    <row r="2" spans="1:17" x14ac:dyDescent="0.25">
      <c r="A2" s="509" t="s">
        <v>357</v>
      </c>
      <c r="B2" s="452"/>
      <c r="C2" s="18"/>
      <c r="D2" s="18"/>
      <c r="E2" s="18"/>
      <c r="F2" s="18"/>
      <c r="G2" s="18"/>
      <c r="I2" s="534" t="s">
        <v>325</v>
      </c>
      <c r="J2" s="534" t="s">
        <v>354</v>
      </c>
      <c r="K2" s="534" t="s">
        <v>355</v>
      </c>
      <c r="L2" s="534" t="s">
        <v>217</v>
      </c>
      <c r="M2" s="534" t="s">
        <v>409</v>
      </c>
      <c r="O2" s="534" t="s">
        <v>325</v>
      </c>
      <c r="P2" s="534" t="s">
        <v>355</v>
      </c>
      <c r="Q2" s="534" t="s">
        <v>409</v>
      </c>
    </row>
    <row r="3" spans="1:17" x14ac:dyDescent="0.25">
      <c r="A3" s="511" t="s">
        <v>323</v>
      </c>
      <c r="B3" s="511" t="s">
        <v>324</v>
      </c>
      <c r="C3" s="512" t="s">
        <v>216</v>
      </c>
      <c r="D3" s="512" t="s">
        <v>215</v>
      </c>
      <c r="E3" s="512" t="s">
        <v>214</v>
      </c>
      <c r="F3" s="512" t="s">
        <v>213</v>
      </c>
      <c r="G3" s="512" t="s">
        <v>212</v>
      </c>
      <c r="I3" s="534"/>
      <c r="J3" s="534"/>
      <c r="K3" s="534"/>
      <c r="L3" s="534"/>
      <c r="M3" s="534"/>
      <c r="O3" s="534"/>
      <c r="P3" s="534"/>
      <c r="Q3" s="534"/>
    </row>
    <row r="4" spans="1:17" x14ac:dyDescent="0.25">
      <c r="A4" s="456" t="s">
        <v>326</v>
      </c>
      <c r="B4" s="456" t="s">
        <v>327</v>
      </c>
      <c r="C4" s="455">
        <v>1</v>
      </c>
      <c r="D4" s="455">
        <v>1</v>
      </c>
      <c r="E4" s="455">
        <v>8</v>
      </c>
      <c r="F4" s="455">
        <v>9</v>
      </c>
      <c r="G4" s="455">
        <v>188</v>
      </c>
      <c r="I4" s="455" t="s">
        <v>216</v>
      </c>
      <c r="J4" s="454">
        <v>1</v>
      </c>
      <c r="K4" s="457">
        <f>J4*100000000/($D$24*5)</f>
        <v>0.75997948055402509</v>
      </c>
      <c r="L4" s="466">
        <f>$C$33</f>
        <v>0.92</v>
      </c>
      <c r="M4" s="457">
        <f>K4*L4</f>
        <v>0.69918112210970307</v>
      </c>
      <c r="O4" s="455" t="s">
        <v>216</v>
      </c>
      <c r="P4" s="457">
        <f>(K4*$D$24+K14*$D$25+K22*$D$26)/($D$24+$D$25+$D$26)</f>
        <v>1.0140873636263763</v>
      </c>
      <c r="Q4" s="457">
        <f>(M4*$D$24+M14*$D$25+M22*$D$26)/($D$24+$D$25+$D$26)</f>
        <v>0.8663122994712662</v>
      </c>
    </row>
    <row r="5" spans="1:17" x14ac:dyDescent="0.25">
      <c r="A5" s="456" t="s">
        <v>328</v>
      </c>
      <c r="B5" s="456" t="s">
        <v>329</v>
      </c>
      <c r="C5" s="455">
        <v>0</v>
      </c>
      <c r="D5" s="455">
        <v>0</v>
      </c>
      <c r="E5" s="455">
        <v>0</v>
      </c>
      <c r="F5" s="455">
        <v>0</v>
      </c>
      <c r="G5" s="455">
        <v>18</v>
      </c>
      <c r="I5" s="455" t="s">
        <v>215</v>
      </c>
      <c r="J5" s="454">
        <v>15</v>
      </c>
      <c r="K5" s="457">
        <f>J5*100000000/($D$24*5)</f>
        <v>11.399692208310375</v>
      </c>
      <c r="L5" s="466">
        <f>$C$33</f>
        <v>0.92</v>
      </c>
      <c r="M5" s="457">
        <f t="shared" ref="M5:M8" si="0">K5*L5</f>
        <v>10.487716831645546</v>
      </c>
      <c r="O5" s="455" t="s">
        <v>215</v>
      </c>
      <c r="P5" s="457">
        <f>(K5*$D$24+K15*$D$25+K23*$D$26)/($D$24+$D$25+$D$26)</f>
        <v>11.357778472615415</v>
      </c>
      <c r="Q5" s="457">
        <f>(M5*$D$24+M15*$D$25+M23*$D$26)/($D$24+$D$25+$D$26)</f>
        <v>9.8157910303972695</v>
      </c>
    </row>
    <row r="6" spans="1:17" x14ac:dyDescent="0.25">
      <c r="A6" s="456" t="s">
        <v>329</v>
      </c>
      <c r="B6" s="456" t="s">
        <v>330</v>
      </c>
      <c r="C6" s="455">
        <v>0</v>
      </c>
      <c r="D6" s="455">
        <v>12</v>
      </c>
      <c r="E6" s="455">
        <v>45</v>
      </c>
      <c r="F6" s="455">
        <v>123</v>
      </c>
      <c r="G6" s="455">
        <v>927</v>
      </c>
      <c r="I6" s="455" t="s">
        <v>214</v>
      </c>
      <c r="J6" s="454">
        <v>56</v>
      </c>
      <c r="K6" s="457">
        <f>J6*100000000/($D$24*5)</f>
        <v>42.558850911025402</v>
      </c>
      <c r="L6" s="466">
        <f>$C$33</f>
        <v>0.92</v>
      </c>
      <c r="M6" s="457">
        <f t="shared" si="0"/>
        <v>39.154142838143372</v>
      </c>
      <c r="O6" s="455" t="s">
        <v>214</v>
      </c>
      <c r="P6" s="457">
        <f>(K6*$D$24+K16*$D$25+K24*$D$26)/($D$24+$D$25+$D$26)</f>
        <v>34.695309000870424</v>
      </c>
      <c r="Q6" s="457">
        <f>(M6*$D$24+M16*$D$25+M24*$D$26)/($D$24+$D$25+$D$26)</f>
        <v>30.261759610590452</v>
      </c>
    </row>
    <row r="7" spans="1:17" x14ac:dyDescent="0.25">
      <c r="A7" s="456" t="s">
        <v>330</v>
      </c>
      <c r="B7" s="456" t="s">
        <v>331</v>
      </c>
      <c r="C7" s="455">
        <v>0</v>
      </c>
      <c r="D7" s="455">
        <v>1</v>
      </c>
      <c r="E7" s="455">
        <v>2</v>
      </c>
      <c r="F7" s="455">
        <v>1</v>
      </c>
      <c r="G7" s="455">
        <v>3</v>
      </c>
      <c r="I7" s="455" t="s">
        <v>213</v>
      </c>
      <c r="J7" s="454">
        <v>143</v>
      </c>
      <c r="K7" s="457">
        <f>J7*100000000/($D$24*5)</f>
        <v>108.67706571922558</v>
      </c>
      <c r="L7" s="466">
        <f>$C$33</f>
        <v>0.92</v>
      </c>
      <c r="M7" s="457">
        <f t="shared" si="0"/>
        <v>99.982900461687535</v>
      </c>
      <c r="O7" s="455" t="s">
        <v>213</v>
      </c>
      <c r="P7" s="457">
        <f>(K7*$D$24+K17*$D$25+K25*$D$26)/($D$24+$D$25+$D$26)</f>
        <v>94.188434333617835</v>
      </c>
      <c r="Q7" s="457">
        <f>(M7*$D$24+M17*$D$25+M25*$D$26)/($D$24+$D$25+$D$26)</f>
        <v>81.971933442066032</v>
      </c>
    </row>
    <row r="8" spans="1:17" x14ac:dyDescent="0.25">
      <c r="A8" s="456" t="s">
        <v>331</v>
      </c>
      <c r="B8" s="456" t="s">
        <v>332</v>
      </c>
      <c r="C8" s="455">
        <v>0</v>
      </c>
      <c r="D8" s="455">
        <v>0</v>
      </c>
      <c r="E8" s="455">
        <v>1</v>
      </c>
      <c r="F8" s="455">
        <v>5</v>
      </c>
      <c r="G8" s="455">
        <v>80</v>
      </c>
      <c r="I8" s="455" t="s">
        <v>212</v>
      </c>
      <c r="J8" s="454">
        <v>1233</v>
      </c>
      <c r="K8" s="457">
        <f>J8*100000000/($D$24*5)</f>
        <v>937.05469952311284</v>
      </c>
      <c r="L8" s="466">
        <f>$C$33</f>
        <v>0.92</v>
      </c>
      <c r="M8" s="457">
        <f t="shared" si="0"/>
        <v>862.09032356126386</v>
      </c>
      <c r="O8" s="455" t="s">
        <v>212</v>
      </c>
      <c r="P8" s="457">
        <f>(K8*$D$24+K18*$D$25+K26*$D$26)/($D$24+$D$25+$D$26)</f>
        <v>820.27498669010333</v>
      </c>
      <c r="Q8" s="457">
        <f>(M8*$D$24+M18*$D$25+M26*$D$26)/($D$24+$D$25+$D$26)</f>
        <v>713.22052850853106</v>
      </c>
    </row>
    <row r="9" spans="1:17" x14ac:dyDescent="0.25">
      <c r="A9" s="456" t="s">
        <v>332</v>
      </c>
      <c r="B9" s="456" t="s">
        <v>333</v>
      </c>
      <c r="C9" s="455">
        <v>0</v>
      </c>
      <c r="D9" s="455">
        <v>1</v>
      </c>
      <c r="E9" s="455">
        <v>0</v>
      </c>
      <c r="F9" s="455">
        <v>5</v>
      </c>
      <c r="G9" s="455">
        <v>17</v>
      </c>
    </row>
    <row r="10" spans="1:17" x14ac:dyDescent="0.25">
      <c r="A10" s="456"/>
      <c r="B10" s="456"/>
      <c r="C10" s="458">
        <f>SUM(C4:C9)</f>
        <v>1</v>
      </c>
      <c r="D10" s="458">
        <f>SUM(D4:D9)</f>
        <v>15</v>
      </c>
      <c r="E10" s="458">
        <f>SUM(E4:E9)</f>
        <v>56</v>
      </c>
      <c r="F10" s="458">
        <f>SUM(F4:F9)</f>
        <v>143</v>
      </c>
      <c r="G10" s="458">
        <f>SUM(G4:G9)</f>
        <v>1233</v>
      </c>
    </row>
    <row r="11" spans="1:17" x14ac:dyDescent="0.25">
      <c r="A11" s="452"/>
      <c r="B11" s="452"/>
      <c r="C11" s="18"/>
      <c r="D11" s="18"/>
      <c r="E11" s="18"/>
      <c r="F11" s="18"/>
      <c r="G11" s="18"/>
    </row>
    <row r="12" spans="1:17" ht="14.45" customHeight="1" x14ac:dyDescent="0.25">
      <c r="A12" s="509" t="s">
        <v>356</v>
      </c>
      <c r="B12" s="452"/>
      <c r="C12" s="18"/>
      <c r="D12" s="18"/>
      <c r="E12" s="18"/>
      <c r="F12" s="18"/>
      <c r="G12" s="18"/>
      <c r="I12" s="534" t="s">
        <v>325</v>
      </c>
      <c r="J12" s="534" t="s">
        <v>354</v>
      </c>
      <c r="K12" s="534" t="s">
        <v>355</v>
      </c>
      <c r="L12" s="534" t="s">
        <v>217</v>
      </c>
      <c r="M12" s="534" t="s">
        <v>409</v>
      </c>
    </row>
    <row r="13" spans="1:17" x14ac:dyDescent="0.25">
      <c r="A13" s="456" t="s">
        <v>334</v>
      </c>
      <c r="B13" s="456"/>
      <c r="C13" s="455">
        <v>0</v>
      </c>
      <c r="D13" s="455">
        <v>1</v>
      </c>
      <c r="E13" s="455">
        <v>9</v>
      </c>
      <c r="F13" s="455">
        <v>6</v>
      </c>
      <c r="G13" s="455">
        <v>250</v>
      </c>
      <c r="I13" s="534"/>
      <c r="J13" s="534"/>
      <c r="K13" s="534"/>
      <c r="L13" s="534"/>
      <c r="M13" s="534"/>
    </row>
    <row r="14" spans="1:17" x14ac:dyDescent="0.25">
      <c r="A14" s="456" t="s">
        <v>329</v>
      </c>
      <c r="B14" s="456"/>
      <c r="C14" s="455">
        <v>1</v>
      </c>
      <c r="D14" s="455">
        <v>4</v>
      </c>
      <c r="E14" s="455">
        <v>14</v>
      </c>
      <c r="F14" s="455">
        <v>31</v>
      </c>
      <c r="G14" s="455">
        <v>243</v>
      </c>
      <c r="I14" s="455" t="s">
        <v>216</v>
      </c>
      <c r="J14" s="454">
        <f>C18</f>
        <v>1</v>
      </c>
      <c r="K14" s="457">
        <f>J14*100000000/($D$25*5)</f>
        <v>0.83655756561748407</v>
      </c>
      <c r="L14" s="466">
        <f>$C$43</f>
        <v>0.81400000000000006</v>
      </c>
      <c r="M14" s="457">
        <f>K14*L14</f>
        <v>0.68095785841263212</v>
      </c>
    </row>
    <row r="15" spans="1:17" x14ac:dyDescent="0.25">
      <c r="A15" s="456" t="s">
        <v>330</v>
      </c>
      <c r="B15" s="456"/>
      <c r="C15" s="455">
        <v>0</v>
      </c>
      <c r="D15" s="455">
        <v>0</v>
      </c>
      <c r="E15" s="455">
        <v>1</v>
      </c>
      <c r="F15" s="455">
        <v>9</v>
      </c>
      <c r="G15" s="455">
        <v>43</v>
      </c>
      <c r="I15" s="455" t="s">
        <v>215</v>
      </c>
      <c r="J15" s="454">
        <f>D18</f>
        <v>12</v>
      </c>
      <c r="K15" s="457">
        <f>J15*100000000/($D$25*5)</f>
        <v>10.038690787409809</v>
      </c>
      <c r="L15" s="466">
        <f>$C$43</f>
        <v>0.81400000000000006</v>
      </c>
      <c r="M15" s="457">
        <f t="shared" ref="M15:M18" si="1">K15*L15</f>
        <v>8.1714943009515846</v>
      </c>
    </row>
    <row r="16" spans="1:17" x14ac:dyDescent="0.25">
      <c r="A16" s="456" t="s">
        <v>335</v>
      </c>
      <c r="B16" s="456"/>
      <c r="C16" s="455">
        <v>0</v>
      </c>
      <c r="D16" s="455">
        <v>4</v>
      </c>
      <c r="E16" s="455">
        <v>15</v>
      </c>
      <c r="F16" s="455">
        <v>32</v>
      </c>
      <c r="G16" s="455">
        <v>219</v>
      </c>
      <c r="I16" s="455" t="s">
        <v>214</v>
      </c>
      <c r="J16" s="454">
        <f>E18</f>
        <v>44</v>
      </c>
      <c r="K16" s="457">
        <f>J16*100000000/($D$25*5)</f>
        <v>36.808532887169299</v>
      </c>
      <c r="L16" s="466">
        <f>$C$43</f>
        <v>0.81400000000000006</v>
      </c>
      <c r="M16" s="457">
        <f t="shared" si="1"/>
        <v>29.962145770155811</v>
      </c>
    </row>
    <row r="17" spans="1:13" x14ac:dyDescent="0.25">
      <c r="A17" s="456" t="s">
        <v>336</v>
      </c>
      <c r="B17" s="456"/>
      <c r="C17" s="455">
        <v>0</v>
      </c>
      <c r="D17" s="455">
        <v>3</v>
      </c>
      <c r="E17" s="455">
        <v>5</v>
      </c>
      <c r="F17" s="455">
        <v>22</v>
      </c>
      <c r="G17" s="455">
        <v>172</v>
      </c>
      <c r="I17" s="455" t="s">
        <v>213</v>
      </c>
      <c r="J17" s="454">
        <f>F18</f>
        <v>100</v>
      </c>
      <c r="K17" s="457">
        <f>J17*100000000/($D$25*5)</f>
        <v>83.655756561748404</v>
      </c>
      <c r="L17" s="466">
        <f>$C$43</f>
        <v>0.81400000000000006</v>
      </c>
      <c r="M17" s="457">
        <f t="shared" si="1"/>
        <v>68.095785841263208</v>
      </c>
    </row>
    <row r="18" spans="1:13" x14ac:dyDescent="0.25">
      <c r="A18" s="456" t="s">
        <v>353</v>
      </c>
      <c r="B18" s="456"/>
      <c r="C18" s="458">
        <f>SUM(C12:C17)</f>
        <v>1</v>
      </c>
      <c r="D18" s="458">
        <f>SUM(D12:D17)</f>
        <v>12</v>
      </c>
      <c r="E18" s="458">
        <f>SUM(E12:E17)</f>
        <v>44</v>
      </c>
      <c r="F18" s="458">
        <f>SUM(F12:F17)</f>
        <v>100</v>
      </c>
      <c r="G18" s="458">
        <f>SUM(G12:G17)</f>
        <v>927</v>
      </c>
      <c r="I18" s="455" t="s">
        <v>212</v>
      </c>
      <c r="J18" s="454">
        <f>G18</f>
        <v>927</v>
      </c>
      <c r="K18" s="457">
        <f>J18*100000000/($D$25*5)</f>
        <v>775.48886332740767</v>
      </c>
      <c r="L18" s="466">
        <f>$C$43</f>
        <v>0.81400000000000006</v>
      </c>
      <c r="M18" s="457">
        <f t="shared" si="1"/>
        <v>631.24793474850992</v>
      </c>
    </row>
    <row r="19" spans="1:13" x14ac:dyDescent="0.25">
      <c r="A19" s="452"/>
      <c r="B19" s="452"/>
      <c r="C19" s="18"/>
      <c r="D19" s="18"/>
      <c r="E19" s="18"/>
      <c r="F19" s="18"/>
      <c r="G19" s="18"/>
    </row>
    <row r="20" spans="1:13" ht="14.45" customHeight="1" x14ac:dyDescent="0.25">
      <c r="A20" s="452"/>
      <c r="B20" s="452"/>
      <c r="C20" s="18"/>
      <c r="D20" s="18"/>
      <c r="E20" s="18"/>
      <c r="F20" s="18"/>
      <c r="G20" s="18"/>
      <c r="I20" s="534" t="s">
        <v>325</v>
      </c>
      <c r="J20" s="534" t="s">
        <v>354</v>
      </c>
      <c r="K20" s="534" t="s">
        <v>355</v>
      </c>
      <c r="L20" s="534" t="s">
        <v>217</v>
      </c>
      <c r="M20" s="534" t="s">
        <v>409</v>
      </c>
    </row>
    <row r="21" spans="1:13" x14ac:dyDescent="0.25">
      <c r="A21" s="508" t="s">
        <v>358</v>
      </c>
      <c r="B21" s="456"/>
      <c r="C21" s="458">
        <f>1+0</f>
        <v>1</v>
      </c>
      <c r="D21" s="458">
        <f>4+1</f>
        <v>5</v>
      </c>
      <c r="E21" s="458">
        <f>0+2</f>
        <v>2</v>
      </c>
      <c r="F21" s="458">
        <f>16+11</f>
        <v>27</v>
      </c>
      <c r="G21" s="458">
        <f>119+83</f>
        <v>202</v>
      </c>
      <c r="I21" s="534"/>
      <c r="J21" s="534"/>
      <c r="K21" s="534"/>
      <c r="L21" s="534"/>
      <c r="M21" s="534"/>
    </row>
    <row r="22" spans="1:13" x14ac:dyDescent="0.25">
      <c r="A22" s="452"/>
      <c r="B22" s="452"/>
      <c r="C22" s="18"/>
      <c r="D22" s="18"/>
      <c r="E22" s="18"/>
      <c r="F22" s="18"/>
      <c r="G22" s="18"/>
      <c r="I22" s="455" t="s">
        <v>216</v>
      </c>
      <c r="J22" s="454">
        <f>C21</f>
        <v>1</v>
      </c>
      <c r="K22" s="457">
        <f>J22*100000000/($D$26*5*(5280/5280))</f>
        <v>2.2365110427732735</v>
      </c>
      <c r="L22" s="466">
        <f>$C$54</f>
        <v>0.82883333333333342</v>
      </c>
      <c r="M22" s="457">
        <f>K22*L22</f>
        <v>1.8536949026185818</v>
      </c>
    </row>
    <row r="23" spans="1:13" x14ac:dyDescent="0.25">
      <c r="B23" s="507" t="s">
        <v>338</v>
      </c>
      <c r="C23" s="460" t="s">
        <v>368</v>
      </c>
      <c r="D23" s="507" t="s">
        <v>352</v>
      </c>
      <c r="E23" s="507" t="s">
        <v>351</v>
      </c>
      <c r="F23" s="18"/>
      <c r="G23" s="18"/>
      <c r="I23" s="455" t="s">
        <v>215</v>
      </c>
      <c r="J23" s="454">
        <f>D21</f>
        <v>5</v>
      </c>
      <c r="K23" s="457">
        <f>J23*100000000/($D$26*5*(4000/5280))</f>
        <v>14.760972882303605</v>
      </c>
      <c r="L23" s="466">
        <f>$C$54</f>
        <v>0.82883333333333342</v>
      </c>
      <c r="M23" s="457">
        <f t="shared" ref="M23:M26" si="2">K23*L23</f>
        <v>12.23438635728264</v>
      </c>
    </row>
    <row r="24" spans="1:13" x14ac:dyDescent="0.25">
      <c r="A24" s="452" t="s">
        <v>344</v>
      </c>
      <c r="B24" s="18">
        <v>51500</v>
      </c>
      <c r="C24" s="18">
        <v>1.4</v>
      </c>
      <c r="D24" s="453">
        <f>B24*365*C24</f>
        <v>26316500</v>
      </c>
      <c r="E24" s="18">
        <v>5</v>
      </c>
      <c r="G24" s="18"/>
      <c r="I24" s="455" t="s">
        <v>214</v>
      </c>
      <c r="J24" s="454">
        <f>E21</f>
        <v>2</v>
      </c>
      <c r="K24" s="457">
        <f>J24*100000000/($D$26*5*(4000/5280))</f>
        <v>5.9043891529214418</v>
      </c>
      <c r="L24" s="466">
        <f>$C$54</f>
        <v>0.82883333333333342</v>
      </c>
      <c r="M24" s="457">
        <f t="shared" si="2"/>
        <v>4.8937545429130553</v>
      </c>
    </row>
    <row r="25" spans="1:13" x14ac:dyDescent="0.25">
      <c r="A25" s="452" t="s">
        <v>345</v>
      </c>
      <c r="B25" s="18">
        <f>51500+14000</f>
        <v>65500</v>
      </c>
      <c r="C25" s="18"/>
      <c r="D25" s="453">
        <f>B25*365</f>
        <v>23907500</v>
      </c>
      <c r="E25" s="18">
        <v>5</v>
      </c>
      <c r="G25" s="18"/>
      <c r="I25" s="455" t="s">
        <v>213</v>
      </c>
      <c r="J25" s="454">
        <f>F21</f>
        <v>27</v>
      </c>
      <c r="K25" s="457">
        <f>J25*100000000/($D$26*5*(4000/5280))</f>
        <v>79.709253564439464</v>
      </c>
      <c r="L25" s="466">
        <f>$C$54</f>
        <v>0.82883333333333342</v>
      </c>
      <c r="M25" s="457">
        <f t="shared" si="2"/>
        <v>66.065686329326255</v>
      </c>
    </row>
    <row r="26" spans="1:13" x14ac:dyDescent="0.25">
      <c r="A26" s="452" t="s">
        <v>337</v>
      </c>
      <c r="B26" s="18">
        <f>13500+11000</f>
        <v>24500</v>
      </c>
      <c r="C26" s="459">
        <v>1</v>
      </c>
      <c r="D26" s="453">
        <f>B26*365*C26</f>
        <v>8942500</v>
      </c>
      <c r="E26" s="18">
        <v>5</v>
      </c>
      <c r="G26" s="18"/>
      <c r="I26" s="455" t="s">
        <v>212</v>
      </c>
      <c r="J26" s="454">
        <f>G21</f>
        <v>202</v>
      </c>
      <c r="K26" s="457">
        <f>J26*100000000/($D$26*5*(4000/5280))</f>
        <v>596.34330444506566</v>
      </c>
      <c r="L26" s="466">
        <f>$C$54</f>
        <v>0.82883333333333342</v>
      </c>
      <c r="M26" s="457">
        <f t="shared" si="2"/>
        <v>494.26920883421866</v>
      </c>
    </row>
    <row r="27" spans="1:13" x14ac:dyDescent="0.25">
      <c r="G27" s="18"/>
    </row>
    <row r="28" spans="1:13" x14ac:dyDescent="0.25">
      <c r="A28" s="460" t="s">
        <v>372</v>
      </c>
      <c r="B28" s="452"/>
      <c r="C28" s="18"/>
      <c r="D28" s="18"/>
      <c r="E28" s="18"/>
      <c r="F28" s="18"/>
      <c r="G28" s="18"/>
    </row>
    <row r="29" spans="1:13" x14ac:dyDescent="0.25">
      <c r="A29" s="535" t="s">
        <v>226</v>
      </c>
      <c r="B29" s="536" t="s">
        <v>225</v>
      </c>
      <c r="C29" s="535" t="s">
        <v>217</v>
      </c>
      <c r="D29" s="18"/>
      <c r="E29" s="18"/>
      <c r="F29" s="18"/>
      <c r="G29" s="18"/>
    </row>
    <row r="30" spans="1:13" x14ac:dyDescent="0.25">
      <c r="A30" s="535"/>
      <c r="B30" s="536"/>
      <c r="C30" s="535"/>
      <c r="D30" s="18"/>
      <c r="E30" s="18"/>
      <c r="F30" s="18"/>
      <c r="G30" s="18"/>
    </row>
    <row r="31" spans="1:13" x14ac:dyDescent="0.25">
      <c r="A31" s="454" t="s">
        <v>380</v>
      </c>
      <c r="B31" s="454"/>
      <c r="C31" s="455">
        <v>0.92</v>
      </c>
      <c r="D31" s="452" t="s">
        <v>363</v>
      </c>
      <c r="E31" s="18"/>
      <c r="F31" s="18"/>
      <c r="G31" s="18"/>
    </row>
    <row r="32" spans="1:13" x14ac:dyDescent="0.25">
      <c r="A32" s="456" t="s">
        <v>373</v>
      </c>
      <c r="B32" s="454"/>
      <c r="C32" s="466">
        <v>0.7</v>
      </c>
      <c r="D32" s="452" t="s">
        <v>363</v>
      </c>
      <c r="E32" s="18"/>
      <c r="F32" s="18"/>
      <c r="G32" s="18"/>
    </row>
    <row r="33" spans="1:7" x14ac:dyDescent="0.25">
      <c r="A33" s="462" t="s">
        <v>378</v>
      </c>
      <c r="C33" s="461">
        <f>C31</f>
        <v>0.92</v>
      </c>
      <c r="D33" s="464" t="s">
        <v>379</v>
      </c>
      <c r="E33" s="18"/>
      <c r="F33" s="18"/>
      <c r="G33" s="18"/>
    </row>
    <row r="34" spans="1:7" x14ac:dyDescent="0.25">
      <c r="A34" s="452"/>
      <c r="B34" s="452"/>
      <c r="C34" s="18"/>
      <c r="D34" s="18"/>
      <c r="E34" s="18"/>
      <c r="F34" s="18"/>
      <c r="G34" s="18"/>
    </row>
    <row r="35" spans="1:7" x14ac:dyDescent="0.25">
      <c r="A35" s="460" t="s">
        <v>371</v>
      </c>
      <c r="B35" s="452"/>
      <c r="C35" s="18"/>
      <c r="D35" s="18"/>
      <c r="E35" s="18"/>
      <c r="F35" s="18"/>
      <c r="G35" s="18"/>
    </row>
    <row r="36" spans="1:7" x14ac:dyDescent="0.25">
      <c r="A36" s="535" t="s">
        <v>226</v>
      </c>
      <c r="B36" s="536" t="s">
        <v>225</v>
      </c>
      <c r="C36" s="535" t="s">
        <v>217</v>
      </c>
      <c r="E36" s="452"/>
      <c r="F36" s="18"/>
      <c r="G36" s="18"/>
    </row>
    <row r="37" spans="1:7" x14ac:dyDescent="0.25">
      <c r="A37" s="535"/>
      <c r="B37" s="536"/>
      <c r="C37" s="535"/>
      <c r="D37" s="18"/>
      <c r="E37" s="18"/>
      <c r="F37" s="18"/>
      <c r="G37" s="18"/>
    </row>
    <row r="38" spans="1:7" x14ac:dyDescent="0.25">
      <c r="A38" s="454" t="s">
        <v>339</v>
      </c>
      <c r="B38" s="455">
        <v>1410</v>
      </c>
      <c r="C38" s="411">
        <v>0.85</v>
      </c>
      <c r="D38" s="18"/>
      <c r="E38" s="18"/>
      <c r="F38" s="18"/>
      <c r="G38" s="18"/>
    </row>
    <row r="39" spans="1:7" x14ac:dyDescent="0.25">
      <c r="A39" s="454" t="s">
        <v>340</v>
      </c>
      <c r="B39" s="455">
        <v>1430</v>
      </c>
      <c r="C39" s="410">
        <v>0.93</v>
      </c>
      <c r="D39" s="18"/>
      <c r="E39" s="18"/>
      <c r="F39" s="18"/>
      <c r="G39" s="18"/>
    </row>
    <row r="40" spans="1:7" x14ac:dyDescent="0.25">
      <c r="A40" s="454" t="s">
        <v>341</v>
      </c>
      <c r="B40" s="455">
        <v>254</v>
      </c>
      <c r="C40" s="410">
        <v>0.67</v>
      </c>
      <c r="D40" s="18"/>
      <c r="E40" s="18"/>
      <c r="F40" s="18"/>
      <c r="G40" s="18"/>
    </row>
    <row r="41" spans="1:7" x14ac:dyDescent="0.25">
      <c r="A41" s="454" t="s">
        <v>342</v>
      </c>
      <c r="B41" s="455">
        <v>287</v>
      </c>
      <c r="C41" s="410">
        <v>0.77</v>
      </c>
      <c r="D41" s="18"/>
      <c r="E41" s="18"/>
      <c r="F41" s="18"/>
      <c r="G41" s="18"/>
    </row>
    <row r="42" spans="1:7" x14ac:dyDescent="0.25">
      <c r="A42" s="454" t="s">
        <v>377</v>
      </c>
      <c r="B42" s="455"/>
      <c r="C42" s="410">
        <v>0.85</v>
      </c>
      <c r="D42" s="452" t="s">
        <v>363</v>
      </c>
      <c r="E42" s="18"/>
      <c r="F42" s="18"/>
      <c r="G42" s="18"/>
    </row>
    <row r="43" spans="1:7" x14ac:dyDescent="0.25">
      <c r="A43" s="463" t="s">
        <v>230</v>
      </c>
      <c r="C43" s="461">
        <f>AVERAGE(C38:C42)</f>
        <v>0.81400000000000006</v>
      </c>
      <c r="D43" s="464" t="s">
        <v>366</v>
      </c>
      <c r="E43" s="18"/>
      <c r="F43" s="18"/>
      <c r="G43" s="18"/>
    </row>
    <row r="44" spans="1:7" x14ac:dyDescent="0.25">
      <c r="E44" s="18"/>
      <c r="F44" s="18"/>
      <c r="G44" s="18"/>
    </row>
    <row r="45" spans="1:7" x14ac:dyDescent="0.25">
      <c r="A45" s="19" t="s">
        <v>370</v>
      </c>
      <c r="E45" s="18"/>
      <c r="F45" s="18"/>
      <c r="G45" s="18"/>
    </row>
    <row r="46" spans="1:7" x14ac:dyDescent="0.25">
      <c r="A46" s="535" t="s">
        <v>226</v>
      </c>
      <c r="B46" s="536" t="s">
        <v>225</v>
      </c>
      <c r="C46" s="535" t="s">
        <v>217</v>
      </c>
    </row>
    <row r="47" spans="1:7" x14ac:dyDescent="0.25">
      <c r="A47" s="535"/>
      <c r="B47" s="536"/>
      <c r="C47" s="535"/>
    </row>
    <row r="48" spans="1:7" x14ac:dyDescent="0.25">
      <c r="A48" s="456" t="s">
        <v>343</v>
      </c>
      <c r="B48" s="455">
        <v>8334</v>
      </c>
      <c r="C48" s="411">
        <v>0.76</v>
      </c>
    </row>
    <row r="49" spans="1:4" x14ac:dyDescent="0.25">
      <c r="A49" s="456" t="s">
        <v>362</v>
      </c>
      <c r="B49" s="455"/>
      <c r="C49" s="411">
        <v>0.9</v>
      </c>
      <c r="D49" s="452" t="s">
        <v>363</v>
      </c>
    </row>
    <row r="50" spans="1:4" x14ac:dyDescent="0.25">
      <c r="A50" s="456" t="s">
        <v>361</v>
      </c>
      <c r="B50" s="454"/>
      <c r="C50" s="411">
        <v>0.91300000000000003</v>
      </c>
      <c r="D50" s="452" t="s">
        <v>364</v>
      </c>
    </row>
    <row r="51" spans="1:4" x14ac:dyDescent="0.25">
      <c r="A51" s="454" t="s">
        <v>374</v>
      </c>
      <c r="B51" s="454"/>
      <c r="C51" s="466">
        <v>0.8</v>
      </c>
      <c r="D51" s="452" t="s">
        <v>363</v>
      </c>
    </row>
    <row r="52" spans="1:4" x14ac:dyDescent="0.25">
      <c r="A52" s="454" t="s">
        <v>375</v>
      </c>
      <c r="B52" s="454"/>
      <c r="C52" s="455">
        <v>0.95</v>
      </c>
      <c r="D52" s="452" t="s">
        <v>363</v>
      </c>
    </row>
    <row r="53" spans="1:4" x14ac:dyDescent="0.25">
      <c r="A53" s="454" t="s">
        <v>376</v>
      </c>
      <c r="B53" s="454"/>
      <c r="C53" s="455">
        <v>0.65</v>
      </c>
      <c r="D53" s="464" t="s">
        <v>366</v>
      </c>
    </row>
    <row r="54" spans="1:4" x14ac:dyDescent="0.25">
      <c r="A54" s="463" t="s">
        <v>365</v>
      </c>
      <c r="C54" s="461">
        <f>AVERAGE(C48:C53)</f>
        <v>0.82883333333333342</v>
      </c>
      <c r="D54" s="465" t="s">
        <v>367</v>
      </c>
    </row>
  </sheetData>
  <mergeCells count="27">
    <mergeCell ref="L12:L13"/>
    <mergeCell ref="M12:M13"/>
    <mergeCell ref="A46:A47"/>
    <mergeCell ref="B46:B47"/>
    <mergeCell ref="C46:C47"/>
    <mergeCell ref="A29:A30"/>
    <mergeCell ref="B29:B30"/>
    <mergeCell ref="C29:C30"/>
    <mergeCell ref="A36:A37"/>
    <mergeCell ref="B36:B37"/>
    <mergeCell ref="C36:C37"/>
    <mergeCell ref="O2:O3"/>
    <mergeCell ref="P2:P3"/>
    <mergeCell ref="Q2:Q3"/>
    <mergeCell ref="I20:I21"/>
    <mergeCell ref="J20:J21"/>
    <mergeCell ref="K20:K21"/>
    <mergeCell ref="L20:L21"/>
    <mergeCell ref="M20:M21"/>
    <mergeCell ref="I2:I3"/>
    <mergeCell ref="J2:J3"/>
    <mergeCell ref="K2:K3"/>
    <mergeCell ref="L2:L3"/>
    <mergeCell ref="M2:M3"/>
    <mergeCell ref="I12:I13"/>
    <mergeCell ref="J12:J13"/>
    <mergeCell ref="K12:K13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7"/>
  <dimension ref="B1:AF55"/>
  <sheetViews>
    <sheetView zoomScaleNormal="100" zoomScaleSheetLayoutView="90" workbookViewId="0">
      <pane xSplit="3" ySplit="5" topLeftCell="R6" activePane="bottomRight" state="frozen"/>
      <selection activeCell="L36" sqref="L36"/>
      <selection pane="topRight" activeCell="L36" sqref="L36"/>
      <selection pane="bottomLeft" activeCell="L36" sqref="L36"/>
      <selection pane="bottomRight" activeCell="AG1" sqref="AG1:AG1048576"/>
    </sheetView>
  </sheetViews>
  <sheetFormatPr defaultColWidth="9.140625" defaultRowHeight="12" x14ac:dyDescent="0.2"/>
  <cols>
    <col min="1" max="1" width="2.5703125" style="265" customWidth="1"/>
    <col min="2" max="2" width="2.85546875" style="265" customWidth="1"/>
    <col min="3" max="3" width="38.28515625" style="265" customWidth="1"/>
    <col min="4" max="4" width="13.85546875" style="265" bestFit="1" customWidth="1"/>
    <col min="5" max="9" width="10.140625" style="265" bestFit="1" customWidth="1"/>
    <col min="10" max="10" width="11.42578125" style="265" bestFit="1" customWidth="1"/>
    <col min="11" max="11" width="10.42578125" style="265" customWidth="1"/>
    <col min="12" max="28" width="10.140625" style="265" bestFit="1" customWidth="1"/>
    <col min="29" max="31" width="9.85546875" style="265" customWidth="1"/>
    <col min="32" max="16384" width="9.140625" style="265"/>
  </cols>
  <sheetData>
    <row r="1" spans="2:32" ht="15" customHeight="1" x14ac:dyDescent="0.2">
      <c r="B1" s="22"/>
      <c r="C1" s="86"/>
      <c r="D1" s="86"/>
    </row>
    <row r="2" spans="2:32" x14ac:dyDescent="0.2">
      <c r="B2" s="22" t="str">
        <f>Inputs!C1</f>
        <v>US 27 PALMETTO Project</v>
      </c>
      <c r="C2" s="86"/>
      <c r="D2" s="86"/>
      <c r="J2" s="270">
        <f>SUM(M6:AF6)</f>
        <v>2995753495.6047769</v>
      </c>
    </row>
    <row r="3" spans="2:32" x14ac:dyDescent="0.2">
      <c r="B3" s="22" t="s">
        <v>86</v>
      </c>
      <c r="C3" s="86"/>
      <c r="D3" s="86"/>
      <c r="J3" s="270">
        <f>SUM(M7:AF7)</f>
        <v>3116316652.1755433</v>
      </c>
      <c r="K3" s="270">
        <f>J3-J2</f>
        <v>120563156.57076645</v>
      </c>
    </row>
    <row r="4" spans="2:32" ht="15" customHeight="1" x14ac:dyDescent="0.2">
      <c r="D4" s="271" t="s">
        <v>13</v>
      </c>
      <c r="E4" s="271" t="s">
        <v>130</v>
      </c>
      <c r="M4" s="448">
        <v>1</v>
      </c>
      <c r="N4" s="448">
        <v>2</v>
      </c>
      <c r="O4" s="448">
        <v>3</v>
      </c>
      <c r="P4" s="448">
        <v>4</v>
      </c>
      <c r="Q4" s="448">
        <v>5</v>
      </c>
      <c r="R4" s="448">
        <v>6</v>
      </c>
      <c r="S4" s="448">
        <v>7</v>
      </c>
      <c r="T4" s="448">
        <v>8</v>
      </c>
      <c r="U4" s="448">
        <v>9</v>
      </c>
      <c r="V4" s="448">
        <v>10</v>
      </c>
      <c r="W4" s="448">
        <v>11</v>
      </c>
      <c r="X4" s="448">
        <v>12</v>
      </c>
      <c r="Y4" s="448">
        <v>13</v>
      </c>
      <c r="Z4" s="448">
        <v>14</v>
      </c>
      <c r="AA4" s="448">
        <v>15</v>
      </c>
      <c r="AB4" s="448">
        <v>16</v>
      </c>
      <c r="AC4" s="448">
        <v>17</v>
      </c>
      <c r="AD4" s="448">
        <v>18</v>
      </c>
      <c r="AE4" s="448">
        <v>19</v>
      </c>
      <c r="AF4" s="448">
        <v>20</v>
      </c>
    </row>
    <row r="5" spans="2:32" x14ac:dyDescent="0.2">
      <c r="B5" s="272" t="s">
        <v>67</v>
      </c>
      <c r="C5" s="273"/>
      <c r="D5" s="267" t="s">
        <v>181</v>
      </c>
      <c r="E5" s="267">
        <v>2020</v>
      </c>
      <c r="F5" s="267">
        <v>2021</v>
      </c>
      <c r="G5" s="267">
        <v>2022</v>
      </c>
      <c r="H5" s="267">
        <v>2023</v>
      </c>
      <c r="I5" s="267">
        <v>2024</v>
      </c>
      <c r="J5" s="267">
        <v>2025</v>
      </c>
      <c r="K5" s="267">
        <v>2026</v>
      </c>
      <c r="L5" s="267">
        <v>2027</v>
      </c>
      <c r="M5" s="267">
        <v>2028</v>
      </c>
      <c r="N5" s="267">
        <v>2029</v>
      </c>
      <c r="O5" s="267">
        <v>2030</v>
      </c>
      <c r="P5" s="267">
        <v>2031</v>
      </c>
      <c r="Q5" s="267">
        <v>2032</v>
      </c>
      <c r="R5" s="267">
        <v>2033</v>
      </c>
      <c r="S5" s="267">
        <v>2034</v>
      </c>
      <c r="T5" s="267">
        <v>2035</v>
      </c>
      <c r="U5" s="267">
        <v>2036</v>
      </c>
      <c r="V5" s="267">
        <v>2037</v>
      </c>
      <c r="W5" s="267">
        <v>2038</v>
      </c>
      <c r="X5" s="267">
        <v>2039</v>
      </c>
      <c r="Y5" s="267">
        <v>2040</v>
      </c>
      <c r="Z5" s="267">
        <v>2041</v>
      </c>
      <c r="AA5" s="267">
        <v>2042</v>
      </c>
      <c r="AB5" s="267">
        <v>2043</v>
      </c>
      <c r="AC5" s="267">
        <v>2044</v>
      </c>
      <c r="AD5" s="267">
        <v>2045</v>
      </c>
      <c r="AE5" s="267">
        <v>2046</v>
      </c>
      <c r="AF5" s="267">
        <v>2047</v>
      </c>
    </row>
    <row r="6" spans="2:32" x14ac:dyDescent="0.2">
      <c r="B6" s="265" t="s">
        <v>128</v>
      </c>
      <c r="E6" s="270"/>
      <c r="F6" s="270"/>
      <c r="G6" s="270"/>
      <c r="H6" s="270"/>
      <c r="I6" s="270"/>
      <c r="J6" s="270"/>
      <c r="K6" s="270"/>
      <c r="L6" s="270"/>
      <c r="M6" s="270">
        <f>Inputs!D60</f>
        <v>137914961.59999999</v>
      </c>
      <c r="N6" s="270">
        <f>(1+(($AD6/$M6)^(1/($AD$5-$M$5))-1))*M6</f>
        <v>139101201.27739206</v>
      </c>
      <c r="O6" s="270">
        <f t="shared" ref="O6:AC6" si="0">(1+(($AD6/$M6)^(1/($AD$5-$M$5))-1))*N6</f>
        <v>140297644.08688739</v>
      </c>
      <c r="P6" s="270">
        <f t="shared" si="0"/>
        <v>141504377.78807342</v>
      </c>
      <c r="Q6" s="270">
        <f t="shared" si="0"/>
        <v>142721490.89537889</v>
      </c>
      <c r="R6" s="270">
        <f t="shared" si="0"/>
        <v>143949072.68456635</v>
      </c>
      <c r="S6" s="270">
        <f t="shared" si="0"/>
        <v>145187213.19928065</v>
      </c>
      <c r="T6" s="270">
        <f t="shared" si="0"/>
        <v>146436003.25765359</v>
      </c>
      <c r="U6" s="270">
        <f t="shared" si="0"/>
        <v>147695534.45896557</v>
      </c>
      <c r="V6" s="270">
        <f t="shared" si="0"/>
        <v>148965899.19036433</v>
      </c>
      <c r="W6" s="270">
        <f t="shared" si="0"/>
        <v>150247190.63364163</v>
      </c>
      <c r="X6" s="270">
        <f t="shared" si="0"/>
        <v>151539502.7720682</v>
      </c>
      <c r="Y6" s="270">
        <f t="shared" si="0"/>
        <v>152842930.39728746</v>
      </c>
      <c r="Z6" s="270">
        <f t="shared" si="0"/>
        <v>154157569.11626846</v>
      </c>
      <c r="AA6" s="270">
        <f t="shared" si="0"/>
        <v>155483515.35831872</v>
      </c>
      <c r="AB6" s="270">
        <f t="shared" si="0"/>
        <v>156820866.38215742</v>
      </c>
      <c r="AC6" s="270">
        <f t="shared" si="0"/>
        <v>158169720.28304932</v>
      </c>
      <c r="AD6" s="270">
        <f>Inputs!E60</f>
        <v>159530176</v>
      </c>
      <c r="AE6" s="270">
        <f>(1+(($AD6/$M6)^(1/($AD$5-$M$5))-1))*AD6</f>
        <v>160902333.32301331</v>
      </c>
      <c r="AF6" s="270">
        <f t="shared" ref="AF6" si="1">(1+(($AD6/$M6)^(1/($AD$5-$M$5))-1))*AE6</f>
        <v>162286292.90041077</v>
      </c>
    </row>
    <row r="7" spans="2:32" x14ac:dyDescent="0.2">
      <c r="B7" s="265" t="s">
        <v>32</v>
      </c>
      <c r="E7" s="270"/>
      <c r="F7" s="270"/>
      <c r="G7" s="270"/>
      <c r="H7" s="270"/>
      <c r="I7" s="270"/>
      <c r="J7" s="270"/>
      <c r="K7" s="270"/>
      <c r="L7" s="270"/>
      <c r="M7" s="270">
        <f>Inputs!D61</f>
        <v>141261640</v>
      </c>
      <c r="N7" s="270">
        <f>(1+(($AD7/$M7)^(1/($AD$5-$M$5))-1))*M7</f>
        <v>142701641.73055321</v>
      </c>
      <c r="O7" s="270">
        <f t="shared" ref="O7:AC7" si="2">(1+(($AD7/$M7)^(1/($AD$5-$M$5))-1))*N7</f>
        <v>144156322.64070532</v>
      </c>
      <c r="P7" s="270">
        <f t="shared" si="2"/>
        <v>145625832.36799434</v>
      </c>
      <c r="Q7" s="270">
        <f t="shared" si="2"/>
        <v>147110322.07534277</v>
      </c>
      <c r="R7" s="270">
        <f t="shared" si="2"/>
        <v>148609944.46660718</v>
      </c>
      <c r="S7" s="270">
        <f t="shared" si="2"/>
        <v>150124853.80228621</v>
      </c>
      <c r="T7" s="270">
        <f t="shared" si="2"/>
        <v>151655205.91538879</v>
      </c>
      <c r="U7" s="270">
        <f t="shared" si="2"/>
        <v>153201158.2274642</v>
      </c>
      <c r="V7" s="270">
        <f t="shared" si="2"/>
        <v>154762869.76479524</v>
      </c>
      <c r="W7" s="270">
        <f t="shared" si="2"/>
        <v>156340501.17475682</v>
      </c>
      <c r="X7" s="270">
        <f t="shared" si="2"/>
        <v>157934214.7423411</v>
      </c>
      <c r="Y7" s="270">
        <f t="shared" si="2"/>
        <v>159544174.40685108</v>
      </c>
      <c r="Z7" s="270">
        <f t="shared" si="2"/>
        <v>161170545.77876455</v>
      </c>
      <c r="AA7" s="270">
        <f t="shared" si="2"/>
        <v>162813496.15676966</v>
      </c>
      <c r="AB7" s="270">
        <f t="shared" si="2"/>
        <v>164473194.54497445</v>
      </c>
      <c r="AC7" s="270">
        <f t="shared" si="2"/>
        <v>166149811.67029151</v>
      </c>
      <c r="AD7" s="270">
        <f>Inputs!E61</f>
        <v>167843520</v>
      </c>
      <c r="AE7" s="270">
        <f>(1+(($AD7/$M7)^(1/($AD$5-$M$5))-1))*AD7</f>
        <v>169554493.7594873</v>
      </c>
      <c r="AF7" s="270">
        <f t="shared" ref="AF7" si="3">(1+(($AD7/$M7)^(1/($AD$5-$M$5))-1))*AE7</f>
        <v>171282908.95016989</v>
      </c>
    </row>
    <row r="8" spans="2:32" x14ac:dyDescent="0.2"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274"/>
      <c r="P8" s="274"/>
      <c r="Q8" s="274"/>
      <c r="R8" s="274"/>
      <c r="S8" s="274"/>
      <c r="T8" s="274"/>
      <c r="U8" s="274"/>
      <c r="V8" s="274"/>
      <c r="W8" s="274"/>
      <c r="X8" s="274"/>
      <c r="Y8" s="274"/>
      <c r="Z8" s="274"/>
      <c r="AA8" s="274"/>
      <c r="AB8" s="274"/>
    </row>
    <row r="10" spans="2:32" x14ac:dyDescent="0.2">
      <c r="B10" s="275" t="s">
        <v>87</v>
      </c>
    </row>
    <row r="11" spans="2:32" x14ac:dyDescent="0.2">
      <c r="B11" s="265" t="s">
        <v>11</v>
      </c>
      <c r="D11" s="265" t="s">
        <v>227</v>
      </c>
    </row>
    <row r="12" spans="2:32" x14ac:dyDescent="0.2">
      <c r="C12" s="276" t="s">
        <v>149</v>
      </c>
      <c r="H12" s="269"/>
      <c r="I12" s="269"/>
      <c r="J12" s="269"/>
      <c r="K12" s="269"/>
      <c r="L12" s="269"/>
      <c r="M12" s="269">
        <f>'Traditional Crash Analysis'!P8</f>
        <v>820.27498669010333</v>
      </c>
      <c r="N12" s="269">
        <f>M12</f>
        <v>820.27498669010333</v>
      </c>
      <c r="O12" s="269">
        <f>N12</f>
        <v>820.27498669010333</v>
      </c>
      <c r="P12" s="269">
        <f t="shared" ref="P12:AB16" si="4">O12</f>
        <v>820.27498669010333</v>
      </c>
      <c r="Q12" s="269">
        <f t="shared" si="4"/>
        <v>820.27498669010333</v>
      </c>
      <c r="R12" s="269">
        <f t="shared" si="4"/>
        <v>820.27498669010333</v>
      </c>
      <c r="S12" s="269">
        <f t="shared" si="4"/>
        <v>820.27498669010333</v>
      </c>
      <c r="T12" s="269">
        <f t="shared" si="4"/>
        <v>820.27498669010333</v>
      </c>
      <c r="U12" s="269">
        <f t="shared" si="4"/>
        <v>820.27498669010333</v>
      </c>
      <c r="V12" s="269">
        <f t="shared" si="4"/>
        <v>820.27498669010333</v>
      </c>
      <c r="W12" s="269">
        <f t="shared" si="4"/>
        <v>820.27498669010333</v>
      </c>
      <c r="X12" s="269">
        <f t="shared" si="4"/>
        <v>820.27498669010333</v>
      </c>
      <c r="Y12" s="269">
        <f t="shared" si="4"/>
        <v>820.27498669010333</v>
      </c>
      <c r="Z12" s="269">
        <f t="shared" si="4"/>
        <v>820.27498669010333</v>
      </c>
      <c r="AA12" s="269">
        <f t="shared" si="4"/>
        <v>820.27498669010333</v>
      </c>
      <c r="AB12" s="269">
        <f t="shared" si="4"/>
        <v>820.27498669010333</v>
      </c>
      <c r="AC12" s="269">
        <f t="shared" ref="AC12:AC16" si="5">AB12</f>
        <v>820.27498669010333</v>
      </c>
      <c r="AD12" s="269">
        <f t="shared" ref="AD12:AD16" si="6">AC12</f>
        <v>820.27498669010333</v>
      </c>
      <c r="AE12" s="269">
        <f t="shared" ref="AE12:AE16" si="7">AD12</f>
        <v>820.27498669010333</v>
      </c>
      <c r="AF12" s="269">
        <f t="shared" ref="AF12:AF16" si="8">AE12</f>
        <v>820.27498669010333</v>
      </c>
    </row>
    <row r="13" spans="2:32" x14ac:dyDescent="0.2">
      <c r="C13" s="276" t="s">
        <v>150</v>
      </c>
      <c r="H13" s="269"/>
      <c r="I13" s="269"/>
      <c r="J13" s="269"/>
      <c r="K13" s="269"/>
      <c r="L13" s="269"/>
      <c r="M13" s="269">
        <f>'Traditional Crash Analysis'!P7</f>
        <v>94.188434333617835</v>
      </c>
      <c r="N13" s="269">
        <f t="shared" ref="N13:O16" si="9">M13</f>
        <v>94.188434333617835</v>
      </c>
      <c r="O13" s="269">
        <f t="shared" si="9"/>
        <v>94.188434333617835</v>
      </c>
      <c r="P13" s="269">
        <f t="shared" ref="P13:Z13" si="10">O13</f>
        <v>94.188434333617835</v>
      </c>
      <c r="Q13" s="269">
        <f t="shared" si="10"/>
        <v>94.188434333617835</v>
      </c>
      <c r="R13" s="269">
        <f t="shared" si="10"/>
        <v>94.188434333617835</v>
      </c>
      <c r="S13" s="269">
        <f t="shared" si="10"/>
        <v>94.188434333617835</v>
      </c>
      <c r="T13" s="269">
        <f t="shared" si="10"/>
        <v>94.188434333617835</v>
      </c>
      <c r="U13" s="269">
        <f t="shared" si="10"/>
        <v>94.188434333617835</v>
      </c>
      <c r="V13" s="269">
        <f t="shared" si="10"/>
        <v>94.188434333617835</v>
      </c>
      <c r="W13" s="269">
        <f t="shared" si="10"/>
        <v>94.188434333617835</v>
      </c>
      <c r="X13" s="269">
        <f t="shared" si="10"/>
        <v>94.188434333617835</v>
      </c>
      <c r="Y13" s="269">
        <f t="shared" si="10"/>
        <v>94.188434333617835</v>
      </c>
      <c r="Z13" s="269">
        <f t="shared" si="10"/>
        <v>94.188434333617835</v>
      </c>
      <c r="AA13" s="269">
        <f t="shared" si="4"/>
        <v>94.188434333617835</v>
      </c>
      <c r="AB13" s="269">
        <f t="shared" si="4"/>
        <v>94.188434333617835</v>
      </c>
      <c r="AC13" s="269">
        <f t="shared" si="5"/>
        <v>94.188434333617835</v>
      </c>
      <c r="AD13" s="269">
        <f t="shared" si="6"/>
        <v>94.188434333617835</v>
      </c>
      <c r="AE13" s="269">
        <f t="shared" si="7"/>
        <v>94.188434333617835</v>
      </c>
      <c r="AF13" s="269">
        <f t="shared" si="8"/>
        <v>94.188434333617835</v>
      </c>
    </row>
    <row r="14" spans="2:32" x14ac:dyDescent="0.2">
      <c r="C14" s="276" t="s">
        <v>151</v>
      </c>
      <c r="H14" s="269"/>
      <c r="I14" s="269"/>
      <c r="J14" s="269"/>
      <c r="K14" s="269"/>
      <c r="L14" s="269"/>
      <c r="M14" s="269">
        <f>'Traditional Crash Analysis'!P6</f>
        <v>34.695309000870424</v>
      </c>
      <c r="N14" s="269">
        <f t="shared" si="9"/>
        <v>34.695309000870424</v>
      </c>
      <c r="O14" s="269">
        <f t="shared" si="9"/>
        <v>34.695309000870424</v>
      </c>
      <c r="P14" s="269">
        <f t="shared" si="4"/>
        <v>34.695309000870424</v>
      </c>
      <c r="Q14" s="269">
        <f t="shared" si="4"/>
        <v>34.695309000870424</v>
      </c>
      <c r="R14" s="269">
        <f t="shared" si="4"/>
        <v>34.695309000870424</v>
      </c>
      <c r="S14" s="269">
        <f t="shared" si="4"/>
        <v>34.695309000870424</v>
      </c>
      <c r="T14" s="269">
        <f t="shared" si="4"/>
        <v>34.695309000870424</v>
      </c>
      <c r="U14" s="269">
        <f t="shared" si="4"/>
        <v>34.695309000870424</v>
      </c>
      <c r="V14" s="269">
        <f t="shared" si="4"/>
        <v>34.695309000870424</v>
      </c>
      <c r="W14" s="269">
        <f t="shared" si="4"/>
        <v>34.695309000870424</v>
      </c>
      <c r="X14" s="269">
        <f t="shared" si="4"/>
        <v>34.695309000870424</v>
      </c>
      <c r="Y14" s="269">
        <f t="shared" si="4"/>
        <v>34.695309000870424</v>
      </c>
      <c r="Z14" s="269">
        <f t="shared" si="4"/>
        <v>34.695309000870424</v>
      </c>
      <c r="AA14" s="269">
        <f t="shared" si="4"/>
        <v>34.695309000870424</v>
      </c>
      <c r="AB14" s="269">
        <f t="shared" si="4"/>
        <v>34.695309000870424</v>
      </c>
      <c r="AC14" s="269">
        <f t="shared" si="5"/>
        <v>34.695309000870424</v>
      </c>
      <c r="AD14" s="269">
        <f t="shared" si="6"/>
        <v>34.695309000870424</v>
      </c>
      <c r="AE14" s="269">
        <f t="shared" si="7"/>
        <v>34.695309000870424</v>
      </c>
      <c r="AF14" s="269">
        <f t="shared" si="8"/>
        <v>34.695309000870424</v>
      </c>
    </row>
    <row r="15" spans="2:32" x14ac:dyDescent="0.2">
      <c r="C15" s="276" t="s">
        <v>152</v>
      </c>
      <c r="H15" s="269"/>
      <c r="I15" s="269"/>
      <c r="J15" s="269"/>
      <c r="K15" s="269"/>
      <c r="L15" s="269"/>
      <c r="M15" s="269">
        <f>'Traditional Crash Analysis'!P5</f>
        <v>11.357778472615415</v>
      </c>
      <c r="N15" s="269">
        <f t="shared" si="9"/>
        <v>11.357778472615415</v>
      </c>
      <c r="O15" s="269">
        <f t="shared" si="9"/>
        <v>11.357778472615415</v>
      </c>
      <c r="P15" s="269">
        <f t="shared" si="4"/>
        <v>11.357778472615415</v>
      </c>
      <c r="Q15" s="269">
        <f t="shared" si="4"/>
        <v>11.357778472615415</v>
      </c>
      <c r="R15" s="269">
        <f t="shared" si="4"/>
        <v>11.357778472615415</v>
      </c>
      <c r="S15" s="269">
        <f t="shared" si="4"/>
        <v>11.357778472615415</v>
      </c>
      <c r="T15" s="269">
        <f t="shared" si="4"/>
        <v>11.357778472615415</v>
      </c>
      <c r="U15" s="269">
        <f t="shared" si="4"/>
        <v>11.357778472615415</v>
      </c>
      <c r="V15" s="269">
        <f t="shared" si="4"/>
        <v>11.357778472615415</v>
      </c>
      <c r="W15" s="269">
        <f t="shared" si="4"/>
        <v>11.357778472615415</v>
      </c>
      <c r="X15" s="269">
        <f t="shared" si="4"/>
        <v>11.357778472615415</v>
      </c>
      <c r="Y15" s="269">
        <f t="shared" si="4"/>
        <v>11.357778472615415</v>
      </c>
      <c r="Z15" s="269">
        <f t="shared" si="4"/>
        <v>11.357778472615415</v>
      </c>
      <c r="AA15" s="269">
        <f t="shared" si="4"/>
        <v>11.357778472615415</v>
      </c>
      <c r="AB15" s="269">
        <f t="shared" si="4"/>
        <v>11.357778472615415</v>
      </c>
      <c r="AC15" s="269">
        <f t="shared" si="5"/>
        <v>11.357778472615415</v>
      </c>
      <c r="AD15" s="269">
        <f t="shared" si="6"/>
        <v>11.357778472615415</v>
      </c>
      <c r="AE15" s="269">
        <f t="shared" si="7"/>
        <v>11.357778472615415</v>
      </c>
      <c r="AF15" s="269">
        <f t="shared" si="8"/>
        <v>11.357778472615415</v>
      </c>
    </row>
    <row r="16" spans="2:32" x14ac:dyDescent="0.2">
      <c r="C16" s="276" t="s">
        <v>153</v>
      </c>
      <c r="H16" s="269"/>
      <c r="I16" s="269"/>
      <c r="J16" s="269"/>
      <c r="K16" s="269"/>
      <c r="L16" s="269"/>
      <c r="M16" s="269">
        <f>'Traditional Crash Analysis'!P4</f>
        <v>1.0140873636263763</v>
      </c>
      <c r="N16" s="269">
        <f t="shared" si="9"/>
        <v>1.0140873636263763</v>
      </c>
      <c r="O16" s="269">
        <f t="shared" si="9"/>
        <v>1.0140873636263763</v>
      </c>
      <c r="P16" s="269">
        <f t="shared" si="4"/>
        <v>1.0140873636263763</v>
      </c>
      <c r="Q16" s="269">
        <f t="shared" si="4"/>
        <v>1.0140873636263763</v>
      </c>
      <c r="R16" s="269">
        <f t="shared" si="4"/>
        <v>1.0140873636263763</v>
      </c>
      <c r="S16" s="269">
        <f t="shared" si="4"/>
        <v>1.0140873636263763</v>
      </c>
      <c r="T16" s="269">
        <f t="shared" si="4"/>
        <v>1.0140873636263763</v>
      </c>
      <c r="U16" s="269">
        <f t="shared" si="4"/>
        <v>1.0140873636263763</v>
      </c>
      <c r="V16" s="269">
        <f t="shared" si="4"/>
        <v>1.0140873636263763</v>
      </c>
      <c r="W16" s="269">
        <f t="shared" si="4"/>
        <v>1.0140873636263763</v>
      </c>
      <c r="X16" s="269">
        <f t="shared" si="4"/>
        <v>1.0140873636263763</v>
      </c>
      <c r="Y16" s="269">
        <f t="shared" si="4"/>
        <v>1.0140873636263763</v>
      </c>
      <c r="Z16" s="269">
        <f t="shared" si="4"/>
        <v>1.0140873636263763</v>
      </c>
      <c r="AA16" s="269">
        <f t="shared" si="4"/>
        <v>1.0140873636263763</v>
      </c>
      <c r="AB16" s="269">
        <f t="shared" si="4"/>
        <v>1.0140873636263763</v>
      </c>
      <c r="AC16" s="269">
        <f t="shared" si="5"/>
        <v>1.0140873636263763</v>
      </c>
      <c r="AD16" s="269">
        <f t="shared" si="6"/>
        <v>1.0140873636263763</v>
      </c>
      <c r="AE16" s="269">
        <f t="shared" si="7"/>
        <v>1.0140873636263763</v>
      </c>
      <c r="AF16" s="269">
        <f t="shared" si="8"/>
        <v>1.0140873636263763</v>
      </c>
    </row>
    <row r="17" spans="2:32" x14ac:dyDescent="0.2">
      <c r="C17" s="276"/>
      <c r="I17" s="269"/>
      <c r="J17" s="269"/>
      <c r="K17" s="269"/>
      <c r="L17" s="269"/>
      <c r="M17" s="269"/>
      <c r="N17" s="269"/>
      <c r="O17" s="269"/>
      <c r="P17" s="269"/>
      <c r="Q17" s="269"/>
      <c r="R17" s="269"/>
      <c r="S17" s="269"/>
      <c r="T17" s="269"/>
      <c r="U17" s="269"/>
      <c r="V17" s="269"/>
      <c r="W17" s="269"/>
      <c r="X17" s="269"/>
      <c r="Y17" s="269"/>
      <c r="Z17" s="269"/>
      <c r="AA17" s="269"/>
      <c r="AB17" s="269"/>
      <c r="AC17" s="269"/>
      <c r="AD17" s="269"/>
      <c r="AE17" s="269"/>
    </row>
    <row r="18" spans="2:32" x14ac:dyDescent="0.2">
      <c r="B18" s="265" t="s">
        <v>29</v>
      </c>
      <c r="K18" s="269"/>
      <c r="M18" s="269"/>
      <c r="N18" s="269"/>
      <c r="O18" s="269"/>
      <c r="P18" s="269"/>
      <c r="Q18" s="269"/>
      <c r="R18" s="269"/>
      <c r="S18" s="269"/>
      <c r="T18" s="269"/>
      <c r="U18" s="269"/>
      <c r="V18" s="269"/>
      <c r="W18" s="269"/>
      <c r="X18" s="269"/>
      <c r="Y18" s="269"/>
      <c r="Z18" s="269"/>
      <c r="AA18" s="269"/>
      <c r="AB18" s="269"/>
    </row>
    <row r="19" spans="2:32" x14ac:dyDescent="0.2">
      <c r="C19" s="276" t="s">
        <v>149</v>
      </c>
      <c r="H19" s="269"/>
      <c r="I19" s="269"/>
      <c r="J19" s="269"/>
      <c r="L19" s="402"/>
      <c r="M19" s="269">
        <f>'Traditional Crash Analysis'!Q8</f>
        <v>713.22052850853106</v>
      </c>
      <c r="N19" s="269">
        <f>M19</f>
        <v>713.22052850853106</v>
      </c>
      <c r="O19" s="269">
        <f>N19</f>
        <v>713.22052850853106</v>
      </c>
      <c r="P19" s="269">
        <f t="shared" ref="P19:AB23" si="11">O19</f>
        <v>713.22052850853106</v>
      </c>
      <c r="Q19" s="269">
        <f t="shared" si="11"/>
        <v>713.22052850853106</v>
      </c>
      <c r="R19" s="269">
        <f t="shared" si="11"/>
        <v>713.22052850853106</v>
      </c>
      <c r="S19" s="269">
        <f t="shared" si="11"/>
        <v>713.22052850853106</v>
      </c>
      <c r="T19" s="269">
        <f t="shared" si="11"/>
        <v>713.22052850853106</v>
      </c>
      <c r="U19" s="269">
        <f t="shared" si="11"/>
        <v>713.22052850853106</v>
      </c>
      <c r="V19" s="269">
        <f t="shared" si="11"/>
        <v>713.22052850853106</v>
      </c>
      <c r="W19" s="269">
        <f t="shared" si="11"/>
        <v>713.22052850853106</v>
      </c>
      <c r="X19" s="269">
        <f t="shared" si="11"/>
        <v>713.22052850853106</v>
      </c>
      <c r="Y19" s="269">
        <f t="shared" si="11"/>
        <v>713.22052850853106</v>
      </c>
      <c r="Z19" s="269">
        <f t="shared" si="11"/>
        <v>713.22052850853106</v>
      </c>
      <c r="AA19" s="269">
        <f t="shared" si="11"/>
        <v>713.22052850853106</v>
      </c>
      <c r="AB19" s="269">
        <f t="shared" si="11"/>
        <v>713.22052850853106</v>
      </c>
      <c r="AC19" s="269">
        <f t="shared" ref="AC19:AC23" si="12">AB19</f>
        <v>713.22052850853106</v>
      </c>
      <c r="AD19" s="269">
        <f t="shared" ref="AD19:AD23" si="13">AC19</f>
        <v>713.22052850853106</v>
      </c>
      <c r="AE19" s="269">
        <f t="shared" ref="AE19:AE23" si="14">AD19</f>
        <v>713.22052850853106</v>
      </c>
      <c r="AF19" s="269">
        <f t="shared" ref="AF19:AF23" si="15">AE19</f>
        <v>713.22052850853106</v>
      </c>
    </row>
    <row r="20" spans="2:32" x14ac:dyDescent="0.2">
      <c r="C20" s="276" t="s">
        <v>150</v>
      </c>
      <c r="H20" s="269"/>
      <c r="I20" s="269"/>
      <c r="J20" s="269"/>
      <c r="L20" s="402"/>
      <c r="M20" s="269">
        <f>'Traditional Crash Analysis'!Q7</f>
        <v>81.971933442066032</v>
      </c>
      <c r="N20" s="269">
        <f t="shared" ref="N20:O23" si="16">M20</f>
        <v>81.971933442066032</v>
      </c>
      <c r="O20" s="269">
        <f t="shared" si="16"/>
        <v>81.971933442066032</v>
      </c>
      <c r="P20" s="269">
        <f t="shared" ref="P20:Z20" si="17">O20</f>
        <v>81.971933442066032</v>
      </c>
      <c r="Q20" s="269">
        <f t="shared" si="17"/>
        <v>81.971933442066032</v>
      </c>
      <c r="R20" s="269">
        <f t="shared" si="17"/>
        <v>81.971933442066032</v>
      </c>
      <c r="S20" s="269">
        <f t="shared" si="17"/>
        <v>81.971933442066032</v>
      </c>
      <c r="T20" s="269">
        <f t="shared" si="17"/>
        <v>81.971933442066032</v>
      </c>
      <c r="U20" s="269">
        <f t="shared" si="17"/>
        <v>81.971933442066032</v>
      </c>
      <c r="V20" s="269">
        <f t="shared" si="17"/>
        <v>81.971933442066032</v>
      </c>
      <c r="W20" s="269">
        <f t="shared" si="17"/>
        <v>81.971933442066032</v>
      </c>
      <c r="X20" s="269">
        <f t="shared" si="17"/>
        <v>81.971933442066032</v>
      </c>
      <c r="Y20" s="269">
        <f t="shared" si="17"/>
        <v>81.971933442066032</v>
      </c>
      <c r="Z20" s="269">
        <f t="shared" si="17"/>
        <v>81.971933442066032</v>
      </c>
      <c r="AA20" s="269">
        <f t="shared" si="11"/>
        <v>81.971933442066032</v>
      </c>
      <c r="AB20" s="269">
        <f t="shared" si="11"/>
        <v>81.971933442066032</v>
      </c>
      <c r="AC20" s="269">
        <f t="shared" si="12"/>
        <v>81.971933442066032</v>
      </c>
      <c r="AD20" s="269">
        <f t="shared" si="13"/>
        <v>81.971933442066032</v>
      </c>
      <c r="AE20" s="269">
        <f t="shared" si="14"/>
        <v>81.971933442066032</v>
      </c>
      <c r="AF20" s="269">
        <f t="shared" si="15"/>
        <v>81.971933442066032</v>
      </c>
    </row>
    <row r="21" spans="2:32" x14ac:dyDescent="0.2">
      <c r="C21" s="276" t="s">
        <v>151</v>
      </c>
      <c r="H21" s="269"/>
      <c r="I21" s="269"/>
      <c r="J21" s="269"/>
      <c r="L21" s="402"/>
      <c r="M21" s="269">
        <f>'Traditional Crash Analysis'!Q6</f>
        <v>30.261759610590452</v>
      </c>
      <c r="N21" s="269">
        <f t="shared" si="16"/>
        <v>30.261759610590452</v>
      </c>
      <c r="O21" s="269">
        <f t="shared" si="16"/>
        <v>30.261759610590452</v>
      </c>
      <c r="P21" s="269">
        <f t="shared" si="11"/>
        <v>30.261759610590452</v>
      </c>
      <c r="Q21" s="269">
        <f t="shared" si="11"/>
        <v>30.261759610590452</v>
      </c>
      <c r="R21" s="269">
        <f t="shared" si="11"/>
        <v>30.261759610590452</v>
      </c>
      <c r="S21" s="269">
        <f t="shared" si="11"/>
        <v>30.261759610590452</v>
      </c>
      <c r="T21" s="269">
        <f t="shared" si="11"/>
        <v>30.261759610590452</v>
      </c>
      <c r="U21" s="269">
        <f t="shared" si="11"/>
        <v>30.261759610590452</v>
      </c>
      <c r="V21" s="269">
        <f t="shared" si="11"/>
        <v>30.261759610590452</v>
      </c>
      <c r="W21" s="269">
        <f t="shared" si="11"/>
        <v>30.261759610590452</v>
      </c>
      <c r="X21" s="269">
        <f t="shared" si="11"/>
        <v>30.261759610590452</v>
      </c>
      <c r="Y21" s="269">
        <f t="shared" si="11"/>
        <v>30.261759610590452</v>
      </c>
      <c r="Z21" s="269">
        <f t="shared" si="11"/>
        <v>30.261759610590452</v>
      </c>
      <c r="AA21" s="269">
        <f t="shared" si="11"/>
        <v>30.261759610590452</v>
      </c>
      <c r="AB21" s="269">
        <f t="shared" si="11"/>
        <v>30.261759610590452</v>
      </c>
      <c r="AC21" s="269">
        <f t="shared" si="12"/>
        <v>30.261759610590452</v>
      </c>
      <c r="AD21" s="269">
        <f t="shared" si="13"/>
        <v>30.261759610590452</v>
      </c>
      <c r="AE21" s="269">
        <f t="shared" si="14"/>
        <v>30.261759610590452</v>
      </c>
      <c r="AF21" s="269">
        <f t="shared" si="15"/>
        <v>30.261759610590452</v>
      </c>
    </row>
    <row r="22" spans="2:32" x14ac:dyDescent="0.2">
      <c r="C22" s="276" t="s">
        <v>152</v>
      </c>
      <c r="H22" s="269"/>
      <c r="I22" s="269"/>
      <c r="J22" s="269"/>
      <c r="L22" s="402"/>
      <c r="M22" s="269">
        <f>'Traditional Crash Analysis'!Q5</f>
        <v>9.8157910303972695</v>
      </c>
      <c r="N22" s="269">
        <f t="shared" si="16"/>
        <v>9.8157910303972695</v>
      </c>
      <c r="O22" s="269">
        <f t="shared" si="16"/>
        <v>9.8157910303972695</v>
      </c>
      <c r="P22" s="269">
        <f t="shared" si="11"/>
        <v>9.8157910303972695</v>
      </c>
      <c r="Q22" s="269">
        <f t="shared" si="11"/>
        <v>9.8157910303972695</v>
      </c>
      <c r="R22" s="269">
        <f t="shared" si="11"/>
        <v>9.8157910303972695</v>
      </c>
      <c r="S22" s="269">
        <f t="shared" si="11"/>
        <v>9.8157910303972695</v>
      </c>
      <c r="T22" s="269">
        <f t="shared" si="11"/>
        <v>9.8157910303972695</v>
      </c>
      <c r="U22" s="269">
        <f t="shared" si="11"/>
        <v>9.8157910303972695</v>
      </c>
      <c r="V22" s="269">
        <f t="shared" si="11"/>
        <v>9.8157910303972695</v>
      </c>
      <c r="W22" s="269">
        <f t="shared" si="11"/>
        <v>9.8157910303972695</v>
      </c>
      <c r="X22" s="269">
        <f t="shared" si="11"/>
        <v>9.8157910303972695</v>
      </c>
      <c r="Y22" s="269">
        <f t="shared" si="11"/>
        <v>9.8157910303972695</v>
      </c>
      <c r="Z22" s="269">
        <f t="shared" si="11"/>
        <v>9.8157910303972695</v>
      </c>
      <c r="AA22" s="269">
        <f t="shared" si="11"/>
        <v>9.8157910303972695</v>
      </c>
      <c r="AB22" s="269">
        <f t="shared" si="11"/>
        <v>9.8157910303972695</v>
      </c>
      <c r="AC22" s="269">
        <f t="shared" si="12"/>
        <v>9.8157910303972695</v>
      </c>
      <c r="AD22" s="269">
        <f t="shared" si="13"/>
        <v>9.8157910303972695</v>
      </c>
      <c r="AE22" s="269">
        <f t="shared" si="14"/>
        <v>9.8157910303972695</v>
      </c>
      <c r="AF22" s="269">
        <f t="shared" si="15"/>
        <v>9.8157910303972695</v>
      </c>
    </row>
    <row r="23" spans="2:32" x14ac:dyDescent="0.2">
      <c r="C23" s="276" t="s">
        <v>153</v>
      </c>
      <c r="H23" s="269"/>
      <c r="I23" s="269"/>
      <c r="J23" s="269"/>
      <c r="L23" s="402"/>
      <c r="M23" s="269">
        <f>'Traditional Crash Analysis'!Q4</f>
        <v>0.8663122994712662</v>
      </c>
      <c r="N23" s="269">
        <f t="shared" si="16"/>
        <v>0.8663122994712662</v>
      </c>
      <c r="O23" s="269">
        <f t="shared" si="16"/>
        <v>0.8663122994712662</v>
      </c>
      <c r="P23" s="269">
        <f t="shared" si="11"/>
        <v>0.8663122994712662</v>
      </c>
      <c r="Q23" s="269">
        <f t="shared" si="11"/>
        <v>0.8663122994712662</v>
      </c>
      <c r="R23" s="269">
        <f t="shared" si="11"/>
        <v>0.8663122994712662</v>
      </c>
      <c r="S23" s="269">
        <f t="shared" si="11"/>
        <v>0.8663122994712662</v>
      </c>
      <c r="T23" s="269">
        <f t="shared" si="11"/>
        <v>0.8663122994712662</v>
      </c>
      <c r="U23" s="269">
        <f t="shared" si="11"/>
        <v>0.8663122994712662</v>
      </c>
      <c r="V23" s="269">
        <f t="shared" si="11"/>
        <v>0.8663122994712662</v>
      </c>
      <c r="W23" s="269">
        <f t="shared" si="11"/>
        <v>0.8663122994712662</v>
      </c>
      <c r="X23" s="269">
        <f t="shared" si="11"/>
        <v>0.8663122994712662</v>
      </c>
      <c r="Y23" s="269">
        <f t="shared" si="11"/>
        <v>0.8663122994712662</v>
      </c>
      <c r="Z23" s="269">
        <f t="shared" si="11"/>
        <v>0.8663122994712662</v>
      </c>
      <c r="AA23" s="269">
        <f t="shared" si="11"/>
        <v>0.8663122994712662</v>
      </c>
      <c r="AB23" s="269">
        <f t="shared" si="11"/>
        <v>0.8663122994712662</v>
      </c>
      <c r="AC23" s="269">
        <f t="shared" si="12"/>
        <v>0.8663122994712662</v>
      </c>
      <c r="AD23" s="269">
        <f t="shared" si="13"/>
        <v>0.8663122994712662</v>
      </c>
      <c r="AE23" s="269">
        <f t="shared" si="14"/>
        <v>0.8663122994712662</v>
      </c>
      <c r="AF23" s="269">
        <f t="shared" si="15"/>
        <v>0.8663122994712662</v>
      </c>
    </row>
    <row r="24" spans="2:32" x14ac:dyDescent="0.2">
      <c r="C24" s="276"/>
      <c r="I24" s="269"/>
      <c r="J24" s="269"/>
      <c r="K24" s="269"/>
      <c r="L24" s="402"/>
      <c r="M24" s="269"/>
      <c r="N24" s="269"/>
      <c r="O24" s="269"/>
      <c r="P24" s="269"/>
      <c r="Q24" s="269"/>
      <c r="R24" s="269"/>
      <c r="S24" s="269"/>
      <c r="T24" s="269"/>
      <c r="U24" s="269"/>
      <c r="V24" s="269"/>
      <c r="W24" s="269"/>
      <c r="X24" s="269"/>
      <c r="Y24" s="269"/>
      <c r="Z24" s="269"/>
      <c r="AA24" s="269"/>
      <c r="AB24" s="269"/>
      <c r="AC24" s="269"/>
      <c r="AD24" s="269"/>
      <c r="AE24" s="269"/>
      <c r="AF24" s="269"/>
    </row>
    <row r="26" spans="2:32" x14ac:dyDescent="0.2">
      <c r="B26" s="275" t="s">
        <v>89</v>
      </c>
      <c r="D26" s="265" t="s">
        <v>227</v>
      </c>
    </row>
    <row r="27" spans="2:32" x14ac:dyDescent="0.2">
      <c r="B27" s="265" t="s">
        <v>11</v>
      </c>
    </row>
    <row r="28" spans="2:32" x14ac:dyDescent="0.2">
      <c r="C28" s="276" t="s">
        <v>149</v>
      </c>
      <c r="D28" s="276"/>
      <c r="E28" s="277"/>
      <c r="F28" s="277"/>
      <c r="G28" s="277"/>
      <c r="H28" s="277"/>
      <c r="I28" s="277"/>
      <c r="J28" s="277"/>
      <c r="K28" s="277"/>
      <c r="L28" s="277"/>
      <c r="M28" s="277">
        <f>M12*M$6/100000000</f>
        <v>1131.281932908061</v>
      </c>
      <c r="N28" s="277">
        <f t="shared" ref="N28" si="18">N12*N$6/100000000</f>
        <v>1141.0123602639014</v>
      </c>
      <c r="O28" s="277">
        <f t="shared" ref="O28:AB28" si="19">O12*O$6/100000000</f>
        <v>1150.8264813602441</v>
      </c>
      <c r="P28" s="277">
        <f t="shared" si="19"/>
        <v>1160.7250160670328</v>
      </c>
      <c r="Q28" s="277">
        <f t="shared" si="19"/>
        <v>1170.7086904459861</v>
      </c>
      <c r="R28" s="277">
        <f t="shared" si="19"/>
        <v>1180.7782368038538</v>
      </c>
      <c r="S28" s="277">
        <f t="shared" si="19"/>
        <v>1190.9343937461313</v>
      </c>
      <c r="T28" s="277">
        <f t="shared" ref="T28" si="20">T12*T$6/100000000</f>
        <v>1201.1779062312373</v>
      </c>
      <c r="U28" s="277">
        <f t="shared" si="19"/>
        <v>1211.5095256251568</v>
      </c>
      <c r="V28" s="277">
        <f t="shared" si="19"/>
        <v>1221.9300097565538</v>
      </c>
      <c r="W28" s="277">
        <f t="shared" si="19"/>
        <v>1232.440122972358</v>
      </c>
      <c r="X28" s="277">
        <f t="shared" si="19"/>
        <v>1243.0406361938312</v>
      </c>
      <c r="Y28" s="277">
        <f t="shared" ref="Y28" si="21">Y12*Y$6/100000000</f>
        <v>1253.7323269731135</v>
      </c>
      <c r="Z28" s="277">
        <f t="shared" si="19"/>
        <v>1264.515979550258</v>
      </c>
      <c r="AA28" s="277">
        <f t="shared" si="19"/>
        <v>1275.3923849107537</v>
      </c>
      <c r="AB28" s="277">
        <f t="shared" si="19"/>
        <v>1286.3623408435465</v>
      </c>
      <c r="AC28" s="277">
        <f t="shared" ref="AC28:AE28" si="22">AC12*AC$6/100000000</f>
        <v>1297.4266519995565</v>
      </c>
      <c r="AD28" s="277">
        <f t="shared" si="22"/>
        <v>1308.5861299506985</v>
      </c>
      <c r="AE28" s="277">
        <f t="shared" si="22"/>
        <v>1319.8415932494131</v>
      </c>
      <c r="AF28" s="277">
        <f t="shared" ref="AF28" si="23">AF12*AF$6/100000000</f>
        <v>1331.1938674887065</v>
      </c>
    </row>
    <row r="29" spans="2:32" x14ac:dyDescent="0.2">
      <c r="C29" s="276" t="s">
        <v>150</v>
      </c>
      <c r="D29" s="276"/>
      <c r="E29" s="277"/>
      <c r="F29" s="277"/>
      <c r="G29" s="277"/>
      <c r="H29" s="277"/>
      <c r="I29" s="277"/>
      <c r="J29" s="277"/>
      <c r="K29" s="277"/>
      <c r="L29" s="277"/>
      <c r="M29" s="277">
        <f t="shared" ref="M29:N32" si="24">M13*M$6/100000000</f>
        <v>129.89994304285025</v>
      </c>
      <c r="N29" s="277">
        <f t="shared" si="24"/>
        <v>131.01724362242999</v>
      </c>
      <c r="O29" s="277">
        <f t="shared" ref="O29:AB29" si="25">O13*O$6/100000000</f>
        <v>132.14415437239077</v>
      </c>
      <c r="P29" s="277">
        <f t="shared" si="25"/>
        <v>133.28075795211402</v>
      </c>
      <c r="Q29" s="277">
        <f t="shared" si="25"/>
        <v>134.4271377319543</v>
      </c>
      <c r="R29" s="277">
        <f t="shared" si="25"/>
        <v>135.58337779935459</v>
      </c>
      <c r="S29" s="277">
        <f t="shared" si="25"/>
        <v>136.74956296501418</v>
      </c>
      <c r="T29" s="277">
        <f t="shared" ref="T29" si="26">T13*T$6/100000000</f>
        <v>137.92577876910954</v>
      </c>
      <c r="U29" s="277">
        <f t="shared" si="25"/>
        <v>139.11211148756868</v>
      </c>
      <c r="V29" s="277">
        <f t="shared" si="25"/>
        <v>140.30864813839966</v>
      </c>
      <c r="W29" s="277">
        <f t="shared" si="25"/>
        <v>141.51547648807315</v>
      </c>
      <c r="X29" s="277">
        <f t="shared" si="25"/>
        <v>142.73268505796042</v>
      </c>
      <c r="Y29" s="277">
        <f t="shared" ref="Y29" si="27">Y13*Y$6/100000000</f>
        <v>143.96036313082629</v>
      </c>
      <c r="Z29" s="277">
        <f t="shared" si="25"/>
        <v>145.19860075737805</v>
      </c>
      <c r="AA29" s="277">
        <f t="shared" si="25"/>
        <v>146.44748876287062</v>
      </c>
      <c r="AB29" s="277">
        <f t="shared" si="25"/>
        <v>147.7071187537689</v>
      </c>
      <c r="AC29" s="277">
        <f t="shared" ref="AC29:AE29" si="28">AC13*AC$6/100000000</f>
        <v>148.97758312446692</v>
      </c>
      <c r="AD29" s="277">
        <f t="shared" si="28"/>
        <v>150.25897506406497</v>
      </c>
      <c r="AE29" s="277">
        <f t="shared" si="28"/>
        <v>151.55138856320528</v>
      </c>
      <c r="AF29" s="277">
        <f t="shared" ref="AF29" si="29">AF13*AF$6/100000000</f>
        <v>152.8549184209661</v>
      </c>
    </row>
    <row r="30" spans="2:32" x14ac:dyDescent="0.2">
      <c r="C30" s="276" t="s">
        <v>151</v>
      </c>
      <c r="D30" s="276"/>
      <c r="E30" s="277"/>
      <c r="F30" s="277"/>
      <c r="G30" s="277"/>
      <c r="H30" s="277"/>
      <c r="I30" s="277"/>
      <c r="J30" s="277"/>
      <c r="K30" s="277"/>
      <c r="L30" s="277"/>
      <c r="M30" s="277">
        <f t="shared" si="24"/>
        <v>47.850022085551785</v>
      </c>
      <c r="N30" s="277">
        <f t="shared" si="24"/>
        <v>48.261591607113893</v>
      </c>
      <c r="O30" s="277">
        <f t="shared" ref="O30:AB30" si="30">O14*O$6/100000000</f>
        <v>48.67670113688699</v>
      </c>
      <c r="P30" s="277">
        <f t="shared" si="30"/>
        <v>49.09538112333113</v>
      </c>
      <c r="Q30" s="277">
        <f t="shared" si="30"/>
        <v>49.517662276800849</v>
      </c>
      <c r="R30" s="277">
        <f t="shared" si="30"/>
        <v>49.943575571797858</v>
      </c>
      <c r="S30" s="277">
        <f t="shared" si="30"/>
        <v>50.373152249242956</v>
      </c>
      <c r="T30" s="277">
        <f t="shared" ref="T30" si="31">T14*T$6/100000000</f>
        <v>50.806423818767598</v>
      </c>
      <c r="U30" s="277">
        <f t="shared" si="30"/>
        <v>51.243422061025164</v>
      </c>
      <c r="V30" s="277">
        <f t="shared" si="30"/>
        <v>51.684179030022037</v>
      </c>
      <c r="W30" s="277">
        <f t="shared" si="30"/>
        <v>52.128727055468808</v>
      </c>
      <c r="X30" s="277">
        <f t="shared" si="30"/>
        <v>52.577098745151666</v>
      </c>
      <c r="Y30" s="277">
        <f t="shared" ref="Y30" si="32">Y14*Y$6/100000000</f>
        <v>53.02932698732419</v>
      </c>
      <c r="Z30" s="277">
        <f t="shared" si="30"/>
        <v>53.485444953119739</v>
      </c>
      <c r="AA30" s="277">
        <f t="shared" si="30"/>
        <v>53.945486098984496</v>
      </c>
      <c r="AB30" s="277">
        <f t="shared" si="30"/>
        <v>54.409484169131645</v>
      </c>
      <c r="AC30" s="277">
        <f t="shared" ref="AC30:AE30" si="33">AC14*AC$6/100000000</f>
        <v>54.877473198016375</v>
      </c>
      <c r="AD30" s="277">
        <f t="shared" si="33"/>
        <v>55.349487512832432</v>
      </c>
      <c r="AE30" s="277">
        <f t="shared" si="33"/>
        <v>55.825561736029968</v>
      </c>
      <c r="AF30" s="277">
        <f t="shared" ref="AF30" si="34">AF14*AF$6/100000000</f>
        <v>56.305730787855161</v>
      </c>
    </row>
    <row r="31" spans="2:32" x14ac:dyDescent="0.2">
      <c r="C31" s="276" t="s">
        <v>152</v>
      </c>
      <c r="D31" s="276"/>
      <c r="E31" s="277"/>
      <c r="F31" s="277"/>
      <c r="G31" s="277"/>
      <c r="H31" s="277"/>
      <c r="I31" s="277"/>
      <c r="J31" s="277"/>
      <c r="K31" s="277"/>
      <c r="L31" s="277"/>
      <c r="M31" s="277">
        <f t="shared" si="24"/>
        <v>15.664075819120615</v>
      </c>
      <c r="N31" s="277">
        <f t="shared" si="24"/>
        <v>15.798806293833074</v>
      </c>
      <c r="O31" s="277">
        <f t="shared" ref="O31:AB31" si="35">O15*O$6/100000000</f>
        <v>15.934695617687089</v>
      </c>
      <c r="P31" s="277">
        <f t="shared" si="35"/>
        <v>16.07175375822219</v>
      </c>
      <c r="Q31" s="277">
        <f t="shared" si="35"/>
        <v>16.209990768711116</v>
      </c>
      <c r="R31" s="277">
        <f t="shared" si="35"/>
        <v>16.349416788897191</v>
      </c>
      <c r="S31" s="277">
        <f t="shared" si="35"/>
        <v>16.490042045738143</v>
      </c>
      <c r="T31" s="277">
        <f t="shared" ref="T31" si="36">T15*T$6/100000000</f>
        <v>16.631876854156186</v>
      </c>
      <c r="U31" s="277">
        <f t="shared" si="35"/>
        <v>16.774931617794675</v>
      </c>
      <c r="V31" s="277">
        <f t="shared" si="35"/>
        <v>16.919216829781181</v>
      </c>
      <c r="W31" s="277">
        <f t="shared" si="35"/>
        <v>17.064743073497194</v>
      </c>
      <c r="X31" s="277">
        <f t="shared" si="35"/>
        <v>17.2115210233544</v>
      </c>
      <c r="Y31" s="277">
        <f t="shared" ref="Y31" si="37">Y15*Y$6/100000000</f>
        <v>17.359561445577675</v>
      </c>
      <c r="Z31" s="277">
        <f t="shared" si="35"/>
        <v>17.508875198994769</v>
      </c>
      <c r="AA31" s="277">
        <f t="shared" si="35"/>
        <v>17.659473235832806</v>
      </c>
      <c r="AB31" s="277">
        <f t="shared" si="35"/>
        <v>17.811366602521659</v>
      </c>
      <c r="AC31" s="277">
        <f t="shared" ref="AC31:AE31" si="38">AC15*AC$6/100000000</f>
        <v>17.964566440504193</v>
      </c>
      <c r="AD31" s="277">
        <f t="shared" si="38"/>
        <v>18.119083987053482</v>
      </c>
      <c r="AE31" s="277">
        <f t="shared" si="38"/>
        <v>18.274930576097105</v>
      </c>
      <c r="AF31" s="277">
        <f t="shared" ref="AF31" si="39">AF15*AF$6/100000000</f>
        <v>18.432117639048453</v>
      </c>
    </row>
    <row r="32" spans="2:32" x14ac:dyDescent="0.2">
      <c r="C32" s="276" t="s">
        <v>153</v>
      </c>
      <c r="D32" s="276"/>
      <c r="E32" s="277"/>
      <c r="F32" s="277"/>
      <c r="G32" s="277"/>
      <c r="H32" s="277"/>
      <c r="I32" s="277"/>
      <c r="J32" s="277"/>
      <c r="K32" s="277"/>
      <c r="L32" s="277"/>
      <c r="M32" s="277">
        <f t="shared" si="24"/>
        <v>1.398578198135769</v>
      </c>
      <c r="N32" s="277">
        <f t="shared" si="24"/>
        <v>1.4106077048065244</v>
      </c>
      <c r="O32" s="277">
        <f t="shared" ref="O32:AB32" si="40">O16*O$6/100000000</f>
        <v>1.4227406801506328</v>
      </c>
      <c r="P32" s="277">
        <f t="shared" si="40"/>
        <v>1.4349780141269814</v>
      </c>
      <c r="Q32" s="277">
        <f t="shared" si="40"/>
        <v>1.4473206043492064</v>
      </c>
      <c r="R32" s="277">
        <f t="shared" si="40"/>
        <v>1.4597693561515352</v>
      </c>
      <c r="S32" s="277">
        <f t="shared" si="40"/>
        <v>1.4723251826551915</v>
      </c>
      <c r="T32" s="277">
        <f t="shared" ref="T32" si="41">T16*T$6/100000000</f>
        <v>1.4849890048353738</v>
      </c>
      <c r="U32" s="277">
        <f t="shared" si="40"/>
        <v>1.49776175158881</v>
      </c>
      <c r="V32" s="277">
        <f t="shared" si="40"/>
        <v>1.510644359801891</v>
      </c>
      <c r="W32" s="277">
        <f t="shared" si="40"/>
        <v>1.5236377744193923</v>
      </c>
      <c r="X32" s="277">
        <f t="shared" si="40"/>
        <v>1.5367429485137858</v>
      </c>
      <c r="Y32" s="277">
        <f t="shared" ref="Y32" si="42">Y16*Y$6/100000000</f>
        <v>1.5499608433551497</v>
      </c>
      <c r="Z32" s="277">
        <f t="shared" si="40"/>
        <v>1.5632924284816756</v>
      </c>
      <c r="AA32" s="277">
        <f t="shared" si="40"/>
        <v>1.576738681770786</v>
      </c>
      <c r="AB32" s="277">
        <f t="shared" si="40"/>
        <v>1.5903005895108622</v>
      </c>
      <c r="AC32" s="277">
        <f t="shared" ref="AC32:AE32" si="43">AC16*AC$6/100000000</f>
        <v>1.6039791464735886</v>
      </c>
      <c r="AD32" s="277">
        <f t="shared" si="43"/>
        <v>1.6177753559869181</v>
      </c>
      <c r="AE32" s="277">
        <f t="shared" si="43"/>
        <v>1.6316902300086702</v>
      </c>
      <c r="AF32" s="277">
        <f t="shared" ref="AF32" si="44">AF16*AF$6/100000000</f>
        <v>1.6457247892007547</v>
      </c>
    </row>
    <row r="33" spans="2:32" x14ac:dyDescent="0.2">
      <c r="C33" s="276"/>
      <c r="D33" s="276"/>
      <c r="E33" s="277"/>
      <c r="F33" s="277"/>
      <c r="G33" s="277"/>
      <c r="H33" s="277"/>
      <c r="I33" s="277"/>
      <c r="J33" s="277"/>
      <c r="K33" s="277"/>
      <c r="L33" s="277"/>
      <c r="M33" s="277"/>
      <c r="O33" s="277"/>
      <c r="P33" s="277"/>
      <c r="Q33" s="277"/>
      <c r="R33" s="277"/>
      <c r="S33" s="277"/>
      <c r="T33" s="277"/>
      <c r="U33" s="277"/>
      <c r="V33" s="277"/>
      <c r="W33" s="277"/>
      <c r="X33" s="277"/>
      <c r="Y33" s="277"/>
      <c r="Z33" s="277"/>
      <c r="AA33" s="277"/>
      <c r="AB33" s="277"/>
      <c r="AC33" s="277"/>
      <c r="AD33" s="277"/>
      <c r="AE33" s="277"/>
      <c r="AF33" s="277"/>
    </row>
    <row r="34" spans="2:32" x14ac:dyDescent="0.2">
      <c r="B34" s="265" t="s">
        <v>29</v>
      </c>
      <c r="C34" s="276"/>
      <c r="D34" s="276"/>
    </row>
    <row r="35" spans="2:32" x14ac:dyDescent="0.2">
      <c r="C35" s="276" t="s">
        <v>149</v>
      </c>
      <c r="D35" s="276"/>
      <c r="E35" s="277"/>
      <c r="F35" s="277"/>
      <c r="G35" s="277"/>
      <c r="H35" s="277"/>
      <c r="I35" s="277"/>
      <c r="J35" s="277"/>
      <c r="K35" s="277"/>
      <c r="L35" s="277"/>
      <c r="M35" s="277">
        <f>M19*M$7/100000000</f>
        <v>1007.5070153878185</v>
      </c>
      <c r="N35" s="277">
        <f t="shared" ref="N35" si="45">N19*N$7/100000000</f>
        <v>1017.777403341002</v>
      </c>
      <c r="O35" s="277">
        <f t="shared" ref="O35:AB35" si="46">O19*O$7/100000000</f>
        <v>1028.1524862165015</v>
      </c>
      <c r="P35" s="277">
        <f t="shared" si="46"/>
        <v>1038.6333312599568</v>
      </c>
      <c r="Q35" s="277">
        <f t="shared" si="46"/>
        <v>1049.221016596362</v>
      </c>
      <c r="R35" s="277">
        <f t="shared" si="46"/>
        <v>1059.9166313409703</v>
      </c>
      <c r="S35" s="277">
        <f t="shared" si="46"/>
        <v>1070.7212757113252</v>
      </c>
      <c r="T35" s="277">
        <f t="shared" ref="T35" si="47">T19*T$7/100000000</f>
        <v>1081.6360611404371</v>
      </c>
      <c r="U35" s="277">
        <f t="shared" si="46"/>
        <v>1092.6621103911111</v>
      </c>
      <c r="V35" s="277">
        <f t="shared" si="46"/>
        <v>1103.8005576714422</v>
      </c>
      <c r="W35" s="277">
        <f t="shared" si="46"/>
        <v>1115.0525487514867</v>
      </c>
      <c r="X35" s="277">
        <f t="shared" si="46"/>
        <v>1126.4192410811236</v>
      </c>
      <c r="Y35" s="277">
        <f t="shared" ref="Y35" si="48">Y19*Y$7/100000000</f>
        <v>1137.9018039091159</v>
      </c>
      <c r="Z35" s="277">
        <f t="shared" si="46"/>
        <v>1149.5014184033885</v>
      </c>
      <c r="AA35" s="277">
        <f t="shared" si="46"/>
        <v>1161.2192777725295</v>
      </c>
      <c r="AB35" s="277">
        <f t="shared" si="46"/>
        <v>1173.0565873885312</v>
      </c>
      <c r="AC35" s="277">
        <f t="shared" ref="AC35:AE35" si="49">AC19*AC$7/100000000</f>
        <v>1185.0145649107822</v>
      </c>
      <c r="AD35" s="277">
        <f t="shared" si="49"/>
        <v>1197.094440411322</v>
      </c>
      <c r="AE35" s="277">
        <f t="shared" si="49"/>
        <v>1209.2974565013797</v>
      </c>
      <c r="AF35" s="277">
        <f t="shared" ref="AF35" si="50">AF19*AF$7/100000000</f>
        <v>1221.6248684591878</v>
      </c>
    </row>
    <row r="36" spans="2:32" x14ac:dyDescent="0.2">
      <c r="C36" s="276" t="s">
        <v>150</v>
      </c>
      <c r="D36" s="276"/>
      <c r="E36" s="277"/>
      <c r="F36" s="277"/>
      <c r="G36" s="277"/>
      <c r="H36" s="277"/>
      <c r="I36" s="277"/>
      <c r="J36" s="277"/>
      <c r="K36" s="277"/>
      <c r="L36" s="277"/>
      <c r="M36" s="277">
        <f t="shared" ref="M36:N39" si="51">M20*M$7/100000000</f>
        <v>115.79489751997093</v>
      </c>
      <c r="N36" s="277">
        <f t="shared" si="51"/>
        <v>116.9752947801046</v>
      </c>
      <c r="O36" s="277">
        <f t="shared" ref="O36:AB36" si="52">O20*O$7/100000000</f>
        <v>118.16772484756893</v>
      </c>
      <c r="P36" s="277">
        <f t="shared" si="52"/>
        <v>119.37231038314697</v>
      </c>
      <c r="Q36" s="277">
        <f t="shared" si="52"/>
        <v>120.58917529800895</v>
      </c>
      <c r="R36" s="277">
        <f t="shared" si="52"/>
        <v>121.81844476645853</v>
      </c>
      <c r="S36" s="277">
        <f t="shared" si="52"/>
        <v>123.06024523880899</v>
      </c>
      <c r="T36" s="277">
        <f t="shared" ref="T36" si="53">T20*T$7/100000000</f>
        <v>124.31470445439069</v>
      </c>
      <c r="U36" s="277">
        <f t="shared" si="52"/>
        <v>125.58195145469122</v>
      </c>
      <c r="V36" s="277">
        <f t="shared" si="52"/>
        <v>126.86211659662929</v>
      </c>
      <c r="W36" s="277">
        <f t="shared" si="52"/>
        <v>128.15533156596413</v>
      </c>
      <c r="X36" s="277">
        <f t="shared" si="52"/>
        <v>129.4617293908415</v>
      </c>
      <c r="Y36" s="277">
        <f t="shared" ref="Y36" si="54">Y20*Y$7/100000000</f>
        <v>130.78144445547773</v>
      </c>
      <c r="Z36" s="277">
        <f t="shared" si="52"/>
        <v>132.11461251398345</v>
      </c>
      <c r="AA36" s="277">
        <f t="shared" si="52"/>
        <v>133.46137070432798</v>
      </c>
      <c r="AB36" s="277">
        <f t="shared" si="52"/>
        <v>134.82185756244624</v>
      </c>
      <c r="AC36" s="277">
        <f t="shared" ref="AC36:AE36" si="55">AC20*AC$7/100000000</f>
        <v>136.19621303648941</v>
      </c>
      <c r="AD36" s="277">
        <f t="shared" si="55"/>
        <v>137.58457850122079</v>
      </c>
      <c r="AE36" s="277">
        <f t="shared" si="55"/>
        <v>138.98709677255894</v>
      </c>
      <c r="AF36" s="277">
        <f t="shared" ref="AF36" si="56">AF20*AF$7/100000000</f>
        <v>140.40391212226783</v>
      </c>
    </row>
    <row r="37" spans="2:32" x14ac:dyDescent="0.2">
      <c r="C37" s="276" t="s">
        <v>151</v>
      </c>
      <c r="D37" s="276"/>
      <c r="E37" s="277"/>
      <c r="F37" s="277"/>
      <c r="G37" s="277"/>
      <c r="H37" s="277"/>
      <c r="I37" s="277"/>
      <c r="J37" s="277"/>
      <c r="K37" s="277"/>
      <c r="L37" s="277"/>
      <c r="M37" s="277">
        <f t="shared" si="51"/>
        <v>42.748257918777682</v>
      </c>
      <c r="N37" s="277">
        <f t="shared" si="51"/>
        <v>43.184027780866039</v>
      </c>
      <c r="O37" s="277">
        <f t="shared" ref="O37:AB37" si="57">O21*O$7/100000000</f>
        <v>43.624239820997417</v>
      </c>
      <c r="P37" s="277">
        <f t="shared" si="57"/>
        <v>44.068939322123867</v>
      </c>
      <c r="Q37" s="277">
        <f t="shared" si="57"/>
        <v>44.518172028805608</v>
      </c>
      <c r="R37" s="277">
        <f t="shared" si="57"/>
        <v>44.971984151916637</v>
      </c>
      <c r="S37" s="277">
        <f t="shared" si="57"/>
        <v>45.430422373398208</v>
      </c>
      <c r="T37" s="277">
        <f t="shared" ref="T37" si="58">T21*T$7/100000000</f>
        <v>45.893533851060909</v>
      </c>
      <c r="U37" s="277">
        <f t="shared" si="57"/>
        <v>46.361366223435539</v>
      </c>
      <c r="V37" s="277">
        <f t="shared" si="57"/>
        <v>46.833967614673512</v>
      </c>
      <c r="W37" s="277">
        <f t="shared" si="57"/>
        <v>47.31138663949725</v>
      </c>
      <c r="X37" s="277">
        <f t="shared" si="57"/>
        <v>47.793672408200969</v>
      </c>
      <c r="Y37" s="277">
        <f t="shared" ref="Y37" si="59">Y21*Y$7/100000000</f>
        <v>48.280874531702452</v>
      </c>
      <c r="Z37" s="277">
        <f t="shared" si="57"/>
        <v>48.773043126646364</v>
      </c>
      <c r="AA37" s="277">
        <f t="shared" si="57"/>
        <v>49.270228820559559</v>
      </c>
      <c r="AB37" s="277">
        <f t="shared" si="57"/>
        <v>49.772482757058938</v>
      </c>
      <c r="AC37" s="277">
        <f t="shared" ref="AC37:AE37" si="60">AC21*AC$7/100000000</f>
        <v>50.279856601112378</v>
      </c>
      <c r="AD37" s="277">
        <f t="shared" si="60"/>
        <v>50.792402544353301</v>
      </c>
      <c r="AE37" s="277">
        <f t="shared" si="60"/>
        <v>51.310173310449642</v>
      </c>
      <c r="AF37" s="277">
        <f t="shared" ref="AF37" si="61">AF21*AF$7/100000000</f>
        <v>51.833222160526937</v>
      </c>
    </row>
    <row r="38" spans="2:32" x14ac:dyDescent="0.2">
      <c r="C38" s="276" t="s">
        <v>152</v>
      </c>
      <c r="D38" s="276"/>
      <c r="E38" s="277"/>
      <c r="F38" s="277"/>
      <c r="G38" s="277"/>
      <c r="H38" s="277"/>
      <c r="I38" s="277"/>
      <c r="J38" s="277"/>
      <c r="K38" s="277"/>
      <c r="L38" s="277"/>
      <c r="M38" s="277">
        <f t="shared" si="51"/>
        <v>13.865947388512081</v>
      </c>
      <c r="N38" s="277">
        <f t="shared" si="51"/>
        <v>14.007294949217288</v>
      </c>
      <c r="O38" s="277">
        <f t="shared" ref="O38:AB38" si="62">O22*O$7/100000000</f>
        <v>14.150083387516901</v>
      </c>
      <c r="P38" s="277">
        <f t="shared" si="62"/>
        <v>14.294327391518953</v>
      </c>
      <c r="Q38" s="277">
        <f t="shared" si="62"/>
        <v>14.44004179906003</v>
      </c>
      <c r="R38" s="277">
        <f t="shared" si="62"/>
        <v>14.587241599231591</v>
      </c>
      <c r="S38" s="277">
        <f t="shared" si="62"/>
        <v>14.735941933921824</v>
      </c>
      <c r="T38" s="277">
        <f t="shared" ref="T38" si="63">T22*T$7/100000000</f>
        <v>14.886158099373242</v>
      </c>
      <c r="U38" s="277">
        <f t="shared" si="62"/>
        <v>15.037905547756159</v>
      </c>
      <c r="V38" s="277">
        <f t="shared" si="62"/>
        <v>15.191199888758181</v>
      </c>
      <c r="W38" s="277">
        <f t="shared" si="62"/>
        <v>15.346056891189919</v>
      </c>
      <c r="X38" s="277">
        <f t="shared" si="62"/>
        <v>15.502492484607078</v>
      </c>
      <c r="Y38" s="277">
        <f t="shared" ref="Y38" si="64">Y22*Y$7/100000000</f>
        <v>15.660522760949066</v>
      </c>
      <c r="Z38" s="277">
        <f t="shared" si="62"/>
        <v>15.820163976194296</v>
      </c>
      <c r="AA38" s="277">
        <f t="shared" si="62"/>
        <v>15.981432552032398</v>
      </c>
      <c r="AB38" s="277">
        <f t="shared" si="62"/>
        <v>16.144345077553453</v>
      </c>
      <c r="AC38" s="277">
        <f t="shared" ref="AC38:AE38" si="65">AC22*AC$7/100000000</f>
        <v>16.308918310954429</v>
      </c>
      <c r="AD38" s="277">
        <f t="shared" si="65"/>
        <v>16.475169181263045</v>
      </c>
      <c r="AE38" s="277">
        <f t="shared" si="65"/>
        <v>16.643114790079252</v>
      </c>
      <c r="AF38" s="277">
        <f t="shared" ref="AF38" si="66">AF22*AF$7/100000000</f>
        <v>16.812772413334297</v>
      </c>
    </row>
    <row r="39" spans="2:32" x14ac:dyDescent="0.2">
      <c r="C39" s="276" t="s">
        <v>153</v>
      </c>
      <c r="D39" s="276"/>
      <c r="E39" s="277"/>
      <c r="F39" s="277"/>
      <c r="G39" s="277"/>
      <c r="H39" s="277"/>
      <c r="I39" s="277"/>
      <c r="J39" s="277"/>
      <c r="K39" s="277"/>
      <c r="L39" s="277"/>
      <c r="M39" s="277">
        <f t="shared" si="51"/>
        <v>1.2237669617548219</v>
      </c>
      <c r="N39" s="277">
        <f t="shared" si="51"/>
        <v>1.2362418738592034</v>
      </c>
      <c r="O39" s="277">
        <f t="shared" ref="O39:AB39" si="67">O23*O$7/100000000</f>
        <v>1.2488439535019118</v>
      </c>
      <c r="P39" s="277">
        <f t="shared" si="67"/>
        <v>1.2615744970113432</v>
      </c>
      <c r="Q39" s="277">
        <f t="shared" si="67"/>
        <v>1.2744348139304877</v>
      </c>
      <c r="R39" s="277">
        <f t="shared" si="67"/>
        <v>1.2874262271516366</v>
      </c>
      <c r="S39" s="277">
        <f t="shared" si="67"/>
        <v>1.3005500730524622</v>
      </c>
      <c r="T39" s="277">
        <f t="shared" ref="T39" si="68">T23*T$7/100000000</f>
        <v>1.3138077016334884</v>
      </c>
      <c r="U39" s="277">
        <f t="shared" si="67"/>
        <v>1.3272004766569581</v>
      </c>
      <c r="V39" s="277">
        <f t="shared" si="67"/>
        <v>1.3407297757871186</v>
      </c>
      <c r="W39" s="277">
        <f t="shared" si="67"/>
        <v>1.354396990731938</v>
      </c>
      <c r="X39" s="277">
        <f t="shared" si="67"/>
        <v>1.3682035273862627</v>
      </c>
      <c r="Y39" s="277">
        <f t="shared" ref="Y39" si="69">Y23*Y$7/100000000</f>
        <v>1.3821508059764391</v>
      </c>
      <c r="Z39" s="277">
        <f t="shared" si="67"/>
        <v>1.3962402612064049</v>
      </c>
      <c r="AA39" s="277">
        <f t="shared" si="67"/>
        <v>1.4104733424052731</v>
      </c>
      <c r="AB39" s="277">
        <f t="shared" si="67"/>
        <v>1.4248515136764173</v>
      </c>
      <c r="AC39" s="277">
        <f t="shared" ref="AC39:AE39" si="70">AC23*AC$7/100000000</f>
        <v>1.4393762540480808</v>
      </c>
      <c r="AD39" s="277">
        <f t="shared" si="70"/>
        <v>1.4540490576255145</v>
      </c>
      <c r="AE39" s="277">
        <f t="shared" si="70"/>
        <v>1.4688714337446791</v>
      </c>
      <c r="AF39" s="277">
        <f t="shared" ref="AF39" si="71">AF23*AF$7/100000000</f>
        <v>1.4838449071274922</v>
      </c>
    </row>
    <row r="41" spans="2:32" x14ac:dyDescent="0.2">
      <c r="B41" s="275" t="s">
        <v>90</v>
      </c>
    </row>
    <row r="42" spans="2:32" x14ac:dyDescent="0.2">
      <c r="C42" s="276" t="s">
        <v>149</v>
      </c>
      <c r="D42" s="278">
        <f>SUM(L42:AE42)</f>
        <v>2237.6374916651012</v>
      </c>
      <c r="E42" s="277"/>
      <c r="F42" s="277"/>
      <c r="G42" s="277"/>
      <c r="H42" s="277"/>
      <c r="I42" s="277"/>
      <c r="J42" s="277"/>
      <c r="K42" s="277"/>
      <c r="L42" s="277"/>
      <c r="M42" s="277">
        <f t="shared" ref="M42:N46" si="72">M28-M35</f>
        <v>123.77491752024252</v>
      </c>
      <c r="N42" s="277">
        <f t="shared" si="72"/>
        <v>123.23495692289941</v>
      </c>
      <c r="O42" s="277">
        <f t="shared" ref="O42:AE42" si="73">O28-O35</f>
        <v>122.67399514374256</v>
      </c>
      <c r="P42" s="277">
        <f t="shared" si="73"/>
        <v>122.09168480707604</v>
      </c>
      <c r="Q42" s="277">
        <f t="shared" si="73"/>
        <v>121.48767384962412</v>
      </c>
      <c r="R42" s="277">
        <f t="shared" si="73"/>
        <v>120.86160546288352</v>
      </c>
      <c r="S42" s="277">
        <f t="shared" si="73"/>
        <v>120.21311803480603</v>
      </c>
      <c r="T42" s="277">
        <f t="shared" si="73"/>
        <v>119.54184509080028</v>
      </c>
      <c r="U42" s="277">
        <f t="shared" si="73"/>
        <v>118.84741523404568</v>
      </c>
      <c r="V42" s="277">
        <f t="shared" si="73"/>
        <v>118.12945208511155</v>
      </c>
      <c r="W42" s="277">
        <f t="shared" si="73"/>
        <v>117.38757422087133</v>
      </c>
      <c r="X42" s="277">
        <f t="shared" si="73"/>
        <v>116.62139511270766</v>
      </c>
      <c r="Y42" s="277">
        <f t="shared" si="73"/>
        <v>115.83052306399759</v>
      </c>
      <c r="Z42" s="277">
        <f t="shared" si="73"/>
        <v>115.01456114686948</v>
      </c>
      <c r="AA42" s="277">
        <f t="shared" si="73"/>
        <v>114.17310713822417</v>
      </c>
      <c r="AB42" s="277">
        <f t="shared" si="73"/>
        <v>113.30575345501529</v>
      </c>
      <c r="AC42" s="277">
        <f t="shared" si="73"/>
        <v>112.41208708877434</v>
      </c>
      <c r="AD42" s="277">
        <f t="shared" si="73"/>
        <v>111.49168953937647</v>
      </c>
      <c r="AE42" s="277">
        <f t="shared" si="73"/>
        <v>110.54413674803345</v>
      </c>
      <c r="AF42" s="277">
        <f t="shared" ref="AF42" si="74">AF28-AF35</f>
        <v>109.56899902951864</v>
      </c>
    </row>
    <row r="43" spans="2:32" x14ac:dyDescent="0.2">
      <c r="C43" s="276" t="s">
        <v>150</v>
      </c>
      <c r="D43" s="278">
        <f t="shared" ref="D43:D46" si="75">SUM(L43:AE43)</f>
        <v>254.6972957407113</v>
      </c>
      <c r="E43" s="277"/>
      <c r="F43" s="277"/>
      <c r="G43" s="277"/>
      <c r="H43" s="277"/>
      <c r="I43" s="277"/>
      <c r="J43" s="277"/>
      <c r="K43" s="277"/>
      <c r="L43" s="277"/>
      <c r="M43" s="277">
        <f t="shared" si="72"/>
        <v>14.105045522879323</v>
      </c>
      <c r="N43" s="277">
        <f t="shared" si="72"/>
        <v>14.041948842325382</v>
      </c>
      <c r="O43" s="277">
        <f t="shared" ref="O43:AE43" si="76">O29-O36</f>
        <v>13.976429524821839</v>
      </c>
      <c r="P43" s="277">
        <f t="shared" si="76"/>
        <v>13.908447568967048</v>
      </c>
      <c r="Q43" s="277">
        <f t="shared" si="76"/>
        <v>13.83796243394535</v>
      </c>
      <c r="R43" s="277">
        <f t="shared" si="76"/>
        <v>13.764933032896067</v>
      </c>
      <c r="S43" s="277">
        <f t="shared" si="76"/>
        <v>13.689317726205189</v>
      </c>
      <c r="T43" s="277">
        <f t="shared" si="76"/>
        <v>13.611074314718849</v>
      </c>
      <c r="U43" s="277">
        <f t="shared" si="76"/>
        <v>13.530160032877461</v>
      </c>
      <c r="V43" s="277">
        <f t="shared" si="76"/>
        <v>13.446531541770369</v>
      </c>
      <c r="W43" s="277">
        <f t="shared" si="76"/>
        <v>13.360144922109015</v>
      </c>
      <c r="X43" s="277">
        <f t="shared" si="76"/>
        <v>13.270955667118926</v>
      </c>
      <c r="Y43" s="277">
        <f t="shared" si="76"/>
        <v>13.178918675348569</v>
      </c>
      <c r="Z43" s="277">
        <f t="shared" si="76"/>
        <v>13.0839882433946</v>
      </c>
      <c r="AA43" s="277">
        <f t="shared" si="76"/>
        <v>12.986118058542644</v>
      </c>
      <c r="AB43" s="277">
        <f t="shared" si="76"/>
        <v>12.885261191322655</v>
      </c>
      <c r="AC43" s="277">
        <f t="shared" si="76"/>
        <v>12.781370087977507</v>
      </c>
      <c r="AD43" s="277">
        <f t="shared" si="76"/>
        <v>12.67439656284418</v>
      </c>
      <c r="AE43" s="277">
        <f t="shared" si="76"/>
        <v>12.564291790646337</v>
      </c>
      <c r="AF43" s="277">
        <f t="shared" ref="AF43" si="77">AF29-AF36</f>
        <v>12.451006298698275</v>
      </c>
    </row>
    <row r="44" spans="2:32" x14ac:dyDescent="0.2">
      <c r="C44" s="276" t="s">
        <v>151</v>
      </c>
      <c r="D44" s="278">
        <f t="shared" si="75"/>
        <v>91.861169590963314</v>
      </c>
      <c r="E44" s="277"/>
      <c r="F44" s="277"/>
      <c r="G44" s="277"/>
      <c r="H44" s="277"/>
      <c r="I44" s="277"/>
      <c r="J44" s="277"/>
      <c r="K44" s="277"/>
      <c r="L44" s="277"/>
      <c r="M44" s="277">
        <f t="shared" si="72"/>
        <v>5.1017641667741032</v>
      </c>
      <c r="N44" s="277">
        <f t="shared" si="72"/>
        <v>5.0775638262478537</v>
      </c>
      <c r="O44" s="277">
        <f t="shared" ref="O44:AB44" si="78">O30-O37</f>
        <v>5.0524613158895733</v>
      </c>
      <c r="P44" s="277">
        <f t="shared" si="78"/>
        <v>5.0264418012072625</v>
      </c>
      <c r="Q44" s="277">
        <f t="shared" si="78"/>
        <v>4.9994902479952401</v>
      </c>
      <c r="R44" s="277">
        <f t="shared" si="78"/>
        <v>4.9715914198812214</v>
      </c>
      <c r="S44" s="277">
        <f t="shared" si="78"/>
        <v>4.9427298758447478</v>
      </c>
      <c r="T44" s="277">
        <f t="shared" si="78"/>
        <v>4.9128899677066897</v>
      </c>
      <c r="U44" s="277">
        <f t="shared" si="78"/>
        <v>4.8820558375896255</v>
      </c>
      <c r="V44" s="277">
        <f t="shared" si="78"/>
        <v>4.8502114153485252</v>
      </c>
      <c r="W44" s="277">
        <f t="shared" si="78"/>
        <v>4.8173404159715574</v>
      </c>
      <c r="X44" s="277">
        <f t="shared" si="78"/>
        <v>4.7834263369506971</v>
      </c>
      <c r="Y44" s="277">
        <f t="shared" si="78"/>
        <v>4.748452455621738</v>
      </c>
      <c r="Z44" s="277">
        <f t="shared" si="78"/>
        <v>4.7124018264733749</v>
      </c>
      <c r="AA44" s="277">
        <f t="shared" si="78"/>
        <v>4.6752572784249367</v>
      </c>
      <c r="AB44" s="277">
        <f t="shared" si="78"/>
        <v>4.6370014120727063</v>
      </c>
      <c r="AC44" s="277">
        <f t="shared" ref="AC44:AE44" si="79">AC30-AC37</f>
        <v>4.5976165969039968</v>
      </c>
      <c r="AD44" s="277">
        <f t="shared" si="79"/>
        <v>4.5570849684791312</v>
      </c>
      <c r="AE44" s="277">
        <f t="shared" si="79"/>
        <v>4.5153884255803263</v>
      </c>
      <c r="AF44" s="277">
        <f t="shared" ref="AF44" si="80">AF30-AF37</f>
        <v>4.4725086273282244</v>
      </c>
    </row>
    <row r="45" spans="2:32" x14ac:dyDescent="0.2">
      <c r="C45" s="276" t="s">
        <v>152</v>
      </c>
      <c r="D45" s="278">
        <f t="shared" si="75"/>
        <v>32.740569967685552</v>
      </c>
      <c r="E45" s="277"/>
      <c r="F45" s="277"/>
      <c r="G45" s="277"/>
      <c r="H45" s="277"/>
      <c r="I45" s="277"/>
      <c r="J45" s="277"/>
      <c r="K45" s="277"/>
      <c r="L45" s="277"/>
      <c r="M45" s="277">
        <f t="shared" si="72"/>
        <v>1.7981284306085339</v>
      </c>
      <c r="N45" s="277">
        <f t="shared" si="72"/>
        <v>1.7915113446157864</v>
      </c>
      <c r="O45" s="277">
        <f t="shared" ref="O45:AB45" si="81">O31-O38</f>
        <v>1.7846122301701879</v>
      </c>
      <c r="P45" s="277">
        <f t="shared" si="81"/>
        <v>1.7774263667032368</v>
      </c>
      <c r="Q45" s="277">
        <f t="shared" si="81"/>
        <v>1.7699489696510859</v>
      </c>
      <c r="R45" s="277">
        <f t="shared" si="81"/>
        <v>1.7621751896655997</v>
      </c>
      <c r="S45" s="277">
        <f t="shared" si="81"/>
        <v>1.7541001118163191</v>
      </c>
      <c r="T45" s="277">
        <f t="shared" si="81"/>
        <v>1.7457187547829438</v>
      </c>
      <c r="U45" s="277">
        <f t="shared" si="81"/>
        <v>1.7370260700385156</v>
      </c>
      <c r="V45" s="277">
        <f t="shared" si="81"/>
        <v>1.7280169410230002</v>
      </c>
      <c r="W45" s="277">
        <f t="shared" si="81"/>
        <v>1.718686182307275</v>
      </c>
      <c r="X45" s="277">
        <f t="shared" si="81"/>
        <v>1.7090285387473223</v>
      </c>
      <c r="Y45" s="277">
        <f t="shared" si="81"/>
        <v>1.6990386846286096</v>
      </c>
      <c r="Z45" s="277">
        <f t="shared" si="81"/>
        <v>1.6887112228004728</v>
      </c>
      <c r="AA45" s="277">
        <f t="shared" si="81"/>
        <v>1.6780406838004076</v>
      </c>
      <c r="AB45" s="277">
        <f t="shared" si="81"/>
        <v>1.6670215249682059</v>
      </c>
      <c r="AC45" s="277">
        <f t="shared" ref="AC45:AE45" si="82">AC31-AC38</f>
        <v>1.655648129549764</v>
      </c>
      <c r="AD45" s="277">
        <f t="shared" si="82"/>
        <v>1.6439148057904376</v>
      </c>
      <c r="AE45" s="277">
        <f t="shared" si="82"/>
        <v>1.631815786017853</v>
      </c>
      <c r="AF45" s="277">
        <f t="shared" ref="AF45" si="83">AF31-AF38</f>
        <v>1.6193452257141558</v>
      </c>
    </row>
    <row r="46" spans="2:32" x14ac:dyDescent="0.2">
      <c r="C46" s="276" t="s">
        <v>153</v>
      </c>
      <c r="D46" s="278">
        <f t="shared" si="75"/>
        <v>3.2206433139823032</v>
      </c>
      <c r="E46" s="277"/>
      <c r="F46" s="277"/>
      <c r="G46" s="277"/>
      <c r="H46" s="277"/>
      <c r="I46" s="277"/>
      <c r="J46" s="277"/>
      <c r="K46" s="277"/>
      <c r="L46" s="277"/>
      <c r="M46" s="277">
        <f t="shared" si="72"/>
        <v>0.17481123638094709</v>
      </c>
      <c r="N46" s="277">
        <f t="shared" si="72"/>
        <v>0.17436583094732105</v>
      </c>
      <c r="O46" s="277">
        <f t="shared" ref="O46:AB46" si="84">O32-O39</f>
        <v>0.17389672664872102</v>
      </c>
      <c r="P46" s="277">
        <f t="shared" si="84"/>
        <v>0.17340351711563828</v>
      </c>
      <c r="Q46" s="277">
        <f t="shared" si="84"/>
        <v>0.17288579041871865</v>
      </c>
      <c r="R46" s="277">
        <f t="shared" si="84"/>
        <v>0.17234312899989868</v>
      </c>
      <c r="S46" s="277">
        <f t="shared" si="84"/>
        <v>0.17177510960272935</v>
      </c>
      <c r="T46" s="277">
        <f t="shared" si="84"/>
        <v>0.1711813032018854</v>
      </c>
      <c r="U46" s="277">
        <f t="shared" si="84"/>
        <v>0.17056127493185191</v>
      </c>
      <c r="V46" s="277">
        <f t="shared" si="84"/>
        <v>0.16991458401477244</v>
      </c>
      <c r="W46" s="277">
        <f t="shared" si="84"/>
        <v>0.16924078368745432</v>
      </c>
      <c r="X46" s="277">
        <f t="shared" si="84"/>
        <v>0.16853942112752307</v>
      </c>
      <c r="Y46" s="277">
        <f t="shared" si="84"/>
        <v>0.16781003737871059</v>
      </c>
      <c r="Z46" s="277">
        <f t="shared" si="84"/>
        <v>0.16705216727527072</v>
      </c>
      <c r="AA46" s="277">
        <f t="shared" si="84"/>
        <v>0.16626533936551291</v>
      </c>
      <c r="AB46" s="277">
        <f t="shared" si="84"/>
        <v>0.1654490758344449</v>
      </c>
      <c r="AC46" s="277">
        <f t="shared" ref="AC46:AE46" si="85">AC32-AC39</f>
        <v>0.16460289242550785</v>
      </c>
      <c r="AD46" s="277">
        <f t="shared" si="85"/>
        <v>0.16372629836140362</v>
      </c>
      <c r="AE46" s="277">
        <f t="shared" si="85"/>
        <v>0.16281879626399109</v>
      </c>
      <c r="AF46" s="277">
        <f t="shared" ref="AF46" si="86">AF32-AF39</f>
        <v>0.16187988207326254</v>
      </c>
    </row>
    <row r="48" spans="2:32" x14ac:dyDescent="0.2">
      <c r="B48" s="275" t="s">
        <v>88</v>
      </c>
      <c r="C48" s="276"/>
      <c r="D48" s="278">
        <f>SUM(D42:D46)</f>
        <v>2620.157170278444</v>
      </c>
    </row>
    <row r="49" spans="3:32" x14ac:dyDescent="0.2">
      <c r="C49" s="276" t="s">
        <v>149</v>
      </c>
      <c r="D49" s="276"/>
      <c r="E49" s="279"/>
      <c r="F49" s="279"/>
      <c r="G49" s="279"/>
      <c r="H49" s="279"/>
      <c r="I49" s="279"/>
      <c r="J49" s="279"/>
      <c r="K49" s="279"/>
      <c r="L49" s="279"/>
      <c r="M49" s="279">
        <f>Inputs!$C41*M42</f>
        <v>482722.17832894583</v>
      </c>
      <c r="N49" s="279">
        <f>Inputs!$C41*N42</f>
        <v>480616.33199930773</v>
      </c>
      <c r="O49" s="279">
        <f>Inputs!$C41*O42</f>
        <v>478428.58106059599</v>
      </c>
      <c r="P49" s="279">
        <f>Inputs!$C41*P42</f>
        <v>476157.57074759656</v>
      </c>
      <c r="Q49" s="279">
        <f>Inputs!$C41*Q42</f>
        <v>473801.92801353405</v>
      </c>
      <c r="R49" s="279">
        <f>Inputs!$C41*R42</f>
        <v>471360.26130524575</v>
      </c>
      <c r="S49" s="279">
        <f>Inputs!$C41*S42</f>
        <v>468831.16033574351</v>
      </c>
      <c r="T49" s="279">
        <f>Inputs!$C41*T42</f>
        <v>466213.19585412106</v>
      </c>
      <c r="U49" s="279">
        <f>Inputs!$C41*U42</f>
        <v>463504.91941277817</v>
      </c>
      <c r="V49" s="279">
        <f>Inputs!$C41*V42</f>
        <v>460704.86313193507</v>
      </c>
      <c r="W49" s="279">
        <f>Inputs!$C41*W42</f>
        <v>457811.53946139821</v>
      </c>
      <c r="X49" s="279">
        <f>Inputs!$C41*X42</f>
        <v>454823.44093955989</v>
      </c>
      <c r="Y49" s="279">
        <f>Inputs!$C41*Y42</f>
        <v>451739.03994959057</v>
      </c>
      <c r="Z49" s="279">
        <f>Inputs!$C41*Z42</f>
        <v>448556.78847279097</v>
      </c>
      <c r="AA49" s="279">
        <f>Inputs!$C41*AA42</f>
        <v>445275.11783907423</v>
      </c>
      <c r="AB49" s="279">
        <f>Inputs!$C41*AB42</f>
        <v>441892.43847455963</v>
      </c>
      <c r="AC49" s="279">
        <f>Inputs!$C41*AC42</f>
        <v>438407.13964621996</v>
      </c>
      <c r="AD49" s="279">
        <f>Inputs!$C41*AD42</f>
        <v>434817.58920356823</v>
      </c>
      <c r="AE49" s="279">
        <f>Inputs!$C41*AE42</f>
        <v>431122.13331733044</v>
      </c>
      <c r="AF49" s="279">
        <f>Inputs!$C41*AF42</f>
        <v>427319.09621512267</v>
      </c>
    </row>
    <row r="50" spans="3:32" x14ac:dyDescent="0.2">
      <c r="C50" s="276" t="s">
        <v>150</v>
      </c>
      <c r="D50" s="276"/>
      <c r="E50" s="279"/>
      <c r="F50" s="279"/>
      <c r="G50" s="279"/>
      <c r="H50" s="279"/>
      <c r="I50" s="279"/>
      <c r="J50" s="279"/>
      <c r="K50" s="279"/>
      <c r="L50" s="279"/>
      <c r="M50" s="279">
        <f>Inputs!$C42*M43</f>
        <v>1088909.5143662838</v>
      </c>
      <c r="N50" s="279">
        <f>Inputs!$C42*N43</f>
        <v>1084038.4506275195</v>
      </c>
      <c r="O50" s="279">
        <f>Inputs!$C42*O43</f>
        <v>1078980.3593162459</v>
      </c>
      <c r="P50" s="279">
        <f>Inputs!$C42*P43</f>
        <v>1073732.152324256</v>
      </c>
      <c r="Q50" s="279">
        <f>Inputs!$C42*Q43</f>
        <v>1068290.699900581</v>
      </c>
      <c r="R50" s="279">
        <f>Inputs!$C42*R43</f>
        <v>1062652.8301395765</v>
      </c>
      <c r="S50" s="279">
        <f>Inputs!$C42*S43</f>
        <v>1056815.3284630405</v>
      </c>
      <c r="T50" s="279">
        <f>Inputs!$C42*T43</f>
        <v>1050774.9370962952</v>
      </c>
      <c r="U50" s="279">
        <f>Inputs!$C42*U43</f>
        <v>1044528.35453814</v>
      </c>
      <c r="V50" s="279">
        <f>Inputs!$C42*V43</f>
        <v>1038072.2350246725</v>
      </c>
      <c r="W50" s="279">
        <f>Inputs!$C42*W43</f>
        <v>1031403.1879868159</v>
      </c>
      <c r="X50" s="279">
        <f>Inputs!$C42*X43</f>
        <v>1024517.7775015811</v>
      </c>
      <c r="Y50" s="279">
        <f>Inputs!$C42*Y43</f>
        <v>1017412.5217369095</v>
      </c>
      <c r="Z50" s="279">
        <f>Inputs!$C42*Z43</f>
        <v>1010083.8923900631</v>
      </c>
      <c r="AA50" s="279">
        <f>Inputs!$C42*AA43</f>
        <v>1002528.3141194921</v>
      </c>
      <c r="AB50" s="279">
        <f>Inputs!$C42*AB43</f>
        <v>994742.16397010896</v>
      </c>
      <c r="AC50" s="279">
        <f>Inputs!$C42*AC43</f>
        <v>986721.77079186356</v>
      </c>
      <c r="AD50" s="279">
        <f>Inputs!$C42*AD43</f>
        <v>978463.41465157073</v>
      </c>
      <c r="AE50" s="279">
        <f>Inputs!$C42*AE43</f>
        <v>969963.32623789716</v>
      </c>
      <c r="AF50" s="279">
        <f>Inputs!$C42*AF43</f>
        <v>961217.68625950685</v>
      </c>
    </row>
    <row r="51" spans="3:32" x14ac:dyDescent="0.2">
      <c r="C51" s="276" t="s">
        <v>151</v>
      </c>
      <c r="D51" s="276"/>
      <c r="E51" s="279"/>
      <c r="F51" s="279"/>
      <c r="G51" s="279"/>
      <c r="H51" s="279"/>
      <c r="I51" s="279"/>
      <c r="J51" s="279"/>
      <c r="K51" s="279"/>
      <c r="L51" s="279"/>
      <c r="M51" s="279">
        <f>Inputs!$C43*M44</f>
        <v>770876.56559956702</v>
      </c>
      <c r="N51" s="279">
        <f>Inputs!$C43*N44</f>
        <v>767219.89414605068</v>
      </c>
      <c r="O51" s="279">
        <f>Inputs!$C43*O44</f>
        <v>763426.90483091457</v>
      </c>
      <c r="P51" s="279">
        <f>Inputs!$C43*P44</f>
        <v>759495.35616241733</v>
      </c>
      <c r="Q51" s="279">
        <f>Inputs!$C43*Q44</f>
        <v>755422.9764720808</v>
      </c>
      <c r="R51" s="279">
        <f>Inputs!$C43*R44</f>
        <v>751207.46354405256</v>
      </c>
      <c r="S51" s="279">
        <f>Inputs!$C43*S44</f>
        <v>746846.48424014135</v>
      </c>
      <c r="T51" s="279">
        <f>Inputs!$C43*T44</f>
        <v>742337.67412048078</v>
      </c>
      <c r="U51" s="279">
        <f>Inputs!$C43*U44</f>
        <v>737678.63705979241</v>
      </c>
      <c r="V51" s="279">
        <f>Inputs!$C43*V44</f>
        <v>732866.94485916221</v>
      </c>
      <c r="W51" s="279">
        <f>Inputs!$C43*W44</f>
        <v>727900.13685330236</v>
      </c>
      <c r="X51" s="279">
        <f>Inputs!$C43*X44</f>
        <v>722775.71951325028</v>
      </c>
      <c r="Y51" s="279">
        <f>Inputs!$C43*Y44</f>
        <v>717491.16604444466</v>
      </c>
      <c r="Z51" s="279">
        <f>Inputs!$C43*Z44</f>
        <v>712043.91598012694</v>
      </c>
      <c r="AA51" s="279">
        <f>Inputs!$C43*AA44</f>
        <v>706431.37477000791</v>
      </c>
      <c r="AB51" s="279">
        <f>Inputs!$C43*AB44</f>
        <v>700650.91336418595</v>
      </c>
      <c r="AC51" s="279">
        <f>Inputs!$C43*AC44</f>
        <v>694699.86779219389</v>
      </c>
      <c r="AD51" s="279">
        <f>Inputs!$C43*AD44</f>
        <v>688575.53873719671</v>
      </c>
      <c r="AE51" s="279">
        <f>Inputs!$C43*AE44</f>
        <v>682275.19110518729</v>
      </c>
      <c r="AF51" s="279">
        <f>Inputs!$C43*AF44</f>
        <v>675796.05358929466</v>
      </c>
    </row>
    <row r="52" spans="3:32" x14ac:dyDescent="0.2">
      <c r="C52" s="276" t="s">
        <v>152</v>
      </c>
      <c r="D52" s="276"/>
      <c r="E52" s="279"/>
      <c r="F52" s="279"/>
      <c r="G52" s="279"/>
      <c r="H52" s="279"/>
      <c r="I52" s="279"/>
      <c r="J52" s="279"/>
      <c r="K52" s="279"/>
      <c r="L52" s="279"/>
      <c r="M52" s="279">
        <f>Inputs!$C44*M45</f>
        <v>997601.65330161457</v>
      </c>
      <c r="N52" s="279">
        <f>Inputs!$C44*N45</f>
        <v>993930.49399283831</v>
      </c>
      <c r="O52" s="279">
        <f>Inputs!$C44*O45</f>
        <v>990102.86529842019</v>
      </c>
      <c r="P52" s="279">
        <f>Inputs!$C44*P45</f>
        <v>986116.14824695583</v>
      </c>
      <c r="Q52" s="279">
        <f>Inputs!$C44*Q45</f>
        <v>981967.68836242252</v>
      </c>
      <c r="R52" s="279">
        <f>Inputs!$C44*R45</f>
        <v>977654.79522647476</v>
      </c>
      <c r="S52" s="279">
        <f>Inputs!$C44*S45</f>
        <v>973174.74203569384</v>
      </c>
      <c r="T52" s="279">
        <f>Inputs!$C44*T45</f>
        <v>968524.7651535772</v>
      </c>
      <c r="U52" s="279">
        <f>Inputs!$C44*U45</f>
        <v>963702.06365736842</v>
      </c>
      <c r="V52" s="279">
        <f>Inputs!$C44*V45</f>
        <v>958703.79887956055</v>
      </c>
      <c r="W52" s="279">
        <f>Inputs!$C44*W45</f>
        <v>953527.09394407622</v>
      </c>
      <c r="X52" s="279">
        <f>Inputs!$C44*X45</f>
        <v>948169.03329701442</v>
      </c>
      <c r="Y52" s="279">
        <f>Inputs!$C44*Y45</f>
        <v>942626.66223195265</v>
      </c>
      <c r="Z52" s="279">
        <f>Inputs!$C44*Z45</f>
        <v>936896.98640970234</v>
      </c>
      <c r="AA52" s="279">
        <f>Inputs!$C44*AA45</f>
        <v>930976.97137246619</v>
      </c>
      <c r="AB52" s="279">
        <f>Inputs!$C44*AB45</f>
        <v>924863.5420523606</v>
      </c>
      <c r="AC52" s="279">
        <f>Inputs!$C44*AC45</f>
        <v>918553.58227420913</v>
      </c>
      <c r="AD52" s="279">
        <f>Inputs!$C44*AD45</f>
        <v>912043.93425253476</v>
      </c>
      <c r="AE52" s="279">
        <f>Inputs!$C44*AE45</f>
        <v>905331.39808270487</v>
      </c>
      <c r="AF52" s="279">
        <f>Inputs!$C44*AF45</f>
        <v>898412.73122621363</v>
      </c>
    </row>
    <row r="53" spans="3:32" x14ac:dyDescent="0.2">
      <c r="C53" s="276" t="s">
        <v>153</v>
      </c>
      <c r="D53" s="276"/>
      <c r="E53" s="279"/>
      <c r="F53" s="279"/>
      <c r="G53" s="279"/>
      <c r="H53" s="279"/>
      <c r="I53" s="279"/>
      <c r="J53" s="279"/>
      <c r="K53" s="279"/>
      <c r="L53" s="279"/>
      <c r="M53" s="279">
        <f>Inputs!$C45*M46</f>
        <v>2027810.3420189861</v>
      </c>
      <c r="N53" s="279">
        <f>Inputs!$C45*N46</f>
        <v>2022643.6389889242</v>
      </c>
      <c r="O53" s="279">
        <f>Inputs!$C45*O46</f>
        <v>2017202.0291251638</v>
      </c>
      <c r="P53" s="279">
        <f>Inputs!$C45*P46</f>
        <v>2011480.7985414041</v>
      </c>
      <c r="Q53" s="279">
        <f>Inputs!$C45*Q46</f>
        <v>2005475.1688571365</v>
      </c>
      <c r="R53" s="279">
        <f>Inputs!$C45*R46</f>
        <v>1999180.2963988245</v>
      </c>
      <c r="S53" s="279">
        <f>Inputs!$C45*S46</f>
        <v>1992591.2713916604</v>
      </c>
      <c r="T53" s="279">
        <f>Inputs!$C45*T46</f>
        <v>1985703.1171418708</v>
      </c>
      <c r="U53" s="279">
        <f>Inputs!$C45*U46</f>
        <v>1978510.7892094823</v>
      </c>
      <c r="V53" s="279">
        <f>Inputs!$C45*V46</f>
        <v>1971009.1745713602</v>
      </c>
      <c r="W53" s="279">
        <f>Inputs!$C45*W46</f>
        <v>1963193.0907744702</v>
      </c>
      <c r="X53" s="279">
        <f>Inputs!$C45*X46</f>
        <v>1955057.2850792676</v>
      </c>
      <c r="Y53" s="279">
        <f>Inputs!$C45*Y46</f>
        <v>1946596.4335930429</v>
      </c>
      <c r="Z53" s="279">
        <f>Inputs!$C45*Z46</f>
        <v>1937805.1403931405</v>
      </c>
      <c r="AA53" s="279">
        <f>Inputs!$C45*AA46</f>
        <v>1928677.9366399497</v>
      </c>
      <c r="AB53" s="279">
        <f>Inputs!$C45*AB46</f>
        <v>1919209.2796795608</v>
      </c>
      <c r="AC53" s="279">
        <f>Inputs!$C45*AC46</f>
        <v>1909393.552135891</v>
      </c>
      <c r="AD53" s="279">
        <f>Inputs!$C45*AD46</f>
        <v>1899225.0609922821</v>
      </c>
      <c r="AE53" s="279">
        <f>Inputs!$C45*AE46</f>
        <v>1888698.0366622966</v>
      </c>
      <c r="AF53" s="279">
        <f>Inputs!$C45*AF46</f>
        <v>1877806.6320498455</v>
      </c>
    </row>
    <row r="55" spans="3:32" x14ac:dyDescent="0.2">
      <c r="C55" s="280" t="s">
        <v>72</v>
      </c>
      <c r="D55" s="280"/>
      <c r="E55" s="281"/>
      <c r="F55" s="281"/>
      <c r="G55" s="281"/>
      <c r="H55" s="281"/>
      <c r="I55" s="281"/>
      <c r="J55" s="281"/>
      <c r="K55" s="281"/>
      <c r="L55" s="281"/>
      <c r="M55" s="281">
        <f>SUM(M49:M53)</f>
        <v>5367920.253615397</v>
      </c>
      <c r="N55" s="281">
        <f>SUM(N49:N53)</f>
        <v>5348448.8097546408</v>
      </c>
      <c r="O55" s="281">
        <f t="shared" ref="O55:AE55" si="87">SUM(O49:O53)</f>
        <v>5328140.7396313399</v>
      </c>
      <c r="P55" s="281">
        <f t="shared" si="87"/>
        <v>5306982.0260226298</v>
      </c>
      <c r="Q55" s="281">
        <f t="shared" si="87"/>
        <v>5284958.4616057547</v>
      </c>
      <c r="R55" s="281">
        <f t="shared" si="87"/>
        <v>5262055.6466141744</v>
      </c>
      <c r="S55" s="281">
        <f t="shared" si="87"/>
        <v>5238258.9864662793</v>
      </c>
      <c r="T55" s="281">
        <f t="shared" si="87"/>
        <v>5213553.6893663444</v>
      </c>
      <c r="U55" s="281">
        <f t="shared" si="87"/>
        <v>5187924.7638775613</v>
      </c>
      <c r="V55" s="281">
        <f t="shared" si="87"/>
        <v>5161357.0164666902</v>
      </c>
      <c r="W55" s="281">
        <f t="shared" si="87"/>
        <v>5133835.0490200631</v>
      </c>
      <c r="X55" s="281">
        <f t="shared" si="87"/>
        <v>5105343.2563306736</v>
      </c>
      <c r="Y55" s="281">
        <f t="shared" si="87"/>
        <v>5075865.8235559408</v>
      </c>
      <c r="Z55" s="281">
        <f t="shared" si="87"/>
        <v>5045386.723645824</v>
      </c>
      <c r="AA55" s="281">
        <f t="shared" si="87"/>
        <v>5013889.7147409897</v>
      </c>
      <c r="AB55" s="281">
        <f t="shared" si="87"/>
        <v>4981358.3375407755</v>
      </c>
      <c r="AC55" s="281">
        <f t="shared" si="87"/>
        <v>4947775.9126403779</v>
      </c>
      <c r="AD55" s="281">
        <f t="shared" si="87"/>
        <v>4913125.5378371524</v>
      </c>
      <c r="AE55" s="281">
        <f t="shared" si="87"/>
        <v>4877390.0854054159</v>
      </c>
      <c r="AF55" s="281">
        <f t="shared" ref="AF55" si="88">SUM(AF49:AF53)</f>
        <v>4840552.199339984</v>
      </c>
    </row>
  </sheetData>
  <phoneticPr fontId="5" type="noConversion"/>
  <pageMargins left="0.7" right="0.7" top="0.9" bottom="0.75" header="0.5" footer="0.4"/>
  <pageSetup scale="90" orientation="landscape" r:id="rId1"/>
  <headerFooter alignWithMargins="0">
    <oddFooter>&amp;R&amp;"Arial Narrow,Regular"&amp;8&amp;P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AK62"/>
  <sheetViews>
    <sheetView showGridLines="0" zoomScaleNormal="100" workbookViewId="0">
      <pane xSplit="2" ySplit="5" topLeftCell="C33" activePane="bottomRight" state="frozen"/>
      <selection activeCell="L36" sqref="L36"/>
      <selection pane="topRight" activeCell="L36" sqref="L36"/>
      <selection pane="bottomLeft" activeCell="L36" sqref="L36"/>
      <selection pane="bottomRight" activeCell="A14" sqref="A14:XFD16"/>
    </sheetView>
  </sheetViews>
  <sheetFormatPr defaultColWidth="9.140625" defaultRowHeight="12.75" x14ac:dyDescent="0.2"/>
  <cols>
    <col min="1" max="1" width="2.5703125" style="82" customWidth="1"/>
    <col min="2" max="2" width="32" style="82" bestFit="1" customWidth="1"/>
    <col min="3" max="3" width="8.42578125" style="82" customWidth="1"/>
    <col min="4" max="4" width="8.140625" style="82" customWidth="1"/>
    <col min="5" max="5" width="8" style="82" customWidth="1"/>
    <col min="6" max="6" width="10.85546875" style="82" customWidth="1"/>
    <col min="7" max="7" width="9" style="82" customWidth="1"/>
    <col min="8" max="11" width="10.7109375" style="82" bestFit="1" customWidth="1"/>
    <col min="12" max="13" width="11.28515625" style="82" bestFit="1" customWidth="1"/>
    <col min="14" max="31" width="13.5703125" style="82" bestFit="1" customWidth="1"/>
    <col min="32" max="32" width="12.5703125" style="82" customWidth="1"/>
    <col min="33" max="33" width="12.7109375" style="82" customWidth="1"/>
    <col min="34" max="34" width="13.5703125" style="82" customWidth="1"/>
    <col min="35" max="36" width="11" style="82" customWidth="1"/>
    <col min="37" max="16384" width="9.140625" style="82"/>
  </cols>
  <sheetData>
    <row r="1" spans="2:37" x14ac:dyDescent="0.2">
      <c r="B1" s="149"/>
    </row>
    <row r="2" spans="2:37" x14ac:dyDescent="0.2">
      <c r="B2" s="149" t="str">
        <f>Inputs!C1</f>
        <v>US 27 PALMETTO Project</v>
      </c>
    </row>
    <row r="3" spans="2:37" x14ac:dyDescent="0.2">
      <c r="B3" s="149" t="s">
        <v>121</v>
      </c>
    </row>
    <row r="4" spans="2:37" ht="7.5" customHeight="1" x14ac:dyDescent="0.2">
      <c r="B4" s="128"/>
      <c r="C4" s="128"/>
      <c r="D4" s="128"/>
      <c r="E4" s="128"/>
      <c r="F4" s="128"/>
      <c r="G4" s="128"/>
      <c r="H4" s="128"/>
      <c r="I4" s="128"/>
      <c r="J4" s="128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</row>
    <row r="5" spans="2:37" x14ac:dyDescent="0.2">
      <c r="B5" s="129"/>
      <c r="C5" s="130"/>
      <c r="D5" s="130"/>
      <c r="E5" s="130"/>
      <c r="F5" s="130"/>
      <c r="G5" s="130"/>
      <c r="H5" s="131">
        <v>2020</v>
      </c>
      <c r="I5" s="131">
        <v>2021</v>
      </c>
      <c r="J5" s="131">
        <v>2022</v>
      </c>
      <c r="K5" s="131">
        <v>2023</v>
      </c>
      <c r="L5" s="131">
        <v>2024</v>
      </c>
      <c r="M5" s="131">
        <v>2025</v>
      </c>
      <c r="N5" s="131">
        <v>2026</v>
      </c>
      <c r="O5" s="131">
        <v>2027</v>
      </c>
      <c r="P5" s="131">
        <v>2028</v>
      </c>
      <c r="Q5" s="131">
        <v>2029</v>
      </c>
      <c r="R5" s="131">
        <v>2030</v>
      </c>
      <c r="S5" s="131">
        <v>2031</v>
      </c>
      <c r="T5" s="131">
        <v>2032</v>
      </c>
      <c r="U5" s="131">
        <v>2033</v>
      </c>
      <c r="V5" s="131">
        <v>2034</v>
      </c>
      <c r="W5" s="131">
        <v>2035</v>
      </c>
      <c r="X5" s="131">
        <v>2036</v>
      </c>
      <c r="Y5" s="131">
        <v>2037</v>
      </c>
      <c r="Z5" s="131">
        <v>2038</v>
      </c>
      <c r="AA5" s="131">
        <v>2039</v>
      </c>
      <c r="AB5" s="131">
        <v>2040</v>
      </c>
      <c r="AC5" s="131">
        <v>2041</v>
      </c>
      <c r="AD5" s="131">
        <v>2042</v>
      </c>
      <c r="AE5" s="131">
        <v>2043</v>
      </c>
      <c r="AF5" s="131">
        <v>2044</v>
      </c>
      <c r="AG5" s="131">
        <v>2045</v>
      </c>
      <c r="AH5" s="131">
        <v>2046</v>
      </c>
      <c r="AI5" s="131">
        <v>2047</v>
      </c>
      <c r="AJ5" s="131">
        <v>2048</v>
      </c>
      <c r="AK5" s="131"/>
    </row>
    <row r="6" spans="2:37" x14ac:dyDescent="0.2">
      <c r="B6" s="132" t="s">
        <v>169</v>
      </c>
      <c r="C6" s="133"/>
      <c r="D6" s="134"/>
      <c r="E6" s="134"/>
      <c r="F6" s="134"/>
      <c r="G6" s="134"/>
      <c r="H6" s="134"/>
      <c r="I6" s="134"/>
      <c r="J6" s="134"/>
      <c r="K6" s="134"/>
      <c r="L6" s="134"/>
      <c r="M6" s="134"/>
      <c r="N6" s="134"/>
      <c r="O6" s="134"/>
      <c r="P6" s="134">
        <f>Inputs!D60</f>
        <v>137914961.59999999</v>
      </c>
      <c r="Q6" s="134">
        <f>(1+(($AG6/$P6)^(1/($AG5-$P5))-1))*P6</f>
        <v>139101201.27739206</v>
      </c>
      <c r="R6" s="134">
        <f t="shared" ref="R6:AF6" si="0">(1+(($AG6/$P6)^(1/($AG5-$P5))-1))*Q6</f>
        <v>140297644.08688739</v>
      </c>
      <c r="S6" s="134">
        <f t="shared" si="0"/>
        <v>141504377.78807342</v>
      </c>
      <c r="T6" s="134">
        <f t="shared" si="0"/>
        <v>142721490.89537889</v>
      </c>
      <c r="U6" s="134">
        <f t="shared" si="0"/>
        <v>143949072.68456635</v>
      </c>
      <c r="V6" s="134">
        <f t="shared" si="0"/>
        <v>145187213.19928065</v>
      </c>
      <c r="W6" s="134">
        <f t="shared" si="0"/>
        <v>146436003.25765359</v>
      </c>
      <c r="X6" s="134">
        <f t="shared" si="0"/>
        <v>147695534.45896557</v>
      </c>
      <c r="Y6" s="134">
        <f t="shared" si="0"/>
        <v>148965899.19036433</v>
      </c>
      <c r="Z6" s="134">
        <f t="shared" si="0"/>
        <v>150247190.63364163</v>
      </c>
      <c r="AA6" s="134">
        <f t="shared" si="0"/>
        <v>151539502.7720682</v>
      </c>
      <c r="AB6" s="134">
        <f t="shared" si="0"/>
        <v>152842930.39728746</v>
      </c>
      <c r="AC6" s="134">
        <f t="shared" si="0"/>
        <v>154157569.11626846</v>
      </c>
      <c r="AD6" s="134">
        <f t="shared" si="0"/>
        <v>155483515.35831872</v>
      </c>
      <c r="AE6" s="134">
        <f t="shared" si="0"/>
        <v>156820866.38215742</v>
      </c>
      <c r="AF6" s="134">
        <f t="shared" si="0"/>
        <v>158169720.28304932</v>
      </c>
      <c r="AG6" s="134">
        <f>Inputs!E60</f>
        <v>159530176</v>
      </c>
      <c r="AH6" s="134">
        <f>(1+(($AG6/$P6)^(1/($AG$5-$P$5))-1))*AG6</f>
        <v>160902333.32301331</v>
      </c>
      <c r="AI6" s="134">
        <f t="shared" ref="AI6:AJ6" si="1">(1+(($AG6/$P6)^(1/($AG$5-$P$5))-1))*AH6</f>
        <v>162286292.90041077</v>
      </c>
      <c r="AJ6" s="134">
        <f t="shared" si="1"/>
        <v>163682156.24621427</v>
      </c>
    </row>
    <row r="7" spans="2:37" s="137" customFormat="1" x14ac:dyDescent="0.2">
      <c r="B7" s="135" t="s">
        <v>32</v>
      </c>
      <c r="C7" s="133"/>
      <c r="D7" s="134"/>
      <c r="E7" s="134"/>
      <c r="F7" s="134"/>
      <c r="G7" s="134"/>
      <c r="H7" s="134"/>
      <c r="I7" s="134"/>
      <c r="J7" s="134"/>
      <c r="K7" s="134"/>
      <c r="L7" s="134"/>
      <c r="M7" s="134"/>
      <c r="N7" s="134"/>
      <c r="O7" s="134"/>
      <c r="P7" s="134">
        <f>Inputs!D61</f>
        <v>141261640</v>
      </c>
      <c r="Q7" s="134">
        <f>(1+(($AG7/$P7)^(1/($AG$5-$P$5))-1))*P7</f>
        <v>142701641.73055321</v>
      </c>
      <c r="R7" s="134">
        <f t="shared" ref="R7:AF7" si="2">(1+(($AG7/$P7)^(1/($AG$5-$P$5))-1))*Q7</f>
        <v>144156322.64070532</v>
      </c>
      <c r="S7" s="134">
        <f t="shared" si="2"/>
        <v>145625832.36799434</v>
      </c>
      <c r="T7" s="134">
        <f t="shared" si="2"/>
        <v>147110322.07534277</v>
      </c>
      <c r="U7" s="134">
        <f t="shared" si="2"/>
        <v>148609944.46660718</v>
      </c>
      <c r="V7" s="134">
        <f t="shared" si="2"/>
        <v>150124853.80228621</v>
      </c>
      <c r="W7" s="134">
        <f t="shared" si="2"/>
        <v>151655205.91538879</v>
      </c>
      <c r="X7" s="134">
        <f t="shared" si="2"/>
        <v>153201158.2274642</v>
      </c>
      <c r="Y7" s="134">
        <f t="shared" si="2"/>
        <v>154762869.76479524</v>
      </c>
      <c r="Z7" s="134">
        <f t="shared" si="2"/>
        <v>156340501.17475682</v>
      </c>
      <c r="AA7" s="134">
        <f t="shared" si="2"/>
        <v>157934214.7423411</v>
      </c>
      <c r="AB7" s="134">
        <f t="shared" si="2"/>
        <v>159544174.40685108</v>
      </c>
      <c r="AC7" s="134">
        <f t="shared" si="2"/>
        <v>161170545.77876455</v>
      </c>
      <c r="AD7" s="134">
        <f t="shared" si="2"/>
        <v>162813496.15676966</v>
      </c>
      <c r="AE7" s="134">
        <f t="shared" si="2"/>
        <v>164473194.54497445</v>
      </c>
      <c r="AF7" s="134">
        <f t="shared" si="2"/>
        <v>166149811.67029151</v>
      </c>
      <c r="AG7" s="134">
        <f>Inputs!E61</f>
        <v>167843520</v>
      </c>
      <c r="AH7" s="134">
        <f>(1+(($AG7/$P7)^(1/($AG$5-$P$5))-1))*AG7</f>
        <v>169554493.7594873</v>
      </c>
      <c r="AI7" s="134">
        <f t="shared" ref="AI7:AJ7" si="3">(1+(($AG7/$P7)^(1/($AG$5-$P$5))-1))*AH7</f>
        <v>171282908.95016989</v>
      </c>
      <c r="AJ7" s="134">
        <f t="shared" si="3"/>
        <v>173028943.36759865</v>
      </c>
    </row>
    <row r="8" spans="2:37" s="137" customFormat="1" x14ac:dyDescent="0.2">
      <c r="B8" s="135"/>
      <c r="C8" s="537">
        <v>2025</v>
      </c>
      <c r="D8" s="537"/>
      <c r="E8" s="537">
        <v>2045</v>
      </c>
      <c r="F8" s="537"/>
      <c r="G8" s="134"/>
      <c r="H8" s="134"/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4"/>
      <c r="AF8" s="136"/>
    </row>
    <row r="9" spans="2:37" s="137" customFormat="1" ht="15" x14ac:dyDescent="0.25">
      <c r="B9" s="81" t="s">
        <v>123</v>
      </c>
      <c r="C9" s="380" t="s">
        <v>66</v>
      </c>
      <c r="D9" s="380" t="s">
        <v>8</v>
      </c>
      <c r="E9" s="380" t="s">
        <v>66</v>
      </c>
      <c r="F9" s="380" t="s">
        <v>8</v>
      </c>
      <c r="H9" s="133"/>
      <c r="I9" s="133"/>
      <c r="J9" s="133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38"/>
      <c r="V9" s="138"/>
      <c r="W9" s="138"/>
      <c r="X9" s="138"/>
      <c r="Y9" s="138"/>
      <c r="Z9" s="138"/>
      <c r="AA9" s="138"/>
      <c r="AB9" s="138"/>
      <c r="AC9" s="138"/>
      <c r="AD9" s="138"/>
      <c r="AE9" s="138"/>
      <c r="AF9" s="136"/>
    </row>
    <row r="10" spans="2:37" s="137" customFormat="1" ht="15" x14ac:dyDescent="0.25">
      <c r="B10" s="81" t="s">
        <v>36</v>
      </c>
      <c r="C10" s="381">
        <f>Inputs!C64</f>
        <v>34.344449179629237</v>
      </c>
      <c r="D10" s="381">
        <f>Inputs!C64</f>
        <v>34.344449179629237</v>
      </c>
      <c r="E10" s="381">
        <f>Inputs!D64</f>
        <v>22.332052177964126</v>
      </c>
      <c r="F10" s="381">
        <f>Inputs!D64</f>
        <v>22.332052177964126</v>
      </c>
      <c r="H10" s="133"/>
      <c r="I10" s="133"/>
      <c r="J10" s="133"/>
      <c r="K10" s="138"/>
      <c r="L10" s="138"/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6"/>
    </row>
    <row r="11" spans="2:37" s="137" customFormat="1" ht="15" x14ac:dyDescent="0.25">
      <c r="B11" s="81" t="s">
        <v>35</v>
      </c>
      <c r="C11" s="381">
        <f>Inputs!C65</f>
        <v>39.045551855375834</v>
      </c>
      <c r="D11" s="381">
        <f>Inputs!C65</f>
        <v>39.045551855375834</v>
      </c>
      <c r="E11" s="381">
        <f>Inputs!D65</f>
        <v>32.735902636916833</v>
      </c>
      <c r="F11" s="381">
        <f>Inputs!D65</f>
        <v>32.735902636916833</v>
      </c>
      <c r="H11" s="133"/>
      <c r="I11" s="133"/>
      <c r="J11" s="133"/>
      <c r="K11" s="138"/>
      <c r="L11" s="138"/>
      <c r="M11" s="138"/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8"/>
      <c r="AD11" s="138"/>
      <c r="AE11" s="138"/>
      <c r="AF11" s="136"/>
    </row>
    <row r="12" spans="2:37" s="137" customFormat="1" x14ac:dyDescent="0.2">
      <c r="B12" s="135"/>
      <c r="D12" s="81"/>
      <c r="E12" s="81"/>
      <c r="F12" s="81"/>
      <c r="H12" s="81"/>
      <c r="I12" s="81"/>
      <c r="J12" s="81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136"/>
    </row>
    <row r="13" spans="2:37" s="137" customFormat="1" x14ac:dyDescent="0.2">
      <c r="B13" s="81"/>
      <c r="C13" s="151" t="s">
        <v>66</v>
      </c>
      <c r="D13" s="151" t="s">
        <v>8</v>
      </c>
      <c r="E13" s="151" t="s">
        <v>66</v>
      </c>
      <c r="F13" s="151" t="s">
        <v>8</v>
      </c>
      <c r="H13" s="81"/>
      <c r="I13" s="81"/>
      <c r="J13" s="81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</row>
    <row r="14" spans="2:37" s="137" customFormat="1" x14ac:dyDescent="0.2">
      <c r="B14" s="81" t="s">
        <v>143</v>
      </c>
      <c r="H14" s="81"/>
      <c r="I14" s="81"/>
      <c r="J14" s="140"/>
      <c r="K14" s="141"/>
      <c r="L14" s="155"/>
      <c r="M14" s="155"/>
      <c r="N14" s="155"/>
      <c r="O14" s="155"/>
      <c r="P14" s="155"/>
      <c r="Q14" s="155"/>
      <c r="R14" s="155"/>
      <c r="S14" s="155"/>
      <c r="T14" s="155"/>
      <c r="U14" s="155"/>
      <c r="V14" s="155"/>
      <c r="W14" s="155"/>
      <c r="X14" s="155"/>
      <c r="Y14" s="155"/>
      <c r="Z14" s="155"/>
      <c r="AA14" s="155"/>
      <c r="AB14" s="155"/>
      <c r="AC14" s="155"/>
      <c r="AD14" s="155"/>
      <c r="AE14" s="155"/>
      <c r="AF14" s="155"/>
      <c r="AG14" s="155"/>
      <c r="AH14" s="155"/>
    </row>
    <row r="15" spans="2:37" s="137" customFormat="1" x14ac:dyDescent="0.2">
      <c r="B15" s="81" t="s">
        <v>36</v>
      </c>
      <c r="C15" s="152">
        <f>VLOOKUP(C10,'Emission Factors'!$C$8:$J$74,4,TRUE)</f>
        <v>8.9800000000000005E-2</v>
      </c>
      <c r="D15" s="152">
        <f>VLOOKUP(D10,'Emission Factors'!$C$76:$J$142,4,TRUE)</f>
        <v>2.7509000000000001</v>
      </c>
      <c r="E15" s="152">
        <f>VLOOKUP(E10,'Emission Factors'!$O$8:$V$74,4,TRUE)</f>
        <v>2.93E-2</v>
      </c>
      <c r="F15" s="152">
        <f>VLOOKUP(F10,'Emission Factors'!$O$76:$V$142,4,TRUE)</f>
        <v>1.8432999999999999</v>
      </c>
      <c r="H15" s="81"/>
      <c r="I15" s="81"/>
      <c r="J15" s="140"/>
      <c r="K15" s="140"/>
      <c r="L15" s="155"/>
      <c r="M15" s="155"/>
      <c r="N15" s="155"/>
      <c r="O15" s="155"/>
      <c r="P15" s="155">
        <f>((P6*Inputs!$C$67*($C$15+(P5-$C$8)*($E$15-$C$15)/($E$8-$C$8)))+(P6*Inputs!$C$68*($D$15+(P5-$C$8)*($F$15-$D$15)/($E$8-$C$8))))</f>
        <v>60060572.835687846</v>
      </c>
      <c r="Q15" s="155">
        <f>((Q6*Inputs!$C$67*($C$15+(Q5-$C$8)*($E$15-$C$15)/($E$8-$C$8)))+(Q6*Inputs!$C$68*($D$15+(Q5-$C$8)*($F$15-$D$15)/($E$8-$C$8))))</f>
        <v>59331558.707092687</v>
      </c>
      <c r="R15" s="155">
        <f>((R6*Inputs!$C$67*($C$15+(R5-$C$8)*($E$15-$C$15)/($E$8-$C$8)))+(R6*Inputs!$C$68*($D$15+(R5-$C$8)*($F$15-$D$15)/($E$8-$C$8))))</f>
        <v>58585560.366624482</v>
      </c>
      <c r="S15" s="155">
        <f>((S6*Inputs!$C$67*($C$15+(S5-$C$8)*($E$15-$C$15)/($E$8-$C$8)))+(S6*Inputs!$C$68*($D$15+(S5-$C$8)*($F$15-$D$15)/($E$8-$C$8))))</f>
        <v>57822339.577153742</v>
      </c>
      <c r="T15" s="155">
        <f>((T6*Inputs!$C$67*($C$15+(T5-$C$8)*($E$15-$C$15)/($E$8-$C$8)))+(T6*Inputs!$C$68*($D$15+(T5-$C$8)*($F$15-$D$15)/($E$8-$C$8))))</f>
        <v>57041655.259796076</v>
      </c>
      <c r="U15" s="155">
        <f>((U6*Inputs!$C$67*($C$15+(U5-$C$8)*($E$15-$C$15)/($E$8-$C$8)))+(U6*Inputs!$C$68*($D$15+(U5-$C$8)*($F$15-$D$15)/($E$8-$C$8))))</f>
        <v>56243263.462652102</v>
      </c>
      <c r="V15" s="155">
        <f>((V6*Inputs!$C$67*($C$15+(V5-$C$8)*($E$15-$C$15)/($E$8-$C$8)))+(V6*Inputs!$C$68*($D$15+(V5-$C$8)*($F$15-$D$15)/($E$8-$C$8))))</f>
        <v>55426917.329219826</v>
      </c>
      <c r="W15" s="155">
        <f>((W6*Inputs!$C$67*($C$15+(W5-$C$8)*($E$15-$C$15)/($E$8-$C$8)))+(W6*Inputs!$C$68*($D$15+(W5-$C$8)*($F$15-$D$15)/($E$8-$C$8))))</f>
        <v>54592367.066476062</v>
      </c>
      <c r="X15" s="155">
        <f>((X6*$E$15*Inputs!$C$67))+((X6*$F$15*Inputs!$C$68))</f>
        <v>41836237.090846591</v>
      </c>
      <c r="Y15" s="155">
        <f>((Y6*$E$15*Inputs!$C$67))+((Y6*$F$15*Inputs!$C$68))</f>
        <v>42196080.604662597</v>
      </c>
      <c r="Z15" s="155">
        <f>((Z6*$E$15*Inputs!$C$67))+((Z6*$F$15*Inputs!$C$68))</f>
        <v>42559019.218885332</v>
      </c>
      <c r="AA15" s="155">
        <f>((AA6*$E$15*Inputs!$C$67))+((AA6*$F$15*Inputs!$C$68))</f>
        <v>42925079.555216044</v>
      </c>
      <c r="AB15" s="155">
        <f>((AB6*$E$15*Inputs!$C$67))+((AB6*$F$15*Inputs!$C$68))</f>
        <v>43294288.46433565</v>
      </c>
      <c r="AC15" s="155">
        <f>((AC6*$E$15*Inputs!$C$67))+((AC6*$F$15*Inputs!$C$68))</f>
        <v>43666673.027874209</v>
      </c>
      <c r="AD15" s="155">
        <f>((AD6*$E$15*Inputs!$C$67))+((AD6*$F$15*Inputs!$C$68))</f>
        <v>44042260.560397364</v>
      </c>
      <c r="AE15" s="155">
        <f>((AE6*$E$15*Inputs!$C$67))+((AE6*$F$15*Inputs!$C$68))</f>
        <v>44421078.61140991</v>
      </c>
      <c r="AF15" s="155">
        <f>((AF6*$E$15*Inputs!$C$67))+((AF6*$F$15*Inputs!$C$68))</f>
        <v>44803154.967376553</v>
      </c>
      <c r="AG15" s="155">
        <f>((AG6*$E$15*Inputs!$C$67))+((AG6*$F$15*Inputs!$C$68))</f>
        <v>45188517.653760001</v>
      </c>
      <c r="AH15" s="155">
        <f>((AH6*$E$15*Inputs!$C$67))+((AH6*$F$15*Inputs!$C$68))</f>
        <v>45577194.937076755</v>
      </c>
      <c r="AI15" s="155">
        <f>((AI6*$E$15*Inputs!$C$67))+((AI6*$F$15*Inputs!$C$68))</f>
        <v>45969215.326970354</v>
      </c>
      <c r="AJ15" s="155">
        <f>((AJ6*$E$15*Inputs!$C$67))+((AJ6*$F$15*Inputs!$C$68))</f>
        <v>46364607.578302659</v>
      </c>
    </row>
    <row r="16" spans="2:37" s="137" customFormat="1" x14ac:dyDescent="0.2">
      <c r="B16" s="81" t="s">
        <v>35</v>
      </c>
      <c r="C16" s="152">
        <f>VLOOKUP(C11,'Emission Factors'!$C$8:$J$74,4,TRUE)</f>
        <v>8.8700000000000001E-2</v>
      </c>
      <c r="D16" s="152">
        <f>VLOOKUP(D11,'Emission Factors'!$C$76:$J$142,4,TRUE)</f>
        <v>2.6818</v>
      </c>
      <c r="E16" s="152">
        <f>VLOOKUP(E11,'Emission Factors'!$O$8:$V$74,4,TRUE)</f>
        <v>2.5399999999999999E-2</v>
      </c>
      <c r="F16" s="152">
        <f>VLOOKUP(F11,'Emission Factors'!$O$76:$V$142,4,TRUE)</f>
        <v>1.2636000000000001</v>
      </c>
      <c r="H16" s="81"/>
      <c r="I16" s="81"/>
      <c r="J16" s="140"/>
      <c r="K16" s="140"/>
      <c r="L16" s="155"/>
      <c r="M16" s="155"/>
      <c r="N16" s="155"/>
      <c r="O16" s="155"/>
      <c r="P16" s="155">
        <f>((P7*Inputs!$C$67*($C$16+(P5-$C$8)*($E$16-$C$16)/($E$8-$C$8)))+(P7*Inputs!$C$68*($D$16+(P5-$C$8)*($F$16-$D$16)/($E$8-$C$8))))</f>
        <v>58452103.095204003</v>
      </c>
      <c r="Q16" s="155">
        <f>((Q7*Inputs!$C$67*($C$16+(Q5-$C$8)*($E$16-$C$16)/($E$8-$C$8)))+(Q7*Inputs!$C$68*($D$16+(Q5-$C$8)*($F$16-$D$16)/($E$8-$C$8))))</f>
        <v>57242879.918540582</v>
      </c>
      <c r="R16" s="155">
        <f>((R7*Inputs!$C$67*($C$16+(R5-$C$8)*($E$16-$C$16)/($E$8-$C$8)))+(R7*Inputs!$C$68*($D$16+(R5-$C$8)*($F$16-$D$16)/($E$8-$C$8))))</f>
        <v>56002929.391881004</v>
      </c>
      <c r="S16" s="155">
        <f>((S7*Inputs!$C$67*($C$16+(S5-$C$8)*($E$16-$C$16)/($E$8-$C$8)))+(S7*Inputs!$C$68*($D$16+(S5-$C$8)*($F$16-$D$16)/($E$8-$C$8))))</f>
        <v>54731750.710688725</v>
      </c>
      <c r="T16" s="155">
        <f>((T7*Inputs!$C$67*($C$16+(T5-$C$8)*($E$16-$C$16)/($E$8-$C$8)))+(T7*Inputs!$C$68*($D$16+(T5-$C$8)*($F$16-$D$16)/($E$8-$C$8))))</f>
        <v>53428836.053189471</v>
      </c>
      <c r="U16" s="155">
        <f>((U7*Inputs!$C$67*($C$16+(U5-$C$8)*($E$16-$C$16)/($E$8-$C$8)))+(U7*Inputs!$C$68*($D$16+(U5-$C$8)*($F$16-$D$16)/($E$8-$C$8))))</f>
        <v>52093670.48934669</v>
      </c>
      <c r="V16" s="155">
        <f>((V7*Inputs!$C$67*($C$16+(V5-$C$8)*($E$16-$C$16)/($E$8-$C$8)))+(V7*Inputs!$C$68*($D$16+(V5-$C$8)*($F$16-$D$16)/($E$8-$C$8))))</f>
        <v>50725731.888710633</v>
      </c>
      <c r="W16" s="155">
        <f>((W7*Inputs!$C$67*($C$16+(W5-$C$8)*($E$16-$C$16)/($E$8-$C$8)))+(W7*Inputs!$C$68*($D$16+(W5-$C$8)*($F$16-$D$16)/($E$8-$C$8))))</f>
        <v>49324490.82712698</v>
      </c>
      <c r="X16" s="155">
        <f>((X7*$E$16*Inputs!$C$67))+((X7*$F$16*Inputs!$C$68))</f>
        <v>30448423.795392055</v>
      </c>
      <c r="Y16" s="155">
        <f>((Y7*$E$16*Inputs!$C$67))+((Y7*$F$16*Inputs!$C$68))</f>
        <v>30758810.840013526</v>
      </c>
      <c r="Z16" s="155">
        <f>((Z7*$E$16*Inputs!$C$67))+((Z7*$F$16*Inputs!$C$68))</f>
        <v>31072361.927480571</v>
      </c>
      <c r="AA16" s="155">
        <f>((AA7*$E$16*Inputs!$C$67))+((AA7*$F$16*Inputs!$C$68))</f>
        <v>31389109.311610814</v>
      </c>
      <c r="AB16" s="155">
        <f>((AB7*$E$16*Inputs!$C$67))+((AB7*$F$16*Inputs!$C$68))</f>
        <v>31709085.575012844</v>
      </c>
      <c r="AC16" s="155">
        <f>((AC7*$E$16*Inputs!$C$67))+((AC7*$F$16*Inputs!$C$68))</f>
        <v>32032323.6324379</v>
      </c>
      <c r="AD16" s="155">
        <f>((AD7*$E$16*Inputs!$C$67))+((AD7*$F$16*Inputs!$C$68))</f>
        <v>32358856.734165661</v>
      </c>
      <c r="AE16" s="155">
        <f>((AE7*$E$16*Inputs!$C$67))+((AE7*$F$16*Inputs!$C$68))</f>
        <v>32688718.469424583</v>
      </c>
      <c r="AF16" s="155">
        <f>((AF7*$E$16*Inputs!$C$67))+((AF7*$F$16*Inputs!$C$68))</f>
        <v>33021942.769847102</v>
      </c>
      <c r="AG16" s="155">
        <f>((AG7*$E$16*Inputs!$C$67))+((AG7*$F$16*Inputs!$C$68))</f>
        <v>33358563.912960004</v>
      </c>
      <c r="AH16" s="155">
        <f>((AH7*$E$16*Inputs!$C$67))+((AH7*$F$16*Inputs!$C$68))</f>
        <v>33698616.52571059</v>
      </c>
      <c r="AI16" s="155">
        <f>((AI7*$E$16*Inputs!$C$67))+((AI7*$F$16*Inputs!$C$68))</f>
        <v>34042135.588028371</v>
      </c>
      <c r="AJ16" s="155">
        <f>((AJ7*$E$16*Inputs!$C$67))+((AJ7*$F$16*Inputs!$C$68))</f>
        <v>34389156.436423503</v>
      </c>
    </row>
    <row r="17" spans="2:36" s="137" customFormat="1" x14ac:dyDescent="0.2">
      <c r="B17" s="81" t="s">
        <v>144</v>
      </c>
      <c r="H17" s="81"/>
      <c r="I17" s="81"/>
      <c r="J17" s="140"/>
      <c r="K17" s="141"/>
      <c r="L17" s="155"/>
      <c r="M17" s="155"/>
      <c r="N17" s="155"/>
      <c r="O17" s="155"/>
      <c r="P17" s="155"/>
      <c r="Q17" s="155"/>
      <c r="R17" s="155"/>
      <c r="S17" s="155"/>
      <c r="T17" s="155"/>
      <c r="U17" s="155"/>
      <c r="V17" s="155"/>
      <c r="W17" s="155"/>
      <c r="X17" s="155"/>
      <c r="Y17" s="155"/>
      <c r="Z17" s="155"/>
      <c r="AA17" s="155"/>
      <c r="AB17" s="155"/>
      <c r="AC17" s="155"/>
      <c r="AD17" s="155"/>
      <c r="AE17" s="155"/>
      <c r="AF17" s="155"/>
      <c r="AG17" s="155"/>
      <c r="AH17" s="155"/>
    </row>
    <row r="18" spans="2:36" s="137" customFormat="1" x14ac:dyDescent="0.2">
      <c r="B18" s="81" t="s">
        <v>36</v>
      </c>
      <c r="C18" s="152">
        <f>VLOOKUP(C10,'Emission Factors'!$C$8:$J$74,8,TRUE)</f>
        <v>1.6000000000000001E-3</v>
      </c>
      <c r="D18" s="152">
        <f>VLOOKUP(D10,'Emission Factors'!$C$76:$J$142,8,TRUE)</f>
        <v>3.3300000000000003E-2</v>
      </c>
      <c r="E18" s="152">
        <f>VLOOKUP(E10,'Emission Factors'!$O$8:$V$74,8,TRUE)</f>
        <v>1E-3</v>
      </c>
      <c r="F18" s="152">
        <f>VLOOKUP(F10,'Emission Factors'!$O$76:$V$142,8,TRUE)</f>
        <v>5.8999999999999999E-3</v>
      </c>
      <c r="H18" s="81"/>
      <c r="I18" s="81"/>
      <c r="J18" s="140"/>
      <c r="K18" s="141"/>
      <c r="L18" s="155"/>
      <c r="M18" s="155"/>
      <c r="N18" s="155"/>
      <c r="O18" s="155"/>
      <c r="P18" s="155">
        <f>((P6*Inputs!$C$67*($C$18+(P5-$C$8)*($E$18-$C$18)/($E$8-$C$8)))+(P6*Inputs!$C$68*($D$18+(P5-$C$8)*($F$18-$D$18)/($E$8-$C$8))))</f>
        <v>742699.65120832005</v>
      </c>
      <c r="Q18" s="155">
        <f>((Q6*Inputs!$C$67*($C$18+(Q5-$C$8)*($E$18-$C$18)/($E$8-$C$8)))+(Q6*Inputs!$C$68*($D$18+(Q5-$C$8)*($F$18-$D$18)/($E$8-$C$8))))</f>
        <v>718819.36772105133</v>
      </c>
      <c r="R18" s="155">
        <f>((R6*Inputs!$C$67*($C$18+(R5-$C$8)*($E$18-$C$18)/($E$8-$C$8)))+(R6*Inputs!$C$68*($D$18+(R5-$C$8)*($F$18-$D$18)/($E$8-$C$8))))</f>
        <v>694473.33823009266</v>
      </c>
      <c r="S18" s="155">
        <f>((S6*Inputs!$C$67*($C$18+(S5-$C$8)*($E$18-$C$18)/($E$8-$C$8)))+(S6*Inputs!$C$68*($D$18+(S5-$C$8)*($F$18-$D$18)/($E$8-$C$8))))</f>
        <v>669655.31744427874</v>
      </c>
      <c r="T18" s="155">
        <f>((T6*Inputs!$C$67*($C$18+(T5-$C$8)*($E$18-$C$18)/($E$8-$C$8)))+(T6*Inputs!$C$68*($D$18+(T5-$C$8)*($F$18-$D$18)/($E$8-$C$8))))</f>
        <v>644358.98709445668</v>
      </c>
      <c r="U18" s="155">
        <f>((U6*Inputs!$C$67*($C$18+(U5-$C$8)*($E$18-$C$18)/($E$8-$C$8)))+(U6*Inputs!$C$68*($D$18+(U5-$C$8)*($F$18-$D$18)/($E$8-$C$8))))</f>
        <v>618577.9551401186</v>
      </c>
      <c r="V18" s="155">
        <f>((V6*Inputs!$C$67*($C$18+(V5-$C$8)*($E$18-$C$18)/($E$8-$C$8)))+(V6*Inputs!$C$68*($D$18+(V5-$C$8)*($F$18-$D$18)/($E$8-$C$8))))</f>
        <v>592305.75496778544</v>
      </c>
      <c r="W18" s="155">
        <f>((W6*Inputs!$C$67*($C$18+(W5-$C$8)*($E$18-$C$18)/($E$8-$C$8)))+(W6*Inputs!$C$68*($D$18+(W5-$C$8)*($F$18-$D$18)/($E$8-$C$8))))</f>
        <v>565535.84458105825</v>
      </c>
      <c r="X18" s="155">
        <f>((X6*$E$18*Inputs!$C$67)+(X6*$F$18*Inputs!$C$68))</f>
        <v>249014.67109781597</v>
      </c>
      <c r="Y18" s="155">
        <f>((Y6*$E$18*Inputs!$C$67)+(Y6*$F$18*Inputs!$C$68))</f>
        <v>251156.50603495428</v>
      </c>
      <c r="Z18" s="155">
        <f>((Z6*$E$18*Inputs!$C$67)+(Z6*$F$18*Inputs!$C$68))</f>
        <v>253316.76340831979</v>
      </c>
      <c r="AA18" s="155">
        <f>((AA6*$E$18*Inputs!$C$67)+(AA6*$F$18*Inputs!$C$68))</f>
        <v>255495.60167370699</v>
      </c>
      <c r="AB18" s="155">
        <f>((AB6*$E$18*Inputs!$C$67)+(AB6*$F$18*Inputs!$C$68))</f>
        <v>257693.18064982665</v>
      </c>
      <c r="AC18" s="155">
        <f>((AC6*$E$18*Inputs!$C$67)+(AC6*$F$18*Inputs!$C$68))</f>
        <v>259909.66153002862</v>
      </c>
      <c r="AD18" s="155">
        <f>((AD6*$E$18*Inputs!$C$67)+(AD6*$F$18*Inputs!$C$68))</f>
        <v>262145.20689412538</v>
      </c>
      <c r="AE18" s="155">
        <f>((AE6*$E$18*Inputs!$C$67)+(AE6*$F$18*Inputs!$C$68))</f>
        <v>264399.98072031746</v>
      </c>
      <c r="AF18" s="155">
        <f>((AF6*$E$18*Inputs!$C$67)+(AF6*$F$18*Inputs!$C$68))</f>
        <v>266674.14839722117</v>
      </c>
      <c r="AG18" s="155">
        <f>((AG6*$E$18*Inputs!$C$67)+(AG6*$F$18*Inputs!$C$68))</f>
        <v>268967.87673600001</v>
      </c>
      <c r="AH18" s="155">
        <f>((AH6*$E$18*Inputs!$C$67)+(AH6*$F$18*Inputs!$C$68))</f>
        <v>271281.33398260048</v>
      </c>
      <c r="AI18" s="155">
        <f>((AI6*$E$18*Inputs!$C$67)+(AI6*$F$18*Inputs!$C$68))</f>
        <v>273614.6898300926</v>
      </c>
      <c r="AJ18" s="155">
        <f>((AJ6*$E$18*Inputs!$C$67)+(AJ6*$F$18*Inputs!$C$68))</f>
        <v>275968.11543111724</v>
      </c>
    </row>
    <row r="19" spans="2:36" s="137" customFormat="1" x14ac:dyDescent="0.2">
      <c r="B19" s="81" t="s">
        <v>35</v>
      </c>
      <c r="C19" s="152">
        <f>VLOOKUP(C11,'Emission Factors'!$C$8:$J$74,8,TRUE)</f>
        <v>1.4E-3</v>
      </c>
      <c r="D19" s="152">
        <f>VLOOKUP(D11,'Emission Factors'!$C$76:$J$142,8,TRUE)</f>
        <v>3.4700000000000002E-2</v>
      </c>
      <c r="E19" s="152">
        <f>VLOOKUP(E11,'Emission Factors'!$O$8:$V$74,8,TRUE)</f>
        <v>5.9999999999999995E-4</v>
      </c>
      <c r="F19" s="152">
        <f>VLOOKUP(F11,'Emission Factors'!$O$76:$V$142,8,TRUE)</f>
        <v>5.1999999999999998E-3</v>
      </c>
      <c r="H19" s="81"/>
      <c r="I19" s="81"/>
      <c r="J19" s="140"/>
      <c r="K19" s="141"/>
      <c r="L19" s="155"/>
      <c r="M19" s="155"/>
      <c r="N19" s="155"/>
      <c r="O19" s="155"/>
      <c r="P19" s="155">
        <f>((P7*Inputs!$C$67*($C$19+(P5-$C$8)*($E$19-$C$19)/($E$8-$C$8)))+(P7*Inputs!$C$68*($D$19+(P5-$C$8)*($F$19-$D$19)/($E$8-$C$8))))</f>
        <v>754238.27445200016</v>
      </c>
      <c r="Q19" s="155">
        <f>((Q7*Inputs!$C$67*($C$19+(Q5-$C$8)*($E$19-$C$19)/($E$8-$C$8)))+(Q7*Inputs!$C$68*($D$19+(Q5-$C$8)*($F$19-$D$19)/($E$8-$C$8))))</f>
        <v>727550.05019905255</v>
      </c>
      <c r="R19" s="155">
        <f>((R7*Inputs!$C$67*($C$19+(R5-$C$8)*($E$19-$C$19)/($E$8-$C$8)))+(R7*Inputs!$C$68*($D$19+(R5-$C$8)*($F$19-$D$19)/($E$8-$C$8))))</f>
        <v>700239.33722722612</v>
      </c>
      <c r="S19" s="155">
        <f>((S7*Inputs!$C$67*($C$19+(S5-$C$8)*($E$19-$C$19)/($E$8-$C$8)))+(S7*Inputs!$C$68*($D$19+(S5-$C$8)*($F$19-$D$19)/($E$8-$C$8))))</f>
        <v>672296.21771008277</v>
      </c>
      <c r="T19" s="155">
        <f>((T7*Inputs!$C$67*($C$19+(T5-$C$8)*($E$19-$C$19)/($E$8-$C$8)))+(T7*Inputs!$C$68*($D$19+(T5-$C$8)*($F$19-$D$19)/($E$8-$C$8))))</f>
        <v>643710.63630507735</v>
      </c>
      <c r="U19" s="155">
        <f>((U7*Inputs!$C$67*($C$19+(U5-$C$8)*($E$19-$C$19)/($E$8-$C$8)))+(U7*Inputs!$C$68*($D$19+(U5-$C$8)*($F$19-$D$19)/($E$8-$C$8))))</f>
        <v>614472.39838052739</v>
      </c>
      <c r="V19" s="155">
        <f>((V7*Inputs!$C$67*($C$19+(V5-$C$8)*($E$19-$C$19)/($E$8-$C$8)))+(V7*Inputs!$C$68*($D$19+(V5-$C$8)*($F$19-$D$19)/($E$8-$C$8))))</f>
        <v>584571.16822072235</v>
      </c>
      <c r="W19" s="155">
        <f>((W7*Inputs!$C$67*($C$19+(W5-$C$8)*($E$19-$C$19)/($E$8-$C$8)))+(W7*Inputs!$C$68*($D$19+(W5-$C$8)*($F$19-$D$19)/($E$8-$C$8))))</f>
        <v>553996.46720891527</v>
      </c>
      <c r="X19" s="155">
        <f>((X7*$E$19*Inputs!$C$67)+(X7*Inputs!$C$68*$F$19))</f>
        <v>190582.24083496546</v>
      </c>
      <c r="Y19" s="155">
        <f>((Y7*$E$19*Inputs!$C$67)+(Y7*Inputs!$C$68*$F$19))</f>
        <v>192525.00998740527</v>
      </c>
      <c r="Z19" s="155">
        <f>((Z7*$E$19*Inputs!$C$67)+(Z7*Inputs!$C$68*$F$19))</f>
        <v>194487.58346139747</v>
      </c>
      <c r="AA19" s="155">
        <f>((AA7*$E$19*Inputs!$C$67)+(AA7*Inputs!$C$68*$F$19))</f>
        <v>196470.16313947231</v>
      </c>
      <c r="AB19" s="155">
        <f>((AB7*$E$19*Inputs!$C$67)+(AB7*Inputs!$C$68*$F$19))</f>
        <v>198472.95296212274</v>
      </c>
      <c r="AC19" s="155">
        <f>((AC7*$E$19*Inputs!$C$67)+(AC7*Inputs!$C$68*$F$19))</f>
        <v>200496.15894878309</v>
      </c>
      <c r="AD19" s="155">
        <f>((AD7*$E$19*Inputs!$C$67)+(AD7*Inputs!$C$68*$F$19))</f>
        <v>202539.98921902146</v>
      </c>
      <c r="AE19" s="155">
        <f>((AE7*$E$19*Inputs!$C$67)+(AE7*Inputs!$C$68*$F$19))</f>
        <v>204604.65401394822</v>
      </c>
      <c r="AF19" s="155">
        <f>((AF7*$E$19*Inputs!$C$67)+(AF7*Inputs!$C$68*$F$19))</f>
        <v>206690.36571784265</v>
      </c>
      <c r="AG19" s="155">
        <f>((AG7*$E$19*Inputs!$C$67)+(AG7*Inputs!$C$68*$F$19))</f>
        <v>208797.33888</v>
      </c>
      <c r="AH19" s="155">
        <f>((AH7*$E$19*Inputs!$C$67)+(AH7*Inputs!$C$68*$F$19))</f>
        <v>210925.79023680219</v>
      </c>
      <c r="AI19" s="155">
        <f>((AI7*$E$19*Inputs!$C$67)+(AI7*Inputs!$C$68*$F$19))</f>
        <v>213075.93873401135</v>
      </c>
      <c r="AJ19" s="155">
        <f>((AJ7*$E$19*Inputs!$C$67)+(AJ7*Inputs!$C$68*$F$19))</f>
        <v>215248.00554929272</v>
      </c>
    </row>
    <row r="20" spans="2:36" s="137" customFormat="1" x14ac:dyDescent="0.2">
      <c r="B20" s="81" t="s">
        <v>145</v>
      </c>
      <c r="H20" s="81"/>
      <c r="I20" s="81"/>
      <c r="J20" s="140"/>
      <c r="K20" s="141"/>
      <c r="L20" s="155"/>
      <c r="M20" s="155"/>
      <c r="N20" s="155"/>
      <c r="O20" s="155"/>
      <c r="P20" s="155"/>
      <c r="Q20" s="155"/>
      <c r="R20" s="155"/>
      <c r="S20" s="155"/>
      <c r="T20" s="155"/>
      <c r="U20" s="155"/>
      <c r="V20" s="155"/>
      <c r="W20" s="155"/>
      <c r="X20" s="155"/>
      <c r="Y20" s="155"/>
      <c r="Z20" s="155"/>
      <c r="AA20" s="155"/>
      <c r="AB20" s="155"/>
      <c r="AC20" s="155"/>
      <c r="AD20" s="155"/>
      <c r="AE20" s="155"/>
      <c r="AF20" s="155"/>
      <c r="AG20" s="155"/>
      <c r="AH20" s="155"/>
    </row>
    <row r="21" spans="2:36" s="137" customFormat="1" x14ac:dyDescent="0.2">
      <c r="B21" s="81" t="s">
        <v>36</v>
      </c>
      <c r="C21" s="152">
        <f>VLOOKUP(C10,'Emission Factors'!$C$8:$J$74,6,TRUE)</f>
        <v>3.0000000000000001E-3</v>
      </c>
      <c r="D21" s="152">
        <f>VLOOKUP(D10,'Emission Factors'!$C$76:$J$142,6,TRUE)</f>
        <v>9.5999999999999992E-3</v>
      </c>
      <c r="E21" s="152">
        <f>VLOOKUP(E10,'Emission Factors'!$O$8:$V$74,6,TRUE)</f>
        <v>2.5999999999999999E-3</v>
      </c>
      <c r="F21" s="152">
        <f>VLOOKUP(F10,'Emission Factors'!$O$76:$V$142,6,TRUE)</f>
        <v>8.8000000000000005E-3</v>
      </c>
      <c r="H21" s="81"/>
      <c r="I21" s="81"/>
      <c r="J21" s="140"/>
      <c r="K21" s="141"/>
      <c r="L21" s="155"/>
      <c r="M21" s="155"/>
      <c r="N21" s="155"/>
      <c r="O21" s="155"/>
      <c r="P21" s="155">
        <f>((P6*Inputs!$C$67*($C$21+(P5-$C$8)*($E$21-$C$21)/($E$8-$C$8)))+(P6*Inputs!$C$68*($D$21+(P5-$C$8)*($F$21-$D$21)/($E$8-$C$8))))</f>
        <v>531744.92594495998</v>
      </c>
      <c r="Q21" s="155">
        <f>((Q6*Inputs!$C$67*($C$21+(Q5-$C$8)*($E$21-$C$21)/($E$8-$C$8)))+(Q6*Inputs!$C$68*($D$21+(Q5-$C$8)*($F$21-$D$21)/($E$8-$C$8))))</f>
        <v>533147.08425598824</v>
      </c>
      <c r="R21" s="155">
        <f>((R6*Inputs!$C$67*($C$21+(R5-$C$8)*($E$21-$C$21)/($E$8-$C$8)))+(R6*Inputs!$C$68*($D$21+(R5-$C$8)*($F$21-$D$21)/($E$8-$C$8))))</f>
        <v>534534.02397104097</v>
      </c>
      <c r="S21" s="155">
        <f>((S6*Inputs!$C$67*($C$21+(S5-$C$8)*($E$21-$C$21)/($E$8-$C$8)))+(S6*Inputs!$C$68*($D$21+(S5-$C$8)*($F$21-$D$21)/($E$8-$C$8))))</f>
        <v>535905.37955899164</v>
      </c>
      <c r="T21" s="155">
        <f>((T6*Inputs!$C$67*($C$21+(T5-$C$8)*($E$21-$C$21)/($E$8-$C$8)))+(T6*Inputs!$C$68*($D$21+(T5-$C$8)*($F$21-$D$21)/($E$8-$C$8))))</f>
        <v>537260.78032656433</v>
      </c>
      <c r="U21" s="155">
        <f>((U6*Inputs!$C$67*($C$21+(U5-$C$8)*($E$21-$C$21)/($E$8-$C$8)))+(U6*Inputs!$C$68*($D$21+(U5-$C$8)*($F$21-$D$21)/($E$8-$C$8))))</f>
        <v>538599.85035657347</v>
      </c>
      <c r="V21" s="155">
        <f>((V6*Inputs!$C$67*($C$21+(V5-$C$8)*($E$21-$C$21)/($E$8-$C$8)))+(V6*Inputs!$C$68*($D$21+(V5-$C$8)*($F$21-$D$21)/($E$8-$C$8))))</f>
        <v>539922.20844548487</v>
      </c>
      <c r="W21" s="155">
        <f>((W6*Inputs!$C$67*($C$21+(W5-$C$8)*($E$21-$C$21)/($E$8-$C$8)))+(W6*Inputs!$C$68*($D$21+(W5-$C$8)*($F$21-$D$21)/($E$8-$C$8))))</f>
        <v>541227.46804028773</v>
      </c>
      <c r="X21" s="155">
        <f>((X6*$E$21*Inputs!$C$67))+((X6*$F$21*Inputs!$C$68))</f>
        <v>512208.11350369267</v>
      </c>
      <c r="Y21" s="155">
        <f>((Y6*$E$21*Inputs!$C$67))+((Y6*$F$21*Inputs!$C$68))</f>
        <v>516613.73839218356</v>
      </c>
      <c r="Z21" s="155">
        <f>((Z6*$E$21*Inputs!$C$67))+((Z6*$F$21*Inputs!$C$68))</f>
        <v>521057.25711746921</v>
      </c>
      <c r="AA21" s="155">
        <f>((AA6*$E$21*Inputs!$C$67))+((AA6*$F$21*Inputs!$C$68))</f>
        <v>525538.99561353249</v>
      </c>
      <c r="AB21" s="155">
        <f>((AB6*$E$21*Inputs!$C$67))+((AB6*$F$21*Inputs!$C$68))</f>
        <v>530059.28261779295</v>
      </c>
      <c r="AC21" s="155">
        <f>((AC6*$E$21*Inputs!$C$67))+((AC6*$F$21*Inputs!$C$68))</f>
        <v>534618.44969521905</v>
      </c>
      <c r="AD21" s="155">
        <f>((AD6*$E$21*Inputs!$C$67))+((AD6*$F$21*Inputs!$C$68))</f>
        <v>539216.83126264927</v>
      </c>
      <c r="AE21" s="155">
        <f>((AE6*$E$21*Inputs!$C$67))+((AE6*$F$21*Inputs!$C$68))</f>
        <v>543854.76461332198</v>
      </c>
      <c r="AF21" s="155">
        <f>((AF6*$E$21*Inputs!$C$67))+((AF6*$F$21*Inputs!$C$68))</f>
        <v>548532.58994161501</v>
      </c>
      <c r="AG21" s="155">
        <f>((AG6*$E$21*Inputs!$C$67))+((AG6*$F$21*Inputs!$C$68))</f>
        <v>553250.65036799992</v>
      </c>
      <c r="AH21" s="155">
        <f>((AH6*$E$21*Inputs!$C$67))+((AH6*$F$21*Inputs!$C$68))</f>
        <v>558009.2919642101</v>
      </c>
      <c r="AI21" s="155">
        <f>((AI6*$E$21*Inputs!$C$67))+((AI6*$F$21*Inputs!$C$68))</f>
        <v>562808.86377862457</v>
      </c>
      <c r="AJ21" s="155">
        <f>((AJ6*$E$21*Inputs!$C$67))+((AJ6*$F$21*Inputs!$C$68))</f>
        <v>567649.71786187112</v>
      </c>
    </row>
    <row r="22" spans="2:36" s="137" customFormat="1" x14ac:dyDescent="0.2">
      <c r="B22" s="81" t="s">
        <v>35</v>
      </c>
      <c r="C22" s="152">
        <f>VLOOKUP(C11,'Emission Factors'!$C$8:$J$74,6,TRUE)</f>
        <v>2.8999999999999998E-3</v>
      </c>
      <c r="D22" s="152">
        <f>VLOOKUP(D11,'Emission Factors'!$C$76:$J$142,6,TRUE)</f>
        <v>9.4999999999999998E-3</v>
      </c>
      <c r="E22" s="152">
        <f>VLOOKUP(E11,'Emission Factors'!$O$8:$V$74,6,TRUE)</f>
        <v>2.0999999999999999E-3</v>
      </c>
      <c r="F22" s="152">
        <f>VLOOKUP(F11,'Emission Factors'!$O$76:$V$142,6,TRUE)</f>
        <v>7.1999999999999998E-3</v>
      </c>
      <c r="H22" s="81"/>
      <c r="I22" s="81"/>
      <c r="J22" s="140"/>
      <c r="K22" s="141"/>
      <c r="L22" s="155"/>
      <c r="M22" s="155"/>
      <c r="N22" s="155"/>
      <c r="O22" s="155"/>
      <c r="P22" s="155">
        <f>((P7*Inputs!$C$67*($C$22+(P5-$C$8)*($E$22-$C$22)/($E$8-$C$8)))+(P7*Inputs!$C$68*($D$22+(P5-$C$8)*($F$22-$D$22)/($E$8-$C$8))))</f>
        <v>518783.37289999996</v>
      </c>
      <c r="Q22" s="155">
        <f>((Q7*Inputs!$C$67*($C$22+(Q5-$C$8)*($E$22-$C$22)/($E$8-$C$8)))+(Q7*Inputs!$C$68*($D$22+(Q5-$C$8)*($F$22-$D$22)/($E$8-$C$8))))</f>
        <v>516865.34634806367</v>
      </c>
      <c r="R22" s="155">
        <f>((R7*Inputs!$C$67*($C$22+(R5-$C$8)*($E$22-$C$22)/($E$8-$C$8)))+(R7*Inputs!$C$68*($D$22+(R5-$C$8)*($F$22-$D$22)/($E$8-$C$8))))</f>
        <v>514854.30631127895</v>
      </c>
      <c r="S22" s="155">
        <f>((S7*Inputs!$C$67*($C$22+(S5-$C$8)*($E$22-$C$22)/($E$8-$C$8)))+(S7*Inputs!$C$68*($D$22+(S5-$C$8)*($F$22-$D$22)/($E$8-$C$8))))</f>
        <v>512748.55576770811</v>
      </c>
      <c r="T22" s="155">
        <f>((T7*Inputs!$C$67*($C$22+(T5-$C$8)*($E$22-$C$22)/($E$8-$C$8)))+(T7*Inputs!$C$68*($D$22+(T5-$C$8)*($F$22-$D$22)/($E$8-$C$8))))</f>
        <v>510546.37276247708</v>
      </c>
      <c r="U22" s="155">
        <f>((U7*Inputs!$C$67*($C$22+(U5-$C$8)*($E$22-$C$22)/($E$8-$C$8)))+(U7*Inputs!$C$68*($D$22+(U5-$C$8)*($F$22-$D$22)/($E$8-$C$8))))</f>
        <v>508246.01007579651</v>
      </c>
      <c r="V22" s="155">
        <f>((V7*Inputs!$C$67*($C$22+(V5-$C$8)*($E$22-$C$22)/($E$8-$C$8)))+(V7*Inputs!$C$68*($D$22+(V5-$C$8)*($F$22-$D$22)/($E$8-$C$8))))</f>
        <v>505845.69488680339</v>
      </c>
      <c r="W22" s="155">
        <f>((W7*Inputs!$C$67*($C$22+(W5-$C$8)*($E$22-$C$22)/($E$8-$C$8)))+(W7*Inputs!$C$68*($D$22+(W5-$C$8)*($F$22-$D$22)/($E$8-$C$8))))</f>
        <v>503343.62843317538</v>
      </c>
      <c r="X22" s="155">
        <f>((X7*$E$22*Inputs!$C$67))+((X7*$F$22*Inputs!$C$68))</f>
        <v>431108.05925208423</v>
      </c>
      <c r="Y22" s="155">
        <f>((Y7*$E$22*Inputs!$C$67))+((Y7*$F$22*Inputs!$C$68))</f>
        <v>435502.71551813383</v>
      </c>
      <c r="Z22" s="155">
        <f>((Z7*$E$22*Inputs!$C$67))+((Z7*$F$22*Inputs!$C$68))</f>
        <v>439942.1703057657</v>
      </c>
      <c r="AA22" s="155">
        <f>((AA7*$E$22*Inputs!$C$67))+((AA7*$F$22*Inputs!$C$68))</f>
        <v>444426.88028494787</v>
      </c>
      <c r="AB22" s="155">
        <f>((AB7*$E$22*Inputs!$C$67))+((AB7*$F$22*Inputs!$C$68))</f>
        <v>448957.30678087892</v>
      </c>
      <c r="AC22" s="155">
        <f>((AC7*$E$22*Inputs!$C$67))+((AC7*$F$22*Inputs!$C$68))</f>
        <v>453533.91582144343</v>
      </c>
      <c r="AD22" s="155">
        <f>((AD7*$E$22*Inputs!$C$67))+((AD7*$F$22*Inputs!$C$68))</f>
        <v>458157.17818514979</v>
      </c>
      <c r="AE22" s="155">
        <f>((AE7*$E$22*Inputs!$C$67))+((AE7*$F$22*Inputs!$C$68))</f>
        <v>462827.56944955804</v>
      </c>
      <c r="AF22" s="155">
        <f>((AF7*$E$22*Inputs!$C$67))+((AF7*$F$22*Inputs!$C$68))</f>
        <v>467545.57004020037</v>
      </c>
      <c r="AG22" s="155">
        <f>((AG7*$E$22*Inputs!$C$67))+((AG7*$F$22*Inputs!$C$68))</f>
        <v>472311.66528000002</v>
      </c>
      <c r="AH22" s="155">
        <f>((AH7*$E$22*Inputs!$C$67))+((AH7*$F$22*Inputs!$C$68))</f>
        <v>477126.34543919726</v>
      </c>
      <c r="AI22" s="155">
        <f>((AI7*$E$22*Inputs!$C$67))+((AI7*$F$22*Inputs!$C$68))</f>
        <v>481990.10578577808</v>
      </c>
      <c r="AJ22" s="155">
        <f>((AJ7*$E$22*Inputs!$C$67))+((AJ7*$F$22*Inputs!$C$68))</f>
        <v>486903.44663642265</v>
      </c>
    </row>
    <row r="23" spans="2:36" s="137" customFormat="1" x14ac:dyDescent="0.2">
      <c r="B23" s="81" t="s">
        <v>146</v>
      </c>
      <c r="H23" s="81"/>
      <c r="I23" s="81"/>
      <c r="J23" s="140"/>
      <c r="K23" s="141"/>
      <c r="L23" s="155"/>
      <c r="M23" s="155"/>
      <c r="N23" s="155"/>
      <c r="O23" s="155"/>
      <c r="P23" s="155"/>
      <c r="Q23" s="155"/>
      <c r="R23" s="155"/>
      <c r="S23" s="155"/>
      <c r="T23" s="155"/>
      <c r="U23" s="155"/>
      <c r="V23" s="155"/>
      <c r="W23" s="155"/>
      <c r="X23" s="155"/>
      <c r="Y23" s="155"/>
      <c r="Z23" s="155"/>
      <c r="AA23" s="155"/>
      <c r="AB23" s="155"/>
      <c r="AC23" s="155"/>
      <c r="AD23" s="155"/>
      <c r="AE23" s="155"/>
      <c r="AF23" s="155"/>
      <c r="AG23" s="155"/>
      <c r="AH23" s="155"/>
    </row>
    <row r="24" spans="2:36" s="137" customFormat="1" x14ac:dyDescent="0.2">
      <c r="B24" s="81" t="s">
        <v>36</v>
      </c>
      <c r="C24" s="152">
        <f>VLOOKUP(C10,'Emission Factors'!$C$8:$J$74,3,TRUE)</f>
        <v>300.28879999999998</v>
      </c>
      <c r="D24" s="156">
        <f>VLOOKUP(D10,'Emission Factors'!$C$76:$J$142,3,TRUE)</f>
        <v>1023.1018</v>
      </c>
      <c r="E24" s="152">
        <f>VLOOKUP(E10,'Emission Factors'!$O$8:$V$74,3,TRUE)</f>
        <v>266.32040000000001</v>
      </c>
      <c r="F24" s="156">
        <f>VLOOKUP(F10,'Emission Factors'!$O$76:$V$142,3,TRUE)</f>
        <v>934.47500000000002</v>
      </c>
      <c r="H24" s="81"/>
      <c r="I24" s="81"/>
      <c r="J24" s="140"/>
      <c r="K24" s="141"/>
      <c r="L24" s="157"/>
      <c r="M24" s="157"/>
      <c r="N24" s="155"/>
      <c r="O24" s="157"/>
      <c r="P24" s="157">
        <f>((P6*Inputs!$C$67*($C$24+(P5-$C$8)*($E$24-$C$24)/($E$8-$C$8)))+(P6*Inputs!$C$68*($D$24+(P5-$C$8)*($F$24-$D$24)/($E$8-$C$8))))</f>
        <v>54509445099.245903</v>
      </c>
      <c r="Q24" s="157">
        <f>((Q6*Inputs!$C$67*($C$24+(Q5-$C$8)*($E$24-$C$24)/($E$8-$C$8)))+(Q6*Inputs!$C$68*($D$24+(Q5-$C$8)*($F$24-$D$24)/($E$8-$C$8))))</f>
        <v>54688820310.10331</v>
      </c>
      <c r="R24" s="157">
        <f>((R6*Inputs!$C$67*($C$24+(R5-$C$8)*($E$24-$C$24)/($E$8-$C$8)))+(R6*Inputs!$C$68*($D$24+(R5-$C$8)*($F$24-$D$24)/($E$8-$C$8))))</f>
        <v>54867248538.246246</v>
      </c>
      <c r="S24" s="157">
        <f>((S6*Inputs!$C$67*($C$24+(S5-$C$8)*($E$24-$C$24)/($E$8-$C$8)))+(S6*Inputs!$C$68*($D$24+(S5-$C$8)*($F$24-$D$24)/($E$8-$C$8))))</f>
        <v>55044700222.807159</v>
      </c>
      <c r="T24" s="157">
        <f>((T6*Inputs!$C$67*($C$24+(T5-$C$8)*($E$24-$C$24)/($E$8-$C$8)))+(T6*Inputs!$C$68*($D$24+(T5-$C$8)*($F$24-$D$24)/($E$8-$C$8))))</f>
        <v>55221145364.457314</v>
      </c>
      <c r="U24" s="157">
        <f>((U6*Inputs!$C$67*($C$24+(U5-$C$8)*($E$24-$C$24)/($E$8-$C$8)))+(U6*Inputs!$C$68*($D$24+(U5-$C$8)*($F$24-$D$24)/($E$8-$C$8))))</f>
        <v>55396553520.051125</v>
      </c>
      <c r="V24" s="157">
        <f>((V6*Inputs!$C$67*($C$24+(V5-$C$8)*($E$24-$C$24)/($E$8-$C$8)))+(V6*Inputs!$C$68*($D$24+(V5-$C$8)*($F$24-$D$24)/($E$8-$C$8))))</f>
        <v>55570893797.210793</v>
      </c>
      <c r="W24" s="157">
        <f>((W6*Inputs!$C$67*($C$24+(W5-$C$8)*($E$24-$C$24)/($E$8-$C$8)))+(W6*Inputs!$C$68*($D$24+(W5-$C$8)*($F$24-$D$24)/($E$8-$C$8))))</f>
        <v>55744134848.850586</v>
      </c>
      <c r="X24" s="157">
        <f>((X6*$E$24*Inputs!$C$67))+((X6*$F$24*Inputs!$C$68))</f>
        <v>53150016920.075783</v>
      </c>
      <c r="Y24" s="157">
        <f>((Y6*$E$24*Inputs!$C$67))+((Y6*$F$24*Inputs!$C$68))</f>
        <v>53607172968.942451</v>
      </c>
      <c r="Z24" s="157">
        <f>((Z6*$E$24*Inputs!$C$67))+((Z6*$F$24*Inputs!$C$68))</f>
        <v>54068261126.679932</v>
      </c>
      <c r="AA24" s="157">
        <f>((AA6*$E$24*Inputs!$C$67))+((AA6*$F$24*Inputs!$C$68))</f>
        <v>54533315214.300125</v>
      </c>
      <c r="AB24" s="157">
        <f>((AB6*$E$24*Inputs!$C$67))+((AB6*$F$24*Inputs!$C$68))</f>
        <v>55002369343.717598</v>
      </c>
      <c r="AC24" s="157">
        <f>((AC6*$E$24*Inputs!$C$67))+((AC6*$F$24*Inputs!$C$68))</f>
        <v>55475457920.25164</v>
      </c>
      <c r="AD24" s="157">
        <f>((AD6*$E$24*Inputs!$C$67))+((AD6*$F$24*Inputs!$C$68))</f>
        <v>55952615645.149963</v>
      </c>
      <c r="AE24" s="157">
        <f>((AE6*$E$24*Inputs!$C$67))+((AE6*$F$24*Inputs!$C$68))</f>
        <v>56433877518.134048</v>
      </c>
      <c r="AF24" s="157">
        <f>((AF6*$E$24*Inputs!$C$67))+((AF6*$F$24*Inputs!$C$68))</f>
        <v>56919278839.966385</v>
      </c>
      <c r="AG24" s="157">
        <f>((AG6*$E$24*Inputs!$C$67))+((AG6*$F$24*Inputs!$C$68))</f>
        <v>57408855215.039749</v>
      </c>
      <c r="AH24" s="157">
        <f>((AH6*$E$24*Inputs!$C$67))+((AH6*$F$24*Inputs!$C$68))</f>
        <v>57902642553.988892</v>
      </c>
      <c r="AI24" s="157">
        <f>((AI6*$E$24*Inputs!$C$67))+((AI6*$F$24*Inputs!$C$68))</f>
        <v>58400677076.324509</v>
      </c>
      <c r="AJ24" s="157">
        <f>((AJ6*$E$24*Inputs!$C$67))+((AJ6*$F$24*Inputs!$C$68))</f>
        <v>58902995313.090042</v>
      </c>
    </row>
    <row r="25" spans="2:36" s="137" customFormat="1" x14ac:dyDescent="0.2">
      <c r="B25" s="81" t="s">
        <v>35</v>
      </c>
      <c r="C25" s="152">
        <f>VLOOKUP(C11,'Emission Factors'!$C$8:$J$74,3,TRUE)</f>
        <v>289.7276</v>
      </c>
      <c r="D25" s="156">
        <f>VLOOKUP(D11,'Emission Factors'!$C$76:$J$142,3,TRUE)</f>
        <v>1021.9044</v>
      </c>
      <c r="E25" s="152">
        <f>VLOOKUP(E11,'Emission Factors'!$O$8:$V$74,3,TRUE)</f>
        <v>207.66560000000001</v>
      </c>
      <c r="F25" s="156">
        <f>VLOOKUP(F11,'Emission Factors'!$O$76:$V$142,3,TRUE)</f>
        <v>770.09659999999997</v>
      </c>
      <c r="H25" s="81"/>
      <c r="I25" s="81"/>
      <c r="J25" s="140"/>
      <c r="K25" s="141"/>
      <c r="L25" s="157"/>
      <c r="M25" s="157"/>
      <c r="N25" s="155"/>
      <c r="O25" s="157"/>
      <c r="P25" s="157">
        <f>((P7*Inputs!$C$67*($C$25+(P5-$C$8)*($E$25-$C$25)/($E$8-$C$8)))+(P7*Inputs!$C$68*($D$25+(P5-$C$8)*($F$25-$D$25)/($E$8-$C$8))))</f>
        <v>53165003427.411926</v>
      </c>
      <c r="Q25" s="157">
        <f>((Q7*Inputs!$C$67*($C$25+(Q5-$C$8)*($E$25-$C$25)/($E$8-$C$8)))+(Q7*Inputs!$C$68*($D$25+(Q5-$C$8)*($F$25-$D$25)/($E$8-$C$8))))</f>
        <v>52951880024.06546</v>
      </c>
      <c r="R25" s="157">
        <f>((R7*Inputs!$C$67*($C$25+(R5-$C$8)*($E$25-$C$25)/($E$8-$C$8)))+(R7*Inputs!$C$68*($D$25+(R5-$C$8)*($F$25-$D$25)/($E$8-$C$8))))</f>
        <v>52728886886.989647</v>
      </c>
      <c r="S25" s="157">
        <f>((S7*Inputs!$C$67*($C$25+(S5-$C$8)*($E$25-$C$25)/($E$8-$C$8)))+(S7*Inputs!$C$68*($D$25+(S5-$C$8)*($F$25-$D$25)/($E$8-$C$8))))</f>
        <v>52495844941.450661</v>
      </c>
      <c r="T25" s="157">
        <f>((T7*Inputs!$C$67*($C$25+(T5-$C$8)*($E$25-$C$25)/($E$8-$C$8)))+(T7*Inputs!$C$68*($D$25+(T5-$C$8)*($F$25-$D$25)/($E$8-$C$8))))</f>
        <v>52252572487.399948</v>
      </c>
      <c r="U25" s="157">
        <f>((U7*Inputs!$C$67*($C$25+(U5-$C$8)*($E$25-$C$25)/($E$8-$C$8)))+(U7*Inputs!$C$68*($D$25+(U5-$C$8)*($F$25-$D$25)/($E$8-$C$8))))</f>
        <v>51998885164.558609</v>
      </c>
      <c r="V25" s="157">
        <f>((V7*Inputs!$C$67*($C$25+(V5-$C$8)*($E$25-$C$25)/($E$8-$C$8)))+(V7*Inputs!$C$68*($D$25+(V5-$C$8)*($F$25-$D$25)/($E$8-$C$8))))</f>
        <v>51734595917.062637</v>
      </c>
      <c r="W25" s="157">
        <f>((W7*Inputs!$C$67*($C$25+(W5-$C$8)*($E$25-$C$25)/($E$8-$C$8)))+(W7*Inputs!$C$68*($D$25+(W5-$C$8)*($F$25-$D$25)/($E$8-$C$8))))</f>
        <v>51459514957.663872</v>
      </c>
      <c r="X25" s="157">
        <f>((X7*$E$25*Inputs!$C$67))+((X7*$F$25*Inputs!$C$68))</f>
        <v>43877721731.225616</v>
      </c>
      <c r="Y25" s="157">
        <f>((Y7*$E$25*Inputs!$C$67))+((Y7*$F$25*Inputs!$C$68))</f>
        <v>44325005192.083763</v>
      </c>
      <c r="Z25" s="157">
        <f>((Z7*$E$25*Inputs!$C$67))+((Z7*$F$25*Inputs!$C$68))</f>
        <v>44776848199.027336</v>
      </c>
      <c r="AA25" s="157">
        <f>((AA7*$E$25*Inputs!$C$67))+((AA7*$F$25*Inputs!$C$68))</f>
        <v>45233297231.442062</v>
      </c>
      <c r="AB25" s="157">
        <f>((AB7*$E$25*Inputs!$C$67))+((AB7*$F$25*Inputs!$C$68))</f>
        <v>45694399242.518127</v>
      </c>
      <c r="AC25" s="157">
        <f>((AC7*$E$25*Inputs!$C$67))+((AC7*$F$25*Inputs!$C$68))</f>
        <v>46160201664.080093</v>
      </c>
      <c r="AD25" s="157">
        <f>((AD7*$E$25*Inputs!$C$67))+((AD7*$F$25*Inputs!$C$68))</f>
        <v>46630752411.466003</v>
      </c>
      <c r="AE25" s="157">
        <f>((AE7*$E$25*Inputs!$C$67))+((AE7*$F$25*Inputs!$C$68))</f>
        <v>47106099888.456284</v>
      </c>
      <c r="AF25" s="157">
        <f>((AF7*$E$25*Inputs!$C$67))+((AF7*$F$25*Inputs!$C$68))</f>
        <v>47586292992.252815</v>
      </c>
      <c r="AG25" s="157">
        <f>((AG7*$E$25*Inputs!$C$67))+((AG7*$F$25*Inputs!$C$68))</f>
        <v>48071381118.508804</v>
      </c>
      <c r="AH25" s="157">
        <f>((AH7*$E$25*Inputs!$C$67))+((AH7*$F$25*Inputs!$C$68))</f>
        <v>48561414166.410095</v>
      </c>
      <c r="AI25" s="157">
        <f>((AI7*$E$25*Inputs!$C$67))+((AI7*$F$25*Inputs!$C$68))</f>
        <v>49056442543.807823</v>
      </c>
      <c r="AJ25" s="157">
        <f>((AJ7*$E$25*Inputs!$C$67))+((AJ7*$F$25*Inputs!$C$68))</f>
        <v>49556517172.403854</v>
      </c>
    </row>
    <row r="26" spans="2:36" s="137" customFormat="1" x14ac:dyDescent="0.2">
      <c r="B26" s="81"/>
      <c r="C26" s="133"/>
      <c r="D26" s="133"/>
      <c r="E26" s="133"/>
      <c r="F26" s="133"/>
      <c r="G26" s="133"/>
      <c r="H26" s="133"/>
      <c r="I26" s="133"/>
      <c r="J26" s="133"/>
      <c r="K26" s="138"/>
      <c r="L26" s="138"/>
      <c r="M26" s="138"/>
      <c r="N26" s="138"/>
      <c r="O26" s="138"/>
      <c r="P26" s="138"/>
      <c r="Q26" s="138"/>
      <c r="R26" s="138"/>
      <c r="S26" s="138"/>
      <c r="T26" s="138"/>
      <c r="U26" s="138"/>
      <c r="V26" s="138"/>
      <c r="W26" s="138"/>
      <c r="X26" s="138"/>
      <c r="Y26" s="138"/>
      <c r="Z26" s="138"/>
      <c r="AA26" s="138"/>
      <c r="AB26" s="138"/>
      <c r="AC26" s="138"/>
      <c r="AD26" s="138"/>
      <c r="AE26" s="138"/>
      <c r="AF26" s="136"/>
    </row>
    <row r="27" spans="2:36" s="137" customFormat="1" x14ac:dyDescent="0.2">
      <c r="B27" s="81"/>
      <c r="C27" s="133"/>
      <c r="D27" s="133"/>
      <c r="E27" s="133"/>
      <c r="F27" s="133"/>
      <c r="G27" s="133"/>
      <c r="H27" s="133"/>
      <c r="I27" s="133"/>
      <c r="J27" s="133"/>
      <c r="K27" s="138"/>
      <c r="L27" s="138"/>
      <c r="M27" s="138"/>
      <c r="N27" s="138"/>
      <c r="O27" s="138"/>
      <c r="P27" s="138"/>
      <c r="Q27" s="138"/>
      <c r="R27" s="138"/>
      <c r="S27" s="138"/>
      <c r="T27" s="138"/>
      <c r="U27" s="138"/>
      <c r="V27" s="138"/>
      <c r="W27" s="138"/>
      <c r="X27" s="138"/>
      <c r="Y27" s="138"/>
      <c r="Z27" s="138"/>
      <c r="AA27" s="138"/>
      <c r="AB27" s="138"/>
      <c r="AC27" s="138"/>
      <c r="AD27" s="138"/>
      <c r="AE27" s="138"/>
      <c r="AF27" s="136"/>
    </row>
    <row r="28" spans="2:36" s="137" customFormat="1" x14ac:dyDescent="0.2">
      <c r="B28" s="135" t="s">
        <v>122</v>
      </c>
      <c r="D28" s="81"/>
      <c r="E28" s="81"/>
      <c r="F28" s="81"/>
      <c r="G28" s="81"/>
      <c r="H28" s="81"/>
      <c r="I28" s="81"/>
      <c r="J28" s="81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136"/>
    </row>
    <row r="29" spans="2:36" s="137" customFormat="1" x14ac:dyDescent="0.2">
      <c r="B29" s="81" t="s">
        <v>191</v>
      </c>
      <c r="C29" s="158">
        <f>Inputs!G25</f>
        <v>17100</v>
      </c>
      <c r="D29" s="158">
        <f>Inputs!H25</f>
        <v>17400</v>
      </c>
      <c r="E29" s="158">
        <f>Inputs!I25</f>
        <v>17700</v>
      </c>
      <c r="F29" s="158">
        <f>Inputs!J25</f>
        <v>18100</v>
      </c>
      <c r="G29" s="81"/>
      <c r="H29" s="81"/>
      <c r="I29" s="81"/>
      <c r="J29" s="140"/>
      <c r="K29" s="141"/>
      <c r="L29" s="141"/>
      <c r="M29" s="141"/>
      <c r="N29" s="141"/>
      <c r="O29" s="141"/>
      <c r="P29" s="141"/>
      <c r="Q29" s="141"/>
      <c r="R29" s="141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1"/>
      <c r="AD29" s="141"/>
      <c r="AE29" s="141"/>
      <c r="AF29" s="141"/>
      <c r="AG29" s="141"/>
      <c r="AH29" s="141"/>
      <c r="AI29" s="141"/>
      <c r="AJ29" s="141"/>
    </row>
    <row r="30" spans="2:36" s="137" customFormat="1" x14ac:dyDescent="0.2">
      <c r="B30" s="81" t="s">
        <v>36</v>
      </c>
      <c r="C30" s="160"/>
      <c r="D30" s="139"/>
      <c r="E30" s="139"/>
      <c r="F30" s="139"/>
      <c r="G30" s="144"/>
      <c r="H30" s="81"/>
      <c r="I30" s="81"/>
      <c r="J30" s="140"/>
      <c r="K30" s="140"/>
      <c r="L30" s="140"/>
      <c r="M30" s="140"/>
      <c r="N30" s="140"/>
      <c r="O30" s="140"/>
      <c r="P30" s="140">
        <f>P15*0.000001*Inputs!H25</f>
        <v>1045053.9673409684</v>
      </c>
      <c r="Q30" s="140">
        <f>Q15*0.000001*Inputs!I25</f>
        <v>1050168.5891155405</v>
      </c>
      <c r="R30" s="140">
        <f>R15*0.000001*Inputs!J25</f>
        <v>1060398.6426359031</v>
      </c>
      <c r="S30" s="140">
        <f>S15*0.000001*Inputs!K25</f>
        <v>1046584.3463464828</v>
      </c>
      <c r="T30" s="140">
        <f>T15*0.000001*Inputs!L25</f>
        <v>1032453.960202309</v>
      </c>
      <c r="U30" s="140">
        <f>U15*0.000001*Inputs!M25</f>
        <v>1018003.068674003</v>
      </c>
      <c r="V30" s="140">
        <f>V15*0.000001*Inputs!N25</f>
        <v>1003227.2036588788</v>
      </c>
      <c r="W30" s="140">
        <f>W15*0.000001*Inputs!O25</f>
        <v>988121.84390321665</v>
      </c>
      <c r="X30" s="140">
        <f>X15*0.000001*Inputs!P25</f>
        <v>757235.89134432329</v>
      </c>
      <c r="Y30" s="140">
        <f>Y15*0.000001*Inputs!Q25</f>
        <v>763749.05894439307</v>
      </c>
      <c r="Z30" s="140">
        <f>Z15*0.000001*Inputs!R25</f>
        <v>770318.24786182446</v>
      </c>
      <c r="AA30" s="140">
        <f>AA15*0.000001*Inputs!S25</f>
        <v>776943.93994941039</v>
      </c>
      <c r="AB30" s="140">
        <f>AB15*0.000001*Inputs!T25</f>
        <v>783626.62120447529</v>
      </c>
      <c r="AC30" s="140">
        <f>AC15*0.000001*Inputs!U25</f>
        <v>790366.78180452308</v>
      </c>
      <c r="AD30" s="140">
        <f>AD15*0.000001*Inputs!V25</f>
        <v>797164.91614319221</v>
      </c>
      <c r="AE30" s="140">
        <f>AE15*0.000001*Inputs!W25</f>
        <v>804021.5228665194</v>
      </c>
      <c r="AF30" s="140">
        <f>AF15*0.000001*Inputs!X25</f>
        <v>810937.10490951559</v>
      </c>
      <c r="AG30" s="140">
        <f>AG15*0.000001*Inputs!Y25</f>
        <v>817912.16953305597</v>
      </c>
      <c r="AH30" s="140">
        <f>AH15*0.000001*Inputs!Z25</f>
        <v>824947.22836108925</v>
      </c>
      <c r="AI30" s="140">
        <f>AI15*0.000001*Inputs!AA25</f>
        <v>832042.79741816327</v>
      </c>
      <c r="AJ30" s="140">
        <f>AJ15*0.000001*Inputs!AB25</f>
        <v>839199.3971672781</v>
      </c>
    </row>
    <row r="31" spans="2:36" s="137" customFormat="1" x14ac:dyDescent="0.2">
      <c r="B31" s="81" t="s">
        <v>35</v>
      </c>
      <c r="C31" s="143"/>
      <c r="D31" s="139"/>
      <c r="E31" s="139"/>
      <c r="F31" s="139"/>
      <c r="G31" s="144"/>
      <c r="H31" s="81"/>
      <c r="I31" s="81"/>
      <c r="J31" s="140"/>
      <c r="K31" s="140"/>
      <c r="L31" s="140"/>
      <c r="M31" s="140"/>
      <c r="N31" s="140"/>
      <c r="O31" s="140"/>
      <c r="P31" s="140">
        <f>P16*0.000001*Inputs!H25</f>
        <v>1017066.5938565496</v>
      </c>
      <c r="Q31" s="140">
        <f>Q16*0.000001*Inputs!I25</f>
        <v>1013198.9745581683</v>
      </c>
      <c r="R31" s="140">
        <f>R16*0.000001*Inputs!J25</f>
        <v>1013653.0219930462</v>
      </c>
      <c r="S31" s="140">
        <f>S16*0.000001*Inputs!K25</f>
        <v>990644.68786346586</v>
      </c>
      <c r="T31" s="140">
        <f>T16*0.000001*Inputs!L25</f>
        <v>967061.93256272946</v>
      </c>
      <c r="U31" s="140">
        <f>U16*0.000001*Inputs!M25</f>
        <v>942895.43585717503</v>
      </c>
      <c r="V31" s="140">
        <f>V16*0.000001*Inputs!N25</f>
        <v>918135.74718566251</v>
      </c>
      <c r="W31" s="140">
        <f>W16*0.000001*Inputs!O25</f>
        <v>892773.28397099837</v>
      </c>
      <c r="X31" s="140">
        <f>X16*0.000001*Inputs!P25</f>
        <v>551116.4706965962</v>
      </c>
      <c r="Y31" s="140">
        <f>Y16*0.000001*Inputs!Q25</f>
        <v>556734.47620424477</v>
      </c>
      <c r="Z31" s="140">
        <f>Z16*0.000001*Inputs!R25</f>
        <v>562409.75088739826</v>
      </c>
      <c r="AA31" s="140">
        <f>AA16*0.000001*Inputs!S25</f>
        <v>568142.87854015571</v>
      </c>
      <c r="AB31" s="140">
        <f>AB16*0.000001*Inputs!T25</f>
        <v>573934.4489077325</v>
      </c>
      <c r="AC31" s="140">
        <f>AC16*0.000001*Inputs!U25</f>
        <v>579785.05774712597</v>
      </c>
      <c r="AD31" s="140">
        <f>AD16*0.000001*Inputs!V25</f>
        <v>585695.30688839848</v>
      </c>
      <c r="AE31" s="140">
        <f>AE16*0.000001*Inputs!W25</f>
        <v>591665.80429658492</v>
      </c>
      <c r="AF31" s="140">
        <f>AF16*0.000001*Inputs!X25</f>
        <v>597697.16413423256</v>
      </c>
      <c r="AG31" s="140">
        <f>AG16*0.000001*Inputs!Y25</f>
        <v>603790.00682457606</v>
      </c>
      <c r="AH31" s="140">
        <f>AH16*0.000001*Inputs!Z25</f>
        <v>609944.95911536168</v>
      </c>
      <c r="AI31" s="140">
        <f>AI16*0.000001*Inputs!AA25</f>
        <v>616162.65414331353</v>
      </c>
      <c r="AJ31" s="140">
        <f>AJ16*0.000001*Inputs!AB25</f>
        <v>622443.7314992653</v>
      </c>
    </row>
    <row r="32" spans="2:36" s="137" customFormat="1" x14ac:dyDescent="0.2">
      <c r="B32" s="81"/>
      <c r="C32" s="349" t="s">
        <v>195</v>
      </c>
      <c r="D32" s="151">
        <v>2028</v>
      </c>
      <c r="E32" s="151">
        <v>2029</v>
      </c>
      <c r="F32" s="151" t="s">
        <v>194</v>
      </c>
      <c r="G32" s="144"/>
      <c r="H32" s="81"/>
      <c r="I32" s="81"/>
      <c r="J32" s="140"/>
      <c r="K32" s="140"/>
      <c r="L32" s="140"/>
      <c r="M32" s="140"/>
      <c r="N32" s="140"/>
      <c r="O32" s="140"/>
      <c r="P32" s="140"/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</row>
    <row r="33" spans="2:36" s="137" customFormat="1" ht="13.5" x14ac:dyDescent="0.25">
      <c r="B33" s="81" t="s">
        <v>192</v>
      </c>
      <c r="C33" s="158">
        <f>Inputs!G26</f>
        <v>827400</v>
      </c>
      <c r="D33" s="158">
        <f>Inputs!H26</f>
        <v>840600</v>
      </c>
      <c r="E33" s="158">
        <f>Inputs!I26</f>
        <v>854000</v>
      </c>
      <c r="F33" s="158">
        <f>Inputs!J26</f>
        <v>867600</v>
      </c>
      <c r="G33" s="81"/>
      <c r="H33" s="81"/>
      <c r="I33" s="81"/>
      <c r="J33" s="140"/>
      <c r="K33" s="141"/>
      <c r="L33" s="141"/>
      <c r="M33" s="141"/>
      <c r="N33" s="141"/>
      <c r="O33" s="141"/>
      <c r="P33" s="141"/>
      <c r="Q33" s="141"/>
      <c r="R33" s="141"/>
      <c r="S33" s="141"/>
      <c r="T33" s="141"/>
      <c r="U33" s="141"/>
      <c r="V33" s="141"/>
      <c r="W33" s="141"/>
      <c r="X33" s="141"/>
      <c r="Y33" s="141"/>
      <c r="Z33" s="141"/>
      <c r="AA33" s="141"/>
      <c r="AB33" s="141"/>
      <c r="AC33" s="141"/>
      <c r="AD33" s="141"/>
      <c r="AE33" s="141"/>
      <c r="AF33" s="141"/>
      <c r="AG33" s="141"/>
      <c r="AH33" s="141"/>
      <c r="AI33" s="141"/>
      <c r="AJ33" s="141"/>
    </row>
    <row r="34" spans="2:36" s="137" customFormat="1" x14ac:dyDescent="0.2">
      <c r="B34" s="81" t="s">
        <v>36</v>
      </c>
      <c r="C34" s="139"/>
      <c r="D34" s="139"/>
      <c r="E34" s="139"/>
      <c r="F34" s="139"/>
      <c r="G34" s="81"/>
      <c r="H34" s="81"/>
      <c r="I34" s="81"/>
      <c r="J34" s="140"/>
      <c r="K34" s="141"/>
      <c r="L34" s="141"/>
      <c r="M34" s="141"/>
      <c r="N34" s="161"/>
      <c r="O34" s="141"/>
      <c r="P34" s="141">
        <f>P18*0.000001*Inputs!H26</f>
        <v>624313.32680571382</v>
      </c>
      <c r="Q34" s="141">
        <f>Q18*0.000001*Inputs!I26</f>
        <v>613871.74003377778</v>
      </c>
      <c r="R34" s="141">
        <f>R18*0.000001*Inputs!J26</f>
        <v>602525.06824842829</v>
      </c>
      <c r="S34" s="141">
        <f>S18*0.000001*Inputs!K26</f>
        <v>580992.95341465622</v>
      </c>
      <c r="T34" s="141">
        <f>T18*0.000001*Inputs!L26</f>
        <v>559045.85720315052</v>
      </c>
      <c r="U34" s="141">
        <f>U18*0.000001*Inputs!M26</f>
        <v>536678.23387956689</v>
      </c>
      <c r="V34" s="141">
        <f>V18*0.000001*Inputs!N26</f>
        <v>513884.4730100506</v>
      </c>
      <c r="W34" s="141">
        <f>W18*0.000001*Inputs!O26</f>
        <v>490658.89875852608</v>
      </c>
      <c r="X34" s="141">
        <f>X18*0.000001*Inputs!P26</f>
        <v>216045.12864446515</v>
      </c>
      <c r="Y34" s="141">
        <f>Y18*0.000001*Inputs!Q26</f>
        <v>217903.38463592631</v>
      </c>
      <c r="Z34" s="141">
        <f>Z18*0.000001*Inputs!R26</f>
        <v>219777.62393305823</v>
      </c>
      <c r="AA34" s="141">
        <f>AA18*0.000001*Inputs!S26</f>
        <v>221667.98401210818</v>
      </c>
      <c r="AB34" s="141">
        <f>AB18*0.000001*Inputs!T26</f>
        <v>223574.60353178962</v>
      </c>
      <c r="AC34" s="141">
        <f>AC18*0.000001*Inputs!U26</f>
        <v>225497.62234345279</v>
      </c>
      <c r="AD34" s="141">
        <f>AD18*0.000001*Inputs!V26</f>
        <v>227437.18150134315</v>
      </c>
      <c r="AE34" s="141">
        <f>AE18*0.000001*Inputs!W26</f>
        <v>229393.42327294743</v>
      </c>
      <c r="AF34" s="141">
        <f>AF18*0.000001*Inputs!X26</f>
        <v>231366.49114942906</v>
      </c>
      <c r="AG34" s="141">
        <f>AG18*0.000001*Inputs!Y26</f>
        <v>233356.52985615359</v>
      </c>
      <c r="AH34" s="141">
        <f>AH18*0.000001*Inputs!Z26</f>
        <v>235363.68536330416</v>
      </c>
      <c r="AI34" s="141">
        <f>AI18*0.000001*Inputs!AA26</f>
        <v>237388.10489658831</v>
      </c>
      <c r="AJ34" s="141">
        <f>AJ18*0.000001*Inputs!AB26</f>
        <v>239429.9369480373</v>
      </c>
    </row>
    <row r="35" spans="2:36" s="137" customFormat="1" x14ac:dyDescent="0.2">
      <c r="B35" s="81" t="s">
        <v>35</v>
      </c>
      <c r="C35" s="139"/>
      <c r="D35" s="139"/>
      <c r="E35" s="139"/>
      <c r="F35" s="139"/>
      <c r="G35" s="21"/>
      <c r="H35" s="81"/>
      <c r="I35" s="81"/>
      <c r="J35" s="140"/>
      <c r="K35" s="141"/>
      <c r="L35" s="141"/>
      <c r="M35" s="141"/>
      <c r="N35" s="161"/>
      <c r="O35" s="141"/>
      <c r="P35" s="141">
        <f>P19*0.000001*Inputs!H26</f>
        <v>634012.69350435131</v>
      </c>
      <c r="Q35" s="141">
        <f>Q19*0.000001*Inputs!I26</f>
        <v>621327.74286999088</v>
      </c>
      <c r="R35" s="141">
        <f>R19*0.000001*Inputs!J26</f>
        <v>607527.64897834137</v>
      </c>
      <c r="S35" s="141">
        <f>S19*0.000001*Inputs!K26</f>
        <v>583284.19848526781</v>
      </c>
      <c r="T35" s="141">
        <f>T19*0.000001*Inputs!L26</f>
        <v>558483.34805828508</v>
      </c>
      <c r="U35" s="141">
        <f>U19*0.000001*Inputs!M26</f>
        <v>533116.25283494557</v>
      </c>
      <c r="V35" s="141">
        <f>V19*0.000001*Inputs!N26</f>
        <v>507173.94554829865</v>
      </c>
      <c r="W35" s="141">
        <f>W19*0.000001*Inputs!O26</f>
        <v>480647.33495045488</v>
      </c>
      <c r="X35" s="141">
        <f>X19*0.000001*Inputs!P26</f>
        <v>165349.15214841603</v>
      </c>
      <c r="Y35" s="141">
        <f>Y19*0.000001*Inputs!Q26</f>
        <v>167034.69866507282</v>
      </c>
      <c r="Z35" s="141">
        <f>Z19*0.000001*Inputs!R26</f>
        <v>168737.42741110845</v>
      </c>
      <c r="AA35" s="141">
        <f>AA19*0.000001*Inputs!S26</f>
        <v>170457.51353980615</v>
      </c>
      <c r="AB35" s="141">
        <f>AB19*0.000001*Inputs!T26</f>
        <v>172195.13398993766</v>
      </c>
      <c r="AC35" s="141">
        <f>AC19*0.000001*Inputs!U26</f>
        <v>173950.4675039642</v>
      </c>
      <c r="AD35" s="141">
        <f>AD19*0.000001*Inputs!V26</f>
        <v>175723.69464642301</v>
      </c>
      <c r="AE35" s="141">
        <f>AE19*0.000001*Inputs!W26</f>
        <v>177514.99782250149</v>
      </c>
      <c r="AF35" s="141">
        <f>AF19*0.000001*Inputs!X26</f>
        <v>179324.56129680027</v>
      </c>
      <c r="AG35" s="141">
        <f>AG19*0.000001*Inputs!Y26</f>
        <v>181152.57121228799</v>
      </c>
      <c r="AH35" s="141">
        <f>AH19*0.000001*Inputs!Z26</f>
        <v>182999.21560944957</v>
      </c>
      <c r="AI35" s="141">
        <f>AI19*0.000001*Inputs!AA26</f>
        <v>184864.68444562826</v>
      </c>
      <c r="AJ35" s="141">
        <f>AJ19*0.000001*Inputs!AB26</f>
        <v>186749.16961456637</v>
      </c>
    </row>
    <row r="36" spans="2:36" s="137" customFormat="1" x14ac:dyDescent="0.2">
      <c r="B36" s="81"/>
      <c r="C36" s="349" t="s">
        <v>195</v>
      </c>
      <c r="D36" s="151">
        <v>2028</v>
      </c>
      <c r="E36" s="151">
        <v>2029</v>
      </c>
      <c r="F36" s="151" t="s">
        <v>194</v>
      </c>
      <c r="G36" s="21"/>
      <c r="H36" s="81"/>
      <c r="I36" s="81"/>
      <c r="J36" s="140"/>
      <c r="K36" s="141"/>
      <c r="L36" s="141"/>
      <c r="M36" s="141"/>
      <c r="N36" s="161"/>
      <c r="O36" s="141"/>
      <c r="P36" s="141"/>
      <c r="Q36" s="141"/>
      <c r="R36" s="141"/>
      <c r="S36" s="141"/>
      <c r="T36" s="141"/>
      <c r="U36" s="141"/>
      <c r="V36" s="141"/>
      <c r="W36" s="141"/>
      <c r="X36" s="141"/>
      <c r="Y36" s="141"/>
      <c r="Z36" s="141"/>
      <c r="AA36" s="141"/>
      <c r="AB36" s="141"/>
      <c r="AC36" s="141"/>
      <c r="AD36" s="141"/>
      <c r="AE36" s="141"/>
      <c r="AF36" s="141"/>
      <c r="AG36" s="141"/>
      <c r="AH36" s="141"/>
      <c r="AI36" s="141"/>
      <c r="AJ36" s="141"/>
    </row>
    <row r="37" spans="2:36" s="137" customFormat="1" ht="13.5" x14ac:dyDescent="0.25">
      <c r="B37" s="81" t="s">
        <v>193</v>
      </c>
      <c r="C37" s="162">
        <f>Inputs!G27</f>
        <v>46500</v>
      </c>
      <c r="D37" s="162">
        <f>Inputs!H27</f>
        <v>47300</v>
      </c>
      <c r="E37" s="162">
        <f>Inputs!I27</f>
        <v>48200</v>
      </c>
      <c r="F37" s="162">
        <f>Inputs!J27</f>
        <v>49100</v>
      </c>
      <c r="G37" s="21"/>
      <c r="H37" s="81"/>
      <c r="I37" s="81"/>
      <c r="J37" s="140"/>
      <c r="K37" s="141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141"/>
      <c r="Z37" s="141"/>
      <c r="AA37" s="141"/>
      <c r="AB37" s="141"/>
      <c r="AC37" s="141"/>
      <c r="AD37" s="141"/>
      <c r="AE37" s="141"/>
      <c r="AF37" s="141"/>
      <c r="AG37" s="141"/>
      <c r="AH37" s="141"/>
      <c r="AI37" s="141"/>
      <c r="AJ37" s="141"/>
    </row>
    <row r="38" spans="2:36" s="137" customFormat="1" x14ac:dyDescent="0.2">
      <c r="B38" s="81" t="s">
        <v>36</v>
      </c>
      <c r="C38" s="145"/>
      <c r="D38" s="139"/>
      <c r="E38" s="139"/>
      <c r="F38" s="139"/>
      <c r="G38" s="21"/>
      <c r="H38" s="81"/>
      <c r="I38" s="81"/>
      <c r="J38" s="140"/>
      <c r="K38" s="141"/>
      <c r="L38" s="161"/>
      <c r="M38" s="161"/>
      <c r="N38" s="161"/>
      <c r="O38" s="141"/>
      <c r="P38" s="141">
        <f>P21*0.000001*Inputs!H27</f>
        <v>25151.534997196606</v>
      </c>
      <c r="Q38" s="141">
        <f>Q21*0.000001*Inputs!I27</f>
        <v>25697.689461138631</v>
      </c>
      <c r="R38" s="141">
        <f>R21*0.000001*Inputs!J27</f>
        <v>26245.620576978112</v>
      </c>
      <c r="S38" s="141">
        <f>S21*0.000001*Inputs!K27</f>
        <v>26312.954136346489</v>
      </c>
      <c r="T38" s="141">
        <f>T21*0.000001*Inputs!L27</f>
        <v>26379.504314034308</v>
      </c>
      <c r="U38" s="141">
        <f>U21*0.000001*Inputs!M27</f>
        <v>26445.252652507756</v>
      </c>
      <c r="V38" s="141">
        <f>V21*0.000001*Inputs!N27</f>
        <v>26510.180434673308</v>
      </c>
      <c r="W38" s="141">
        <f>W21*0.000001*Inputs!O27</f>
        <v>26574.268680778125</v>
      </c>
      <c r="X38" s="141">
        <f>X21*0.000001*Inputs!P27</f>
        <v>25149.418373031309</v>
      </c>
      <c r="Y38" s="141">
        <f>Y21*0.000001*Inputs!Q27</f>
        <v>25365.73455505621</v>
      </c>
      <c r="Z38" s="141">
        <f>Z21*0.000001*Inputs!R27</f>
        <v>25583.911324467739</v>
      </c>
      <c r="AA38" s="141">
        <f>AA21*0.000001*Inputs!S27</f>
        <v>25803.964684624443</v>
      </c>
      <c r="AB38" s="141">
        <f>AB21*0.000001*Inputs!T27</f>
        <v>26025.91077653363</v>
      </c>
      <c r="AC38" s="141">
        <f>AC21*0.000001*Inputs!U27</f>
        <v>26249.765880035251</v>
      </c>
      <c r="AD38" s="141">
        <f>AD21*0.000001*Inputs!V27</f>
        <v>26475.546414996079</v>
      </c>
      <c r="AE38" s="141">
        <f>AE21*0.000001*Inputs!W27</f>
        <v>26703.268942514107</v>
      </c>
      <c r="AF38" s="141">
        <f>AF21*0.000001*Inputs!X27</f>
        <v>26932.950166133298</v>
      </c>
      <c r="AG38" s="141">
        <f>AG21*0.000001*Inputs!Y27</f>
        <v>27164.606933068797</v>
      </c>
      <c r="AH38" s="141">
        <f>AH21*0.000001*Inputs!Z27</f>
        <v>27398.256235442717</v>
      </c>
      <c r="AI38" s="141">
        <f>AI21*0.000001*Inputs!AA27</f>
        <v>27633.915211530464</v>
      </c>
      <c r="AJ38" s="141">
        <f>AJ21*0.000001*Inputs!AB27</f>
        <v>27871.601147017871</v>
      </c>
    </row>
    <row r="39" spans="2:36" s="137" customFormat="1" x14ac:dyDescent="0.2">
      <c r="B39" s="81" t="s">
        <v>35</v>
      </c>
      <c r="C39" s="139"/>
      <c r="D39" s="139"/>
      <c r="E39" s="139"/>
      <c r="F39" s="139"/>
      <c r="H39" s="81"/>
      <c r="I39" s="81"/>
      <c r="J39" s="140"/>
      <c r="K39" s="141"/>
      <c r="L39" s="161"/>
      <c r="M39" s="161"/>
      <c r="N39" s="161"/>
      <c r="O39" s="141"/>
      <c r="P39" s="141">
        <f>P22*0.000001*Inputs!H27</f>
        <v>24538.453538170001</v>
      </c>
      <c r="Q39" s="141">
        <f>Q22*0.000001*Inputs!I27</f>
        <v>24912.909693976671</v>
      </c>
      <c r="R39" s="141">
        <f>R22*0.000001*Inputs!J27</f>
        <v>25279.346439883797</v>
      </c>
      <c r="S39" s="141">
        <f>S22*0.000001*Inputs!K27</f>
        <v>25175.954088194467</v>
      </c>
      <c r="T39" s="141">
        <f>T22*0.000001*Inputs!L27</f>
        <v>25067.826902637622</v>
      </c>
      <c r="U39" s="141">
        <f>U22*0.000001*Inputs!M27</f>
        <v>24954.879094721608</v>
      </c>
      <c r="V39" s="141">
        <f>V22*0.000001*Inputs!N27</f>
        <v>24837.023618942047</v>
      </c>
      <c r="W39" s="141">
        <f>W22*0.000001*Inputs!O27</f>
        <v>24714.172156068911</v>
      </c>
      <c r="X39" s="141">
        <f>X22*0.000001*Inputs!P27</f>
        <v>21167.405709277336</v>
      </c>
      <c r="Y39" s="141">
        <f>Y22*0.000001*Inputs!Q27</f>
        <v>21383.18333194037</v>
      </c>
      <c r="Z39" s="141">
        <f>Z22*0.000001*Inputs!R27</f>
        <v>21601.160562013094</v>
      </c>
      <c r="AA39" s="141">
        <f>AA22*0.000001*Inputs!S27</f>
        <v>21821.35982199094</v>
      </c>
      <c r="AB39" s="141">
        <f>AB22*0.000001*Inputs!T27</f>
        <v>22043.803762941156</v>
      </c>
      <c r="AC39" s="141">
        <f>AC22*0.000001*Inputs!U27</f>
        <v>22268.515266832874</v>
      </c>
      <c r="AD39" s="141">
        <f>AD22*0.000001*Inputs!V27</f>
        <v>22495.517448890856</v>
      </c>
      <c r="AE39" s="141">
        <f>AE22*0.000001*Inputs!W27</f>
        <v>22724.833659973297</v>
      </c>
      <c r="AF39" s="141">
        <f>AF22*0.000001*Inputs!X27</f>
        <v>22956.487488973838</v>
      </c>
      <c r="AG39" s="141">
        <f>AG22*0.000001*Inputs!Y27</f>
        <v>23190.502765248002</v>
      </c>
      <c r="AH39" s="141">
        <f>AH22*0.000001*Inputs!Z27</f>
        <v>23426.903561064584</v>
      </c>
      <c r="AI39" s="141">
        <f>AI22*0.000001*Inputs!AA27</f>
        <v>23665.714194081702</v>
      </c>
      <c r="AJ39" s="141">
        <f>AJ22*0.000001*Inputs!AB27</f>
        <v>23906.959229848351</v>
      </c>
    </row>
    <row r="40" spans="2:36" s="137" customFormat="1" x14ac:dyDescent="0.2">
      <c r="B40" s="81"/>
      <c r="C40" s="139"/>
      <c r="D40" s="139"/>
      <c r="E40" s="139"/>
      <c r="F40" s="139"/>
      <c r="H40" s="81"/>
      <c r="I40" s="81"/>
      <c r="J40" s="140"/>
      <c r="K40" s="141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  <c r="Y40" s="161"/>
      <c r="Z40" s="161"/>
      <c r="AA40" s="161"/>
      <c r="AB40" s="161"/>
      <c r="AC40" s="161"/>
      <c r="AD40" s="161"/>
      <c r="AE40" s="161"/>
      <c r="AF40" s="161"/>
      <c r="AG40" s="161"/>
      <c r="AH40" s="161"/>
      <c r="AI40" s="161"/>
      <c r="AJ40" s="161"/>
    </row>
    <row r="41" spans="2:36" s="137" customFormat="1" x14ac:dyDescent="0.2">
      <c r="B41" s="135" t="s">
        <v>142</v>
      </c>
      <c r="C41" s="81"/>
      <c r="D41" s="81"/>
      <c r="E41" s="81"/>
      <c r="F41" s="81"/>
      <c r="G41" s="81"/>
      <c r="H41" s="81"/>
      <c r="I41" s="81"/>
      <c r="J41" s="140"/>
      <c r="K41" s="141"/>
      <c r="L41" s="141"/>
      <c r="M41" s="141"/>
      <c r="N41" s="141"/>
      <c r="O41" s="141"/>
      <c r="P41" s="141"/>
      <c r="Q41" s="141"/>
      <c r="R41" s="141"/>
      <c r="S41" s="141"/>
      <c r="T41" s="141"/>
      <c r="U41" s="141"/>
      <c r="V41" s="141"/>
      <c r="W41" s="141"/>
      <c r="X41" s="141"/>
      <c r="Y41" s="141"/>
      <c r="Z41" s="141"/>
      <c r="AA41" s="141"/>
      <c r="AB41" s="141"/>
      <c r="AC41" s="141"/>
      <c r="AD41" s="141"/>
      <c r="AE41" s="141"/>
      <c r="AF41" s="141"/>
      <c r="AG41" s="141"/>
      <c r="AH41" s="141"/>
      <c r="AI41" s="141"/>
      <c r="AJ41" s="141"/>
    </row>
    <row r="42" spans="2:36" s="137" customFormat="1" x14ac:dyDescent="0.2">
      <c r="B42" s="81" t="s">
        <v>36</v>
      </c>
      <c r="C42" s="81"/>
      <c r="D42" s="81"/>
      <c r="E42" s="81"/>
      <c r="F42" s="81"/>
      <c r="G42" s="81"/>
      <c r="H42" s="81"/>
      <c r="I42" s="81"/>
      <c r="J42" s="140"/>
      <c r="K42" s="140"/>
      <c r="L42" s="140"/>
      <c r="M42" s="140"/>
      <c r="N42" s="140"/>
      <c r="O42" s="140"/>
      <c r="P42" s="140">
        <f>SUM(P30,P34,P38)</f>
        <v>1694518.8291438788</v>
      </c>
      <c r="Q42" s="140">
        <f t="shared" ref="Q42:AJ42" si="4">SUM(Q30,Q34,Q38)</f>
        <v>1689738.018610457</v>
      </c>
      <c r="R42" s="140">
        <f t="shared" si="4"/>
        <v>1689169.3314613095</v>
      </c>
      <c r="S42" s="140">
        <f t="shared" si="4"/>
        <v>1653890.2538974853</v>
      </c>
      <c r="T42" s="140">
        <f t="shared" si="4"/>
        <v>1617879.3217194937</v>
      </c>
      <c r="U42" s="140">
        <f t="shared" si="4"/>
        <v>1581126.5552060776</v>
      </c>
      <c r="V42" s="140">
        <f t="shared" si="4"/>
        <v>1543621.8571036027</v>
      </c>
      <c r="W42" s="140">
        <f t="shared" si="4"/>
        <v>1505355.0113425208</v>
      </c>
      <c r="X42" s="140">
        <f t="shared" si="4"/>
        <v>998430.43836181972</v>
      </c>
      <c r="Y42" s="140">
        <f t="shared" si="4"/>
        <v>1007018.1781353756</v>
      </c>
      <c r="Z42" s="140">
        <f t="shared" si="4"/>
        <v>1015679.7831193504</v>
      </c>
      <c r="AA42" s="140">
        <f t="shared" si="4"/>
        <v>1024415.888646143</v>
      </c>
      <c r="AB42" s="140">
        <f t="shared" si="4"/>
        <v>1033227.1355127986</v>
      </c>
      <c r="AC42" s="140">
        <f t="shared" si="4"/>
        <v>1042114.1700280111</v>
      </c>
      <c r="AD42" s="140">
        <f t="shared" si="4"/>
        <v>1051077.6440595314</v>
      </c>
      <c r="AE42" s="140">
        <f t="shared" si="4"/>
        <v>1060118.2150819809</v>
      </c>
      <c r="AF42" s="140">
        <f t="shared" si="4"/>
        <v>1069236.5462250779</v>
      </c>
      <c r="AG42" s="140">
        <f t="shared" si="4"/>
        <v>1078433.3063222782</v>
      </c>
      <c r="AH42" s="140">
        <f t="shared" si="4"/>
        <v>1087709.1699598362</v>
      </c>
      <c r="AI42" s="140">
        <f t="shared" si="4"/>
        <v>1097064.817526282</v>
      </c>
      <c r="AJ42" s="140">
        <f t="shared" si="4"/>
        <v>1106500.9352623334</v>
      </c>
    </row>
    <row r="43" spans="2:36" s="137" customFormat="1" x14ac:dyDescent="0.2">
      <c r="B43" s="81" t="s">
        <v>35</v>
      </c>
      <c r="C43" s="81"/>
      <c r="D43" s="81"/>
      <c r="E43" s="81"/>
      <c r="F43" s="81"/>
      <c r="G43" s="81"/>
      <c r="H43" s="81"/>
      <c r="I43" s="81"/>
      <c r="J43" s="140"/>
      <c r="K43" s="140"/>
      <c r="L43" s="140"/>
      <c r="M43" s="140"/>
      <c r="N43" s="140"/>
      <c r="O43" s="140"/>
      <c r="P43" s="140">
        <f>SUM(P31,P35,P39)</f>
        <v>1675617.7408990711</v>
      </c>
      <c r="Q43" s="140">
        <f t="shared" ref="Q43:AJ43" si="5">SUM(Q31,Q35,Q39)</f>
        <v>1659439.6271221358</v>
      </c>
      <c r="R43" s="140">
        <f t="shared" si="5"/>
        <v>1646460.0174112713</v>
      </c>
      <c r="S43" s="140">
        <f t="shared" si="5"/>
        <v>1599104.8404369282</v>
      </c>
      <c r="T43" s="140">
        <f t="shared" si="5"/>
        <v>1550613.1075236523</v>
      </c>
      <c r="U43" s="140">
        <f t="shared" si="5"/>
        <v>1500966.5677868421</v>
      </c>
      <c r="V43" s="140">
        <f t="shared" si="5"/>
        <v>1450146.7163529033</v>
      </c>
      <c r="W43" s="140">
        <f t="shared" si="5"/>
        <v>1398134.7910775221</v>
      </c>
      <c r="X43" s="140">
        <f t="shared" si="5"/>
        <v>737633.0285542896</v>
      </c>
      <c r="Y43" s="140">
        <f t="shared" si="5"/>
        <v>745152.35820125788</v>
      </c>
      <c r="Z43" s="140">
        <f t="shared" si="5"/>
        <v>752748.3388605197</v>
      </c>
      <c r="AA43" s="140">
        <f t="shared" si="5"/>
        <v>760421.75190195278</v>
      </c>
      <c r="AB43" s="140">
        <f t="shared" si="5"/>
        <v>768173.38666061126</v>
      </c>
      <c r="AC43" s="140">
        <f t="shared" si="5"/>
        <v>776004.04051792307</v>
      </c>
      <c r="AD43" s="140">
        <f t="shared" si="5"/>
        <v>783914.5189837123</v>
      </c>
      <c r="AE43" s="140">
        <f t="shared" si="5"/>
        <v>791905.63577905972</v>
      </c>
      <c r="AF43" s="140">
        <f t="shared" si="5"/>
        <v>799978.21292000671</v>
      </c>
      <c r="AG43" s="140">
        <f t="shared" si="5"/>
        <v>808133.080802112</v>
      </c>
      <c r="AH43" s="140">
        <f t="shared" si="5"/>
        <v>816371.07828587585</v>
      </c>
      <c r="AI43" s="140">
        <f t="shared" si="5"/>
        <v>824693.05278302357</v>
      </c>
      <c r="AJ43" s="140">
        <f t="shared" si="5"/>
        <v>833099.86034368002</v>
      </c>
    </row>
    <row r="44" spans="2:36" ht="7.5" customHeight="1" x14ac:dyDescent="0.2"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</row>
    <row r="45" spans="2:36" x14ac:dyDescent="0.2">
      <c r="B45" s="146" t="s">
        <v>39</v>
      </c>
      <c r="C45" s="130"/>
      <c r="D45" s="130"/>
      <c r="E45" s="130"/>
      <c r="F45" s="130"/>
      <c r="G45" s="130"/>
      <c r="H45" s="130"/>
      <c r="I45" s="130"/>
      <c r="J45" s="147"/>
      <c r="K45" s="147"/>
      <c r="L45" s="147"/>
      <c r="M45" s="147"/>
      <c r="N45" s="147"/>
      <c r="O45" s="147"/>
      <c r="P45" s="147">
        <f t="shared" ref="P45" si="6">P42-P43</f>
        <v>18901.088244807674</v>
      </c>
      <c r="Q45" s="147">
        <f t="shared" ref="Q45:AH45" si="7">Q42-Q43</f>
        <v>30298.391488321126</v>
      </c>
      <c r="R45" s="147">
        <f t="shared" si="7"/>
        <v>42709.314050038112</v>
      </c>
      <c r="S45" s="147">
        <f t="shared" si="7"/>
        <v>54785.413460557116</v>
      </c>
      <c r="T45" s="147">
        <f t="shared" si="7"/>
        <v>67266.214195841458</v>
      </c>
      <c r="U45" s="147">
        <f t="shared" si="7"/>
        <v>80159.98741923552</v>
      </c>
      <c r="V45" s="147">
        <f t="shared" si="7"/>
        <v>93475.140750699444</v>
      </c>
      <c r="W45" s="147">
        <f t="shared" si="7"/>
        <v>107220.22026499873</v>
      </c>
      <c r="X45" s="147">
        <f t="shared" si="7"/>
        <v>260797.40980753012</v>
      </c>
      <c r="Y45" s="147">
        <f t="shared" si="7"/>
        <v>261865.81993411772</v>
      </c>
      <c r="Z45" s="147">
        <f t="shared" si="7"/>
        <v>262931.44425883074</v>
      </c>
      <c r="AA45" s="147">
        <f t="shared" si="7"/>
        <v>263994.13674419024</v>
      </c>
      <c r="AB45" s="147">
        <f t="shared" si="7"/>
        <v>265053.7488521873</v>
      </c>
      <c r="AC45" s="147">
        <f t="shared" si="7"/>
        <v>266110.12951008801</v>
      </c>
      <c r="AD45" s="147">
        <f t="shared" si="7"/>
        <v>267163.12507581909</v>
      </c>
      <c r="AE45" s="147">
        <f t="shared" si="7"/>
        <v>268212.57930292119</v>
      </c>
      <c r="AF45" s="147">
        <f t="shared" si="7"/>
        <v>269258.33330507122</v>
      </c>
      <c r="AG45" s="147">
        <f t="shared" si="7"/>
        <v>270300.22552016622</v>
      </c>
      <c r="AH45" s="147">
        <f t="shared" si="7"/>
        <v>271338.09167396033</v>
      </c>
      <c r="AI45" s="147">
        <f t="shared" ref="AI45:AJ45" si="8">AI42-AI43</f>
        <v>272371.76474325848</v>
      </c>
      <c r="AJ45" s="147">
        <f t="shared" si="8"/>
        <v>273401.07491865335</v>
      </c>
    </row>
    <row r="46" spans="2:36" x14ac:dyDescent="0.2">
      <c r="B46" s="135"/>
      <c r="C46" s="81"/>
      <c r="D46" s="81"/>
      <c r="E46" s="81"/>
      <c r="F46" s="81"/>
      <c r="G46" s="81"/>
      <c r="H46" s="81"/>
      <c r="I46" s="81"/>
      <c r="J46" s="140"/>
      <c r="K46" s="140"/>
      <c r="L46" s="140"/>
      <c r="M46" s="140"/>
      <c r="N46" s="140"/>
      <c r="O46" s="140"/>
      <c r="P46" s="140"/>
      <c r="Q46" s="140"/>
      <c r="R46" s="140"/>
      <c r="S46" s="140"/>
      <c r="T46" s="140"/>
      <c r="U46" s="140"/>
      <c r="V46" s="140"/>
      <c r="W46" s="140"/>
      <c r="X46" s="140"/>
      <c r="Y46" s="140"/>
      <c r="Z46" s="140"/>
      <c r="AA46" s="140"/>
      <c r="AB46" s="140"/>
      <c r="AC46" s="140"/>
      <c r="AD46" s="140"/>
      <c r="AE46" s="140"/>
      <c r="AF46" s="140"/>
      <c r="AG46" s="140"/>
      <c r="AH46" s="140"/>
      <c r="AI46" s="140"/>
      <c r="AJ46" s="140"/>
    </row>
    <row r="47" spans="2:36" s="137" customFormat="1" ht="13.5" x14ac:dyDescent="0.25">
      <c r="B47" s="135" t="s">
        <v>200</v>
      </c>
      <c r="C47" s="163" t="s">
        <v>201</v>
      </c>
      <c r="D47" s="153"/>
      <c r="E47" s="139"/>
      <c r="F47" s="139"/>
      <c r="G47" s="21"/>
      <c r="H47" s="81"/>
      <c r="I47" s="81"/>
      <c r="J47" s="140"/>
      <c r="K47" s="141"/>
      <c r="L47" s="141"/>
      <c r="M47" s="141"/>
      <c r="N47" s="141"/>
      <c r="O47" s="141"/>
      <c r="P47" s="141"/>
      <c r="Q47" s="141"/>
      <c r="R47" s="141"/>
      <c r="S47" s="141"/>
      <c r="T47" s="141"/>
      <c r="U47" s="141"/>
      <c r="V47" s="141"/>
      <c r="W47" s="141"/>
      <c r="X47" s="141"/>
      <c r="Y47" s="141"/>
      <c r="Z47" s="141"/>
      <c r="AA47" s="141"/>
      <c r="AB47" s="141"/>
      <c r="AC47" s="141"/>
      <c r="AD47" s="141"/>
      <c r="AE47" s="141"/>
      <c r="AF47" s="141"/>
      <c r="AG47" s="141"/>
      <c r="AH47" s="141"/>
      <c r="AI47" s="141"/>
      <c r="AJ47" s="141"/>
    </row>
    <row r="48" spans="2:36" s="137" customFormat="1" x14ac:dyDescent="0.2">
      <c r="B48" s="81" t="s">
        <v>36</v>
      </c>
      <c r="C48" s="139"/>
      <c r="D48" s="139"/>
      <c r="E48" s="139"/>
      <c r="F48" s="139"/>
      <c r="G48" s="21"/>
      <c r="H48" s="81"/>
      <c r="I48" s="81"/>
      <c r="J48" s="140"/>
      <c r="K48" s="141"/>
      <c r="L48" s="141"/>
      <c r="M48" s="141"/>
      <c r="N48" s="159"/>
      <c r="O48" s="141"/>
      <c r="P48" s="141">
        <f>P24*0.000001*Inputs!H28</f>
        <v>3270566.7059547543</v>
      </c>
      <c r="Q48" s="141">
        <f>Q24*0.000001*Inputs!I28</f>
        <v>3336018.0389163019</v>
      </c>
      <c r="R48" s="141">
        <f>R24*0.000001*Inputs!J28</f>
        <v>3401769.4093712675</v>
      </c>
      <c r="S48" s="141">
        <f>S24*0.000001*Inputs!K28</f>
        <v>3467816.1140368511</v>
      </c>
      <c r="T48" s="141">
        <f>T24*0.000001*Inputs!L28</f>
        <v>3534153.303325268</v>
      </c>
      <c r="U48" s="141">
        <f>U24*0.000001*Inputs!M28</f>
        <v>3600775.9788033231</v>
      </c>
      <c r="V48" s="141">
        <f>V24*0.000001*Inputs!N28</f>
        <v>3667678.9906159122</v>
      </c>
      <c r="W48" s="141">
        <f>W24*0.000001*Inputs!O28</f>
        <v>3734857.0348729892</v>
      </c>
      <c r="X48" s="141">
        <f>X24*0.000001*Inputs!P28</f>
        <v>3667351.1674852287</v>
      </c>
      <c r="Y48" s="141">
        <f>Y24*0.000001*Inputs!Q28</f>
        <v>3752502.1078259712</v>
      </c>
      <c r="Z48" s="141">
        <f>Z24*0.000001*Inputs!R28</f>
        <v>3838846.5399942747</v>
      </c>
      <c r="AA48" s="141">
        <f>AA24*0.000001*Inputs!S28</f>
        <v>3926398.6954296087</v>
      </c>
      <c r="AB48" s="141">
        <f>AB24*0.000001*Inputs!T28</f>
        <v>4015172.9620913845</v>
      </c>
      <c r="AC48" s="141">
        <f>AC24*0.000001*Inputs!U28</f>
        <v>4105183.8860986214</v>
      </c>
      <c r="AD48" s="141">
        <f>AD24*0.000001*Inputs!V28</f>
        <v>4196446.1733862469</v>
      </c>
      <c r="AE48" s="141">
        <f>AE24*0.000001*Inputs!W28</f>
        <v>4345408.5688963216</v>
      </c>
      <c r="AF48" s="141">
        <f>AF24*0.000001*Inputs!X28</f>
        <v>4439703.7495173784</v>
      </c>
      <c r="AG48" s="141">
        <f>AG24*0.000001*Inputs!Y28</f>
        <v>4535299.5619881395</v>
      </c>
      <c r="AH48" s="141">
        <f>AH24*0.000001*Inputs!Z28</f>
        <v>4632211.4043191113</v>
      </c>
      <c r="AI48" s="141">
        <f>AI24*0.000001*Inputs!AA28</f>
        <v>4672054.1661059605</v>
      </c>
      <c r="AJ48" s="141">
        <f>AJ24*0.000001*Inputs!AB28</f>
        <v>4712239.6250472032</v>
      </c>
    </row>
    <row r="49" spans="2:36" s="137" customFormat="1" x14ac:dyDescent="0.2">
      <c r="B49" s="81" t="s">
        <v>35</v>
      </c>
      <c r="C49" s="139"/>
      <c r="D49" s="139"/>
      <c r="E49" s="139"/>
      <c r="F49" s="139"/>
      <c r="G49" s="81"/>
      <c r="H49" s="81"/>
      <c r="I49" s="81"/>
      <c r="J49" s="140"/>
      <c r="K49" s="141"/>
      <c r="L49" s="141"/>
      <c r="M49" s="141"/>
      <c r="N49" s="159"/>
      <c r="O49" s="141"/>
      <c r="P49" s="141">
        <f>P25*0.000001*Inputs!H28</f>
        <v>3189900.2056447156</v>
      </c>
      <c r="Q49" s="141">
        <f>Q25*0.000001*Inputs!I28</f>
        <v>3230064.6814679932</v>
      </c>
      <c r="R49" s="141">
        <f>R25*0.000001*Inputs!J28</f>
        <v>3269190.986993358</v>
      </c>
      <c r="S49" s="141">
        <f>S25*0.000001*Inputs!K28</f>
        <v>3307238.2313113916</v>
      </c>
      <c r="T49" s="141">
        <f>T25*0.000001*Inputs!L28</f>
        <v>3344164.6391935963</v>
      </c>
      <c r="U49" s="141">
        <f>U25*0.000001*Inputs!M28</f>
        <v>3379927.5356963091</v>
      </c>
      <c r="V49" s="141">
        <f>V25*0.000001*Inputs!N28</f>
        <v>3414483.330526134</v>
      </c>
      <c r="W49" s="141">
        <f>W25*0.000001*Inputs!O28</f>
        <v>3447787.5021634796</v>
      </c>
      <c r="X49" s="141">
        <f>X25*0.000001*Inputs!P28</f>
        <v>3027562.7994545675</v>
      </c>
      <c r="Y49" s="141">
        <f>Y25*0.000001*Inputs!Q28</f>
        <v>3102750.3634458631</v>
      </c>
      <c r="Z49" s="141">
        <f>Z25*0.000001*Inputs!R28</f>
        <v>3179156.2221309408</v>
      </c>
      <c r="AA49" s="141">
        <f>AA25*0.000001*Inputs!S28</f>
        <v>3256797.4006638285</v>
      </c>
      <c r="AB49" s="141">
        <f>AB25*0.000001*Inputs!T28</f>
        <v>3335691.1447038231</v>
      </c>
      <c r="AC49" s="141">
        <f>AC25*0.000001*Inputs!U28</f>
        <v>3415854.923141927</v>
      </c>
      <c r="AD49" s="141">
        <f>AD25*0.000001*Inputs!V28</f>
        <v>3497306.4308599504</v>
      </c>
      <c r="AE49" s="141">
        <f>AE25*0.000001*Inputs!W28</f>
        <v>3627169.6914111334</v>
      </c>
      <c r="AF49" s="141">
        <f>AF25*0.000001*Inputs!X28</f>
        <v>3711730.8533957195</v>
      </c>
      <c r="AG49" s="141">
        <f>AG25*0.000001*Inputs!Y28</f>
        <v>3797639.1083621955</v>
      </c>
      <c r="AH49" s="141">
        <f>AH25*0.000001*Inputs!Z28</f>
        <v>3884913.1333128074</v>
      </c>
      <c r="AI49" s="141">
        <f>AI25*0.000001*Inputs!AA28</f>
        <v>3924515.4035046254</v>
      </c>
      <c r="AJ49" s="141">
        <f>AJ25*0.000001*Inputs!AB28</f>
        <v>3964521.3737923084</v>
      </c>
    </row>
    <row r="50" spans="2:36" x14ac:dyDescent="0.2">
      <c r="B50" s="146" t="s">
        <v>39</v>
      </c>
      <c r="C50" s="130" t="s">
        <v>202</v>
      </c>
      <c r="D50" s="130"/>
      <c r="E50" s="379"/>
      <c r="F50" s="130"/>
      <c r="G50" s="130"/>
      <c r="H50" s="130"/>
      <c r="I50" s="130"/>
      <c r="J50" s="147"/>
      <c r="K50" s="147"/>
      <c r="L50" s="147"/>
      <c r="M50" s="147"/>
      <c r="N50" s="147"/>
      <c r="O50" s="147"/>
      <c r="P50" s="147">
        <f t="shared" ref="P50" si="9">P48-P49</f>
        <v>80666.500310038682</v>
      </c>
      <c r="Q50" s="147">
        <f t="shared" ref="Q50:AH50" si="10">Q48-Q49</f>
        <v>105953.35744830873</v>
      </c>
      <c r="R50" s="147">
        <f t="shared" si="10"/>
        <v>132578.42237790953</v>
      </c>
      <c r="S50" s="147">
        <f t="shared" si="10"/>
        <v>160577.88272545952</v>
      </c>
      <c r="T50" s="147">
        <f t="shared" si="10"/>
        <v>189988.66413167166</v>
      </c>
      <c r="U50" s="147">
        <f t="shared" si="10"/>
        <v>220848.44310701406</v>
      </c>
      <c r="V50" s="147">
        <f t="shared" si="10"/>
        <v>253195.66008977825</v>
      </c>
      <c r="W50" s="147">
        <f t="shared" si="10"/>
        <v>287069.5327095096</v>
      </c>
      <c r="X50" s="147">
        <f t="shared" si="10"/>
        <v>639788.36803066125</v>
      </c>
      <c r="Y50" s="147">
        <f t="shared" si="10"/>
        <v>649751.74438010808</v>
      </c>
      <c r="Z50" s="147">
        <f t="shared" si="10"/>
        <v>659690.31786333397</v>
      </c>
      <c r="AA50" s="147">
        <f t="shared" si="10"/>
        <v>669601.29476578021</v>
      </c>
      <c r="AB50" s="147">
        <f t="shared" si="10"/>
        <v>679481.81738756131</v>
      </c>
      <c r="AC50" s="147">
        <f t="shared" si="10"/>
        <v>689328.96295669442</v>
      </c>
      <c r="AD50" s="147">
        <f t="shared" si="10"/>
        <v>699139.74252629653</v>
      </c>
      <c r="AE50" s="147">
        <f t="shared" si="10"/>
        <v>718238.87748518819</v>
      </c>
      <c r="AF50" s="147">
        <f t="shared" si="10"/>
        <v>727972.89612165885</v>
      </c>
      <c r="AG50" s="147">
        <f t="shared" si="10"/>
        <v>737660.45362594398</v>
      </c>
      <c r="AH50" s="147">
        <f t="shared" si="10"/>
        <v>747298.27100630384</v>
      </c>
      <c r="AI50" s="147">
        <f t="shared" ref="AI50:AJ50" si="11">AI48-AI49</f>
        <v>747538.76260133507</v>
      </c>
      <c r="AJ50" s="147">
        <f t="shared" si="11"/>
        <v>747718.25125489477</v>
      </c>
    </row>
    <row r="55" spans="2:36" x14ac:dyDescent="0.2">
      <c r="B55" s="81"/>
      <c r="C55" s="81"/>
      <c r="D55" s="81"/>
      <c r="E55" s="81"/>
      <c r="F55" s="81"/>
      <c r="G55" s="81"/>
      <c r="H55" s="81"/>
      <c r="I55" s="81"/>
      <c r="J55" s="81"/>
      <c r="K55" s="23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</row>
    <row r="56" spans="2:36" s="137" customFormat="1" x14ac:dyDescent="0.2">
      <c r="B56" s="81"/>
      <c r="C56" s="85"/>
      <c r="D56" s="85"/>
      <c r="E56" s="85"/>
      <c r="F56" s="85"/>
      <c r="G56" s="85"/>
      <c r="H56" s="81"/>
      <c r="I56" s="81"/>
      <c r="J56" s="81"/>
      <c r="K56" s="23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</row>
    <row r="57" spans="2:36" x14ac:dyDescent="0.2">
      <c r="B57" s="21"/>
      <c r="C57" s="84"/>
      <c r="D57" s="21"/>
      <c r="E57" s="21"/>
      <c r="F57" s="21"/>
      <c r="G57" s="84"/>
    </row>
    <row r="58" spans="2:36" x14ac:dyDescent="0.2">
      <c r="B58" s="21"/>
      <c r="C58" s="84"/>
      <c r="D58" s="21"/>
      <c r="E58" s="21"/>
      <c r="F58" s="21"/>
      <c r="G58" s="84"/>
      <c r="J58" s="148"/>
      <c r="K58" s="148"/>
    </row>
    <row r="59" spans="2:36" x14ac:dyDescent="0.2">
      <c r="B59" s="21"/>
      <c r="C59" s="84"/>
      <c r="D59" s="21"/>
      <c r="E59" s="21"/>
      <c r="F59" s="21"/>
      <c r="G59" s="84"/>
      <c r="J59" s="148"/>
      <c r="K59" s="148"/>
    </row>
    <row r="60" spans="2:36" x14ac:dyDescent="0.2">
      <c r="B60" s="21"/>
      <c r="C60" s="84"/>
      <c r="D60" s="21"/>
      <c r="E60" s="21"/>
      <c r="F60" s="21"/>
      <c r="G60" s="84"/>
      <c r="J60" s="148"/>
      <c r="K60" s="148"/>
    </row>
    <row r="61" spans="2:36" x14ac:dyDescent="0.2">
      <c r="B61" s="21"/>
      <c r="C61" s="84"/>
      <c r="D61" s="21"/>
      <c r="E61" s="21"/>
      <c r="F61" s="21"/>
      <c r="G61" s="84"/>
    </row>
    <row r="62" spans="2:36" x14ac:dyDescent="0.2">
      <c r="C62" s="83"/>
    </row>
  </sheetData>
  <mergeCells count="2">
    <mergeCell ref="C8:D8"/>
    <mergeCell ref="E8:F8"/>
  </mergeCells>
  <pageMargins left="0.7" right="0.7" top="1" bottom="0.75" header="0.5" footer="0.5"/>
  <pageSetup scale="95" orientation="landscape" r:id="rId1"/>
  <headerFooter alignWithMargins="0">
    <oddFooter>&amp;R&amp;8&amp;P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AI36"/>
  <sheetViews>
    <sheetView showGridLines="0" zoomScaleNormal="100" workbookViewId="0">
      <pane xSplit="2" ySplit="5" topLeftCell="L6" activePane="bottomRight" state="frozen"/>
      <selection activeCell="L36" sqref="L36"/>
      <selection pane="topRight" activeCell="L36" sqref="L36"/>
      <selection pane="bottomLeft" activeCell="L36" sqref="L36"/>
      <selection pane="bottomRight" activeCell="B1" sqref="B1"/>
    </sheetView>
  </sheetViews>
  <sheetFormatPr defaultColWidth="9.140625" defaultRowHeight="12.75" x14ac:dyDescent="0.2"/>
  <cols>
    <col min="1" max="1" width="2.5703125" style="82" customWidth="1"/>
    <col min="2" max="2" width="30.42578125" style="82" customWidth="1"/>
    <col min="3" max="4" width="6.28515625" style="82" bestFit="1" customWidth="1"/>
    <col min="5" max="6" width="5.7109375" style="82" bestFit="1" customWidth="1"/>
    <col min="7" max="30" width="10.7109375" style="82" bestFit="1" customWidth="1"/>
    <col min="31" max="31" width="12.5703125" style="82" customWidth="1"/>
    <col min="32" max="33" width="10.140625" style="82" customWidth="1"/>
    <col min="34" max="35" width="11.5703125" style="82" customWidth="1"/>
    <col min="36" max="16384" width="9.140625" style="82"/>
  </cols>
  <sheetData>
    <row r="1" spans="2:35" x14ac:dyDescent="0.2">
      <c r="B1" s="149"/>
    </row>
    <row r="2" spans="2:35" x14ac:dyDescent="0.2">
      <c r="B2" s="149" t="str">
        <f>Inputs!C1</f>
        <v>US 27 PALMETTO Project</v>
      </c>
    </row>
    <row r="3" spans="2:35" x14ac:dyDescent="0.2">
      <c r="B3" s="149" t="s">
        <v>121</v>
      </c>
    </row>
    <row r="4" spans="2:35" ht="7.5" customHeight="1" x14ac:dyDescent="0.2">
      <c r="B4" s="128"/>
      <c r="C4" s="128"/>
      <c r="D4" s="128"/>
      <c r="E4" s="128"/>
      <c r="F4" s="128"/>
      <c r="G4" s="128"/>
      <c r="H4" s="128"/>
      <c r="I4" s="128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</row>
    <row r="5" spans="2:35" x14ac:dyDescent="0.2">
      <c r="B5" s="129"/>
      <c r="C5" s="130"/>
      <c r="D5" s="130"/>
      <c r="E5" s="130"/>
      <c r="F5" s="130"/>
      <c r="G5" s="131">
        <v>2020</v>
      </c>
      <c r="H5" s="131">
        <v>2021</v>
      </c>
      <c r="I5" s="131">
        <v>2022</v>
      </c>
      <c r="J5" s="131">
        <v>2023</v>
      </c>
      <c r="K5" s="131">
        <v>2024</v>
      </c>
      <c r="L5" s="131">
        <v>2025</v>
      </c>
      <c r="M5" s="131">
        <v>2026</v>
      </c>
      <c r="N5" s="131">
        <v>2027</v>
      </c>
      <c r="O5" s="131">
        <v>2028</v>
      </c>
      <c r="P5" s="131">
        <v>2029</v>
      </c>
      <c r="Q5" s="131">
        <v>2030</v>
      </c>
      <c r="R5" s="131">
        <v>2031</v>
      </c>
      <c r="S5" s="131">
        <v>2032</v>
      </c>
      <c r="T5" s="131">
        <v>2033</v>
      </c>
      <c r="U5" s="131">
        <v>2034</v>
      </c>
      <c r="V5" s="131">
        <v>2035</v>
      </c>
      <c r="W5" s="131">
        <v>2036</v>
      </c>
      <c r="X5" s="131">
        <v>2037</v>
      </c>
      <c r="Y5" s="131">
        <v>2038</v>
      </c>
      <c r="Z5" s="131">
        <v>2039</v>
      </c>
      <c r="AA5" s="131">
        <v>2040</v>
      </c>
      <c r="AB5" s="131">
        <v>2041</v>
      </c>
      <c r="AC5" s="131">
        <v>2042</v>
      </c>
      <c r="AD5" s="131">
        <v>2043</v>
      </c>
      <c r="AE5" s="131">
        <v>2044</v>
      </c>
      <c r="AF5" s="131">
        <v>2045</v>
      </c>
      <c r="AG5" s="131">
        <v>2046</v>
      </c>
      <c r="AH5" s="131">
        <v>2047</v>
      </c>
      <c r="AI5" s="131">
        <v>2048</v>
      </c>
    </row>
    <row r="6" spans="2:35" x14ac:dyDescent="0.2">
      <c r="B6" s="132" t="s">
        <v>31</v>
      </c>
      <c r="C6" s="133"/>
      <c r="D6" s="134"/>
      <c r="E6" s="134"/>
      <c r="F6" s="134"/>
      <c r="G6" s="134"/>
      <c r="H6" s="134"/>
      <c r="I6" s="134"/>
      <c r="J6" s="134"/>
      <c r="K6" s="134"/>
      <c r="L6" s="134"/>
      <c r="M6" s="134"/>
      <c r="N6" s="134"/>
      <c r="O6" s="134">
        <f>Inputs!D60</f>
        <v>137914961.59999999</v>
      </c>
      <c r="P6" s="134">
        <f>(1+(($AF6/$O6)^(1/($AF$5-$O$5))-1))*O6</f>
        <v>139101201.27739206</v>
      </c>
      <c r="Q6" s="134">
        <f t="shared" ref="Q6:AE6" si="0">(1+(($AF6/$O6)^(1/($AF$5-$O$5))-1))*P6</f>
        <v>140297644.08688739</v>
      </c>
      <c r="R6" s="134">
        <f t="shared" si="0"/>
        <v>141504377.78807342</v>
      </c>
      <c r="S6" s="134">
        <f t="shared" si="0"/>
        <v>142721490.89537889</v>
      </c>
      <c r="T6" s="134">
        <f t="shared" si="0"/>
        <v>143949072.68456635</v>
      </c>
      <c r="U6" s="134">
        <f t="shared" si="0"/>
        <v>145187213.19928065</v>
      </c>
      <c r="V6" s="134">
        <f t="shared" si="0"/>
        <v>146436003.25765359</v>
      </c>
      <c r="W6" s="134">
        <f t="shared" si="0"/>
        <v>147695534.45896557</v>
      </c>
      <c r="X6" s="134">
        <f t="shared" si="0"/>
        <v>148965899.19036433</v>
      </c>
      <c r="Y6" s="134">
        <f t="shared" si="0"/>
        <v>150247190.63364163</v>
      </c>
      <c r="Z6" s="134">
        <f t="shared" si="0"/>
        <v>151539502.7720682</v>
      </c>
      <c r="AA6" s="134">
        <f t="shared" si="0"/>
        <v>152842930.39728746</v>
      </c>
      <c r="AB6" s="134">
        <f t="shared" si="0"/>
        <v>154157569.11626846</v>
      </c>
      <c r="AC6" s="134">
        <f t="shared" si="0"/>
        <v>155483515.35831872</v>
      </c>
      <c r="AD6" s="134">
        <f t="shared" si="0"/>
        <v>156820866.38215742</v>
      </c>
      <c r="AE6" s="134">
        <f t="shared" si="0"/>
        <v>158169720.28304932</v>
      </c>
      <c r="AF6" s="134">
        <f>Inputs!E60</f>
        <v>159530176</v>
      </c>
      <c r="AG6" s="134">
        <f>(1+(($AF6/$O6)^(1/($AF$5-$O$5))-1))*AF6</f>
        <v>160902333.32301331</v>
      </c>
      <c r="AH6" s="134">
        <f t="shared" ref="AH6:AI6" si="1">(1+(($AF6/$O6)^(1/($AF$5-$O$5))-1))*AG6</f>
        <v>162286292.90041077</v>
      </c>
      <c r="AI6" s="134">
        <f t="shared" si="1"/>
        <v>163682156.24621427</v>
      </c>
    </row>
    <row r="7" spans="2:35" s="137" customFormat="1" x14ac:dyDescent="0.2">
      <c r="B7" s="135" t="s">
        <v>32</v>
      </c>
      <c r="C7" s="133"/>
      <c r="D7" s="134"/>
      <c r="E7" s="134"/>
      <c r="F7" s="134"/>
      <c r="G7" s="134"/>
      <c r="H7" s="134"/>
      <c r="I7" s="134"/>
      <c r="J7" s="134"/>
      <c r="K7" s="134"/>
      <c r="L7" s="134"/>
      <c r="M7" s="134"/>
      <c r="N7" s="134"/>
      <c r="O7" s="134">
        <f>Inputs!D61</f>
        <v>141261640</v>
      </c>
      <c r="P7" s="134">
        <f>(1+(($AF7/$O7)^(1/($AF$5-$O$5))-1))*O7</f>
        <v>142701641.73055321</v>
      </c>
      <c r="Q7" s="134">
        <f t="shared" ref="Q7:AE7" si="2">(1+(($AF7/$O7)^(1/($AF$5-$O$5))-1))*P7</f>
        <v>144156322.64070532</v>
      </c>
      <c r="R7" s="134">
        <f t="shared" si="2"/>
        <v>145625832.36799434</v>
      </c>
      <c r="S7" s="134">
        <f t="shared" si="2"/>
        <v>147110322.07534277</v>
      </c>
      <c r="T7" s="134">
        <f t="shared" si="2"/>
        <v>148609944.46660718</v>
      </c>
      <c r="U7" s="134">
        <f t="shared" si="2"/>
        <v>150124853.80228621</v>
      </c>
      <c r="V7" s="134">
        <f t="shared" si="2"/>
        <v>151655205.91538879</v>
      </c>
      <c r="W7" s="134">
        <f t="shared" si="2"/>
        <v>153201158.2274642</v>
      </c>
      <c r="X7" s="134">
        <f t="shared" si="2"/>
        <v>154762869.76479524</v>
      </c>
      <c r="Y7" s="134">
        <f t="shared" si="2"/>
        <v>156340501.17475682</v>
      </c>
      <c r="Z7" s="134">
        <f t="shared" si="2"/>
        <v>157934214.7423411</v>
      </c>
      <c r="AA7" s="134">
        <f t="shared" si="2"/>
        <v>159544174.40685108</v>
      </c>
      <c r="AB7" s="134">
        <f t="shared" si="2"/>
        <v>161170545.77876455</v>
      </c>
      <c r="AC7" s="134">
        <f t="shared" si="2"/>
        <v>162813496.15676966</v>
      </c>
      <c r="AD7" s="134">
        <f t="shared" si="2"/>
        <v>164473194.54497445</v>
      </c>
      <c r="AE7" s="134">
        <f t="shared" si="2"/>
        <v>166149811.67029151</v>
      </c>
      <c r="AF7" s="134">
        <f>Inputs!E61</f>
        <v>167843520</v>
      </c>
      <c r="AG7" s="134">
        <f>(1+(($AF7/$O7)^(1/($AF$5-$O$5))-1))*AF7</f>
        <v>169554493.7594873</v>
      </c>
      <c r="AH7" s="134">
        <f t="shared" ref="AH7:AI7" si="3">(1+(($AF7/$O7)^(1/($AF$5-$O$5))-1))*AG7</f>
        <v>171282908.95016989</v>
      </c>
      <c r="AI7" s="134">
        <f t="shared" si="3"/>
        <v>173028943.36759865</v>
      </c>
    </row>
    <row r="8" spans="2:35" s="137" customFormat="1" x14ac:dyDescent="0.2">
      <c r="B8" s="135"/>
      <c r="C8" s="537">
        <v>2025</v>
      </c>
      <c r="D8" s="537"/>
      <c r="E8" s="537">
        <v>2045</v>
      </c>
      <c r="F8" s="537"/>
      <c r="G8" s="134"/>
      <c r="H8" s="134"/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6"/>
    </row>
    <row r="9" spans="2:35" s="137" customFormat="1" ht="15" x14ac:dyDescent="0.25">
      <c r="B9" s="81" t="s">
        <v>123</v>
      </c>
      <c r="C9" s="380" t="s">
        <v>66</v>
      </c>
      <c r="D9" s="380" t="s">
        <v>8</v>
      </c>
      <c r="E9" s="380" t="s">
        <v>66</v>
      </c>
      <c r="F9" s="380" t="s">
        <v>8</v>
      </c>
      <c r="G9" s="133"/>
      <c r="H9" s="133"/>
      <c r="I9" s="133"/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38"/>
      <c r="V9" s="138"/>
      <c r="W9" s="138"/>
      <c r="X9" s="138"/>
      <c r="Y9" s="138"/>
      <c r="Z9" s="138"/>
      <c r="AA9" s="138"/>
      <c r="AB9" s="138"/>
      <c r="AC9" s="138"/>
      <c r="AD9" s="138"/>
      <c r="AE9" s="136"/>
    </row>
    <row r="10" spans="2:35" s="137" customFormat="1" ht="15" x14ac:dyDescent="0.25">
      <c r="B10" s="81" t="s">
        <v>36</v>
      </c>
      <c r="C10" s="381">
        <f>Inputs!C64</f>
        <v>34.344449179629237</v>
      </c>
      <c r="D10" s="381">
        <f>Inputs!C64</f>
        <v>34.344449179629237</v>
      </c>
      <c r="E10" s="381">
        <f>Inputs!D64</f>
        <v>22.332052177964126</v>
      </c>
      <c r="F10" s="381">
        <f>Inputs!D64</f>
        <v>22.332052177964126</v>
      </c>
      <c r="G10" s="133"/>
      <c r="H10" s="133"/>
      <c r="I10" s="133"/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6"/>
    </row>
    <row r="11" spans="2:35" s="137" customFormat="1" ht="15" x14ac:dyDescent="0.25">
      <c r="B11" s="81" t="s">
        <v>35</v>
      </c>
      <c r="C11" s="381">
        <f>Inputs!C65</f>
        <v>39.045551855375834</v>
      </c>
      <c r="D11" s="381">
        <f>Inputs!C65</f>
        <v>39.045551855375834</v>
      </c>
      <c r="E11" s="381">
        <f>Inputs!D65</f>
        <v>32.735902636916833</v>
      </c>
      <c r="F11" s="381">
        <f>Inputs!D65</f>
        <v>32.735902636916833</v>
      </c>
      <c r="G11" s="133"/>
      <c r="H11" s="133"/>
      <c r="I11" s="133"/>
      <c r="J11" s="138"/>
      <c r="K11" s="138"/>
      <c r="L11" s="138"/>
      <c r="M11" s="138"/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8"/>
      <c r="AD11" s="138"/>
      <c r="AE11" s="136"/>
    </row>
    <row r="12" spans="2:35" s="137" customFormat="1" x14ac:dyDescent="0.2">
      <c r="B12" s="135"/>
      <c r="D12" s="81"/>
      <c r="E12" s="81"/>
      <c r="F12" s="81"/>
      <c r="G12" s="81"/>
      <c r="H12" s="81"/>
      <c r="I12" s="81"/>
      <c r="J12" s="23"/>
      <c r="K12" s="23"/>
      <c r="L12" s="150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136"/>
    </row>
    <row r="13" spans="2:35" s="137" customFormat="1" x14ac:dyDescent="0.2">
      <c r="B13" s="81"/>
      <c r="G13" s="81"/>
      <c r="H13" s="81"/>
      <c r="I13" s="81"/>
      <c r="J13" s="23"/>
      <c r="K13" s="23"/>
      <c r="L13" s="150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</row>
    <row r="14" spans="2:35" s="137" customFormat="1" x14ac:dyDescent="0.2">
      <c r="B14" s="81" t="s">
        <v>124</v>
      </c>
      <c r="C14" s="151" t="s">
        <v>66</v>
      </c>
      <c r="D14" s="151" t="s">
        <v>8</v>
      </c>
      <c r="E14" s="151" t="s">
        <v>66</v>
      </c>
      <c r="F14" s="151" t="s">
        <v>8</v>
      </c>
      <c r="G14" s="81"/>
      <c r="H14" s="81"/>
      <c r="I14" s="81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</row>
    <row r="15" spans="2:35" s="137" customFormat="1" x14ac:dyDescent="0.2">
      <c r="B15" s="81" t="s">
        <v>36</v>
      </c>
      <c r="C15" s="152">
        <f>VLOOKUP(C10,'Fuel Consumption Factors'!$A$5:$C$71,2,TRUE)</f>
        <v>3.0300000000000001E-2</v>
      </c>
      <c r="D15" s="152">
        <f>VLOOKUP(D10,'Fuel Consumption Factors'!$A$5:$C$71,3,TRUE)</f>
        <v>7.8600000000000003E-2</v>
      </c>
      <c r="E15" s="152">
        <f>VLOOKUP(E10,'Fuel Consumption Factors'!$A$5:$C$71,2,TRUE)</f>
        <v>4.3299999999999998E-2</v>
      </c>
      <c r="F15" s="152">
        <f>VLOOKUP(F10,'Fuel Consumption Factors'!$A$5:$C$71,3,TRUE)</f>
        <v>9.6299999999999997E-2</v>
      </c>
      <c r="G15" s="81"/>
      <c r="H15" s="81"/>
      <c r="I15" s="140"/>
      <c r="J15" s="141"/>
      <c r="K15" s="141"/>
      <c r="L15" s="141"/>
      <c r="M15" s="141"/>
      <c r="N15" s="141"/>
      <c r="O15" s="141">
        <f>((O6*Inputs!$C$67*($C$15+(O5-$C$8)*($E$15-$C$15)/($E$8-$C$8)))*$C$20)+((O6*Inputs!$C$68*($D$15+(O5-$C$8)*($F$15-$D$15)/($E$8-$C$8)))*$D$20)</f>
        <v>15804649.170747384</v>
      </c>
      <c r="P15" s="141">
        <f>((P6*Inputs!$C$67*($C$15+(P5-$C$8)*($E$15-$C$15)/($E$8-$C$8)))*$C$20)+((P6*Inputs!$C$68*($D$15+(P5-$C$8)*($F$15-$D$15)/($E$8-$C$8)))*$D$20)</f>
        <v>16218205.272792861</v>
      </c>
      <c r="Q15" s="141">
        <f>((Q6*Inputs!$C$67*($C$15+(Q5-$C$8)*($E$15-$C$15)/($E$8-$C$8)))*$C$20)+((Q6*Inputs!$C$68*($D$15+(Q5-$C$8)*($F$15-$D$15)/($E$8-$C$8)))*$D$20)</f>
        <v>16637706.316426262</v>
      </c>
      <c r="R15" s="141">
        <f>((R6*Inputs!$C$67*($C$15+(R5-$C$8)*($E$15-$C$15)/($E$8-$C$8)))*$C$20)+((R6*Inputs!$C$68*($D$15+(R5-$C$8)*($F$15-$D$15)/($E$8-$C$8)))*$D$20)</f>
        <v>17063223.973955855</v>
      </c>
      <c r="S15" s="141">
        <f>((S6*Inputs!$C$67*($C$15+(S5-$C$8)*($E$15-$C$15)/($E$8-$C$8)))*$C$20)+((S6*Inputs!$C$68*($D$15+(S5-$C$8)*($F$15-$D$15)/($E$8-$C$8)))*$D$20)</f>
        <v>17494830.710816655</v>
      </c>
      <c r="T15" s="141">
        <f>((T6*Inputs!$C$67*($C$15+(T5-$C$8)*($E$15-$C$15)/($E$8-$C$8)))*$C$20)+((T6*Inputs!$C$68*($D$15+(T5-$C$8)*($F$15-$D$15)/($E$8-$C$8)))*$D$20)</f>
        <v>17932599.793911796</v>
      </c>
      <c r="U15" s="141">
        <f>((U6*Inputs!$C$67*($C$15+(U5-$C$8)*($E$15-$C$15)/($E$8-$C$8)))*$C$20)+((U6*Inputs!$C$68*($D$15+(U5-$C$8)*($F$15-$D$15)/($E$8-$C$8)))*$D$20)</f>
        <v>18376605.300038647</v>
      </c>
      <c r="V15" s="141">
        <f>((AA6*Inputs!$C$67*($C$15+(V5-$C$8)*($E$15-$C$15)/($E$8-$C$8)))*$C$20)+((AA6*Inputs!$C$68*($D$15+(V5-$C$8)*($F$15-$D$15)/($E$8-$C$8)))*$D$20)</f>
        <v>19650645.222758897</v>
      </c>
      <c r="W15" s="141">
        <f>((W6*$E$15*Inputs!$C$67)*$C$20)+((W6*$F$15*Inputs!$C$68)*$D$20)</f>
        <v>21936546.900072642</v>
      </c>
      <c r="X15" s="141">
        <f>((X6*$E$15*Inputs!$C$67)*$C$20)+((X6*$F$15*Inputs!$C$68)*$D$20)</f>
        <v>22125228.403630693</v>
      </c>
      <c r="Y15" s="141">
        <f>((Y6*$E$15*Inputs!$C$67)*$C$20)+((Y6*$F$15*Inputs!$C$68)*$D$20)</f>
        <v>22315532.802074932</v>
      </c>
      <c r="Z15" s="141">
        <f>((Z6*$E$15*Inputs!$C$67)*$C$20)+((Z6*$F$15*Inputs!$C$68)*$D$20)</f>
        <v>22507474.054313697</v>
      </c>
      <c r="AA15" s="141">
        <f>((AA6*$E$15*Inputs!$C$67)*$C$20)+((AA6*$F$15*Inputs!$C$68)*$D$20)</f>
        <v>22701066.239319243</v>
      </c>
      <c r="AB15" s="141">
        <f>((AB6*$E$15*Inputs!$C$67)*$C$20)+((AB6*$F$15*Inputs!$C$68)*$D$20)</f>
        <v>22896323.55716043</v>
      </c>
      <c r="AC15" s="141">
        <f>((AC6*$E$15*Inputs!$C$67)*$C$20)+((AC6*$F$15*Inputs!$C$68)*$D$20)</f>
        <v>23093260.330044322</v>
      </c>
      <c r="AD15" s="141">
        <f>((AD6*$E$15*Inputs!$C$67)*$C$20)+((AD6*$F$15*Inputs!$C$68)*$D$20)</f>
        <v>23291891.003366731</v>
      </c>
      <c r="AE15" s="141">
        <f>((AE6*$E$15*Inputs!$C$67)*$C$20)+((AE6*$F$15*Inputs!$C$68)*$D$20)</f>
        <v>23492230.146771789</v>
      </c>
      <c r="AF15" s="141">
        <f>((AF6*$E$15*Inputs!$C$67)*$C$20)+((AF6*$F$15*Inputs!$C$68)*$D$20)</f>
        <v>23694292.45522061</v>
      </c>
      <c r="AG15" s="141">
        <f>((AG6*$E$15*Inputs!$C$67)*$C$20)+((AG6*$F$15*Inputs!$C$68)*$D$20)</f>
        <v>23898092.750069212</v>
      </c>
      <c r="AH15" s="141">
        <f>((AH6*$E$15*Inputs!$C$67)*$C$20)+((AH6*$F$15*Inputs!$C$68)*$D$20)</f>
        <v>24103645.980155662</v>
      </c>
      <c r="AI15" s="141">
        <f>((AI6*$E$15*Inputs!$C$67)*$C$20)+((AI6*$F$15*Inputs!$C$68)*$D$20)</f>
        <v>24310967.222896535</v>
      </c>
    </row>
    <row r="16" spans="2:35" s="137" customFormat="1" x14ac:dyDescent="0.2">
      <c r="B16" s="81" t="s">
        <v>35</v>
      </c>
      <c r="C16" s="152">
        <f>VLOOKUP(C11,'Fuel Consumption Factors'!$A$5:$C$71,2,TRUE)</f>
        <v>2.8000000000000001E-2</v>
      </c>
      <c r="D16" s="152">
        <f>VLOOKUP(D11,'Fuel Consumption Factors'!$A$5:$C$71,3,TRUE)</f>
        <v>7.9000000000000001E-2</v>
      </c>
      <c r="E16" s="152">
        <f>VLOOKUP(E11,'Fuel Consumption Factors'!$A$5:$C$71,2,TRUE)</f>
        <v>3.1600000000000003E-2</v>
      </c>
      <c r="F16" s="152">
        <f>VLOOKUP(F11,'Fuel Consumption Factors'!$A$5:$C$71,3,TRUE)</f>
        <v>7.6300000000000007E-2</v>
      </c>
      <c r="G16" s="81"/>
      <c r="H16" s="81"/>
      <c r="I16" s="140"/>
      <c r="J16" s="141"/>
      <c r="K16" s="141"/>
      <c r="L16" s="141"/>
      <c r="M16" s="141"/>
      <c r="N16" s="141"/>
      <c r="O16" s="141">
        <f>((O7*Inputs!$C$67*($C$16+(O5-$C$8)*($E$16-$C$16)/($E$8-$C$8)))*$C$20)+((O7*Inputs!$C$68*($D$16+(O5-$C$8)*($F$16-$D$16)/($E$8-$C$8)))*$D$20)</f>
        <v>14719891.574698908</v>
      </c>
      <c r="P16" s="141">
        <f>((P7*Inputs!$C$67*($C$16+(P5-$C$8)*($E$16-$C$16)/($E$8-$C$8)))*$C$20)+((P7*Inputs!$C$68*($D$16+(P5-$C$8)*($F$16-$D$16)/($E$8-$C$8)))*$D$20)</f>
        <v>14926192.103338365</v>
      </c>
      <c r="Q16" s="141">
        <f>((Q7*Inputs!$C$67*($C$16+(Q5-$C$8)*($E$16-$C$16)/($E$8-$C$8)))*$C$20)+((Q7*Inputs!$C$68*($D$16+(Q5-$C$8)*($F$16-$D$16)/($E$8-$C$8)))*$D$20)</f>
        <v>15135169.015349898</v>
      </c>
      <c r="R16" s="141">
        <f>((R7*Inputs!$C$67*($C$16+(R5-$C$8)*($E$16-$C$16)/($E$8-$C$8)))*$C$20)+((R7*Inputs!$C$68*($D$16+(R5-$C$8)*($F$16-$D$16)/($E$8-$C$8)))*$D$20)</f>
        <v>15346855.438416742</v>
      </c>
      <c r="S16" s="141">
        <f>((S7*Inputs!$C$67*($C$16+(S5-$C$8)*($E$16-$C$16)/($E$8-$C$8)))*$C$20)+((S7*Inputs!$C$68*($D$16+(S5-$C$8)*($F$16-$D$16)/($E$8-$C$8)))*$D$20)</f>
        <v>15561284.8975043</v>
      </c>
      <c r="T16" s="141">
        <f>((T7*Inputs!$C$67*($C$16+(T5-$C$8)*($E$16-$C$16)/($E$8-$C$8)))*$C$20)+((T7*Inputs!$C$68*($D$16+(T5-$C$8)*($F$16-$D$16)/($E$8-$C$8)))*$D$20)</f>
        <v>15778491.31951737</v>
      </c>
      <c r="U16" s="141">
        <f>((U7*Inputs!$C$67*($C$16+(U5-$C$8)*($E$16-$C$16)/($E$8-$C$8)))*$C$20)+((U7*Inputs!$C$68*($D$16+(U5-$C$8)*($F$16-$D$16)/($E$8-$C$8)))*$D$20)</f>
        <v>15998509.038011014</v>
      </c>
      <c r="V16" s="141">
        <f>((AA7*Inputs!$C$67*($C$16+(V5-$C$8)*($E$16-$C$16)/($E$8-$C$8)))*$C$20)+((AA7*Inputs!$C$68*($D$16+(V5-$C$8)*($F$16-$D$16)/($E$8-$C$8)))*$D$20)</f>
        <v>17065194.136754569</v>
      </c>
      <c r="W16" s="141">
        <f>((W7*$E$16*Inputs!$C$67)*$C$20)+((W7*$F$16*Inputs!$C$68)*$D$20)</f>
        <v>16990596.433471058</v>
      </c>
      <c r="X16" s="141">
        <f>((X7*$E$16*Inputs!$C$67)*$C$20)+((X7*$F$16*Inputs!$C$68)*$D$20)</f>
        <v>17163796.236809954</v>
      </c>
      <c r="Y16" s="141">
        <f>((Y7*$E$16*Inputs!$C$67)*$C$20)+((Y7*$F$16*Inputs!$C$68)*$D$20)</f>
        <v>17338761.615124047</v>
      </c>
      <c r="Z16" s="141">
        <f>((Z7*$E$16*Inputs!$C$67)*$C$20)+((Z7*$F$16*Inputs!$C$68)*$D$20)</f>
        <v>17515510.566441812</v>
      </c>
      <c r="AA16" s="141">
        <f>((AA7*$E$16*Inputs!$C$67)*$C$20)+((AA7*$F$16*Inputs!$C$68)*$D$20)</f>
        <v>17694061.272261161</v>
      </c>
      <c r="AB16" s="141">
        <f>((AB7*$E$16*Inputs!$C$67)*$C$20)+((AB7*$F$16*Inputs!$C$68)*$D$20)</f>
        <v>17874432.099419691</v>
      </c>
      <c r="AC16" s="141">
        <f>((AC7*$E$16*Inputs!$C$67)*$C$20)+((AC7*$F$16*Inputs!$C$68)*$D$20)</f>
        <v>18056641.601984009</v>
      </c>
      <c r="AD16" s="141">
        <f>((AD7*$E$16*Inputs!$C$67)*$C$20)+((AD7*$F$16*Inputs!$C$68)*$D$20)</f>
        <v>18240708.523158334</v>
      </c>
      <c r="AE16" s="141">
        <f>((AE7*$E$16*Inputs!$C$67)*$C$20)+((AE7*$F$16*Inputs!$C$68)*$D$20)</f>
        <v>18426651.797212526</v>
      </c>
      <c r="AF16" s="141">
        <f>((AF7*$E$16*Inputs!$C$67)*$C$20)+((AF7*$F$16*Inputs!$C$68)*$D$20)</f>
        <v>18614490.551429763</v>
      </c>
      <c r="AG16" s="141">
        <f>((AG7*$E$16*Inputs!$C$67)*$C$20)+((AG7*$F$16*Inputs!$C$68)*$D$20)</f>
        <v>18804244.108074192</v>
      </c>
      <c r="AH16" s="141">
        <f>((AH7*$E$16*Inputs!$C$67)*$C$20)+((AH7*$F$16*Inputs!$C$68)*$D$20)</f>
        <v>18995931.986378394</v>
      </c>
      <c r="AI16" s="141">
        <f>((AI7*$E$16*Inputs!$C$67)*$C$20)+((AI7*$F$16*Inputs!$C$68)*$D$20)</f>
        <v>19189573.904551338</v>
      </c>
    </row>
    <row r="17" spans="2:35" s="137" customFormat="1" x14ac:dyDescent="0.2">
      <c r="B17" s="81"/>
      <c r="C17" s="133"/>
      <c r="D17" s="133"/>
      <c r="E17" s="133"/>
      <c r="F17" s="133"/>
      <c r="G17" s="133"/>
      <c r="H17" s="133"/>
      <c r="I17" s="133"/>
      <c r="J17" s="138"/>
      <c r="K17" s="138"/>
      <c r="L17" s="138"/>
      <c r="M17" s="138"/>
      <c r="N17" s="138"/>
      <c r="O17" s="138"/>
      <c r="P17" s="138"/>
      <c r="Q17" s="138"/>
      <c r="R17" s="138"/>
      <c r="S17" s="138"/>
      <c r="T17" s="138"/>
      <c r="U17" s="138"/>
      <c r="V17" s="138"/>
      <c r="W17" s="138"/>
      <c r="X17" s="138"/>
      <c r="Y17" s="138"/>
      <c r="Z17" s="138"/>
      <c r="AA17" s="138"/>
      <c r="AB17" s="138"/>
      <c r="AC17" s="138"/>
      <c r="AD17" s="138"/>
      <c r="AE17" s="136"/>
    </row>
    <row r="18" spans="2:35" s="137" customFormat="1" x14ac:dyDescent="0.2">
      <c r="B18" s="135" t="s">
        <v>122</v>
      </c>
      <c r="D18" s="81"/>
      <c r="E18" s="81"/>
      <c r="F18" s="81"/>
      <c r="G18" s="81"/>
      <c r="H18" s="81"/>
      <c r="I18" s="81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136"/>
    </row>
    <row r="19" spans="2:35" s="137" customFormat="1" x14ac:dyDescent="0.2">
      <c r="B19" s="81"/>
      <c r="C19" s="151" t="s">
        <v>66</v>
      </c>
      <c r="D19" s="151" t="s">
        <v>8</v>
      </c>
      <c r="E19" s="85"/>
      <c r="F19" s="85"/>
      <c r="G19" s="81"/>
      <c r="H19" s="81"/>
      <c r="I19" s="81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</row>
    <row r="20" spans="2:35" s="137" customFormat="1" x14ac:dyDescent="0.2">
      <c r="B20" s="81" t="s">
        <v>124</v>
      </c>
      <c r="C20" s="153">
        <f>Inputs!C18</f>
        <v>2.91</v>
      </c>
      <c r="D20" s="153">
        <f>Inputs!C19</f>
        <v>2.9790000000000001</v>
      </c>
      <c r="E20" s="154"/>
      <c r="F20" s="154"/>
      <c r="G20" s="81"/>
      <c r="H20" s="81"/>
      <c r="I20" s="81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</row>
    <row r="21" spans="2:35" s="137" customFormat="1" x14ac:dyDescent="0.2">
      <c r="B21" s="81" t="s">
        <v>36</v>
      </c>
      <c r="C21" s="143"/>
      <c r="D21" s="139"/>
      <c r="E21" s="81"/>
      <c r="F21" s="81"/>
      <c r="G21" s="81"/>
      <c r="H21" s="81"/>
      <c r="I21" s="140"/>
      <c r="J21" s="141"/>
      <c r="K21" s="141"/>
      <c r="L21" s="141"/>
      <c r="M21" s="141"/>
      <c r="N21" s="141"/>
      <c r="O21" s="141"/>
      <c r="P21" s="141"/>
      <c r="Q21" s="141"/>
      <c r="R21" s="141"/>
      <c r="S21" s="141"/>
      <c r="T21" s="141"/>
      <c r="U21" s="141"/>
      <c r="V21" s="141"/>
      <c r="W21" s="141"/>
      <c r="X21" s="141"/>
      <c r="Y21" s="141"/>
      <c r="Z21" s="141"/>
      <c r="AA21" s="141"/>
      <c r="AB21" s="141"/>
      <c r="AC21" s="141"/>
      <c r="AD21" s="141"/>
      <c r="AE21" s="142"/>
    </row>
    <row r="22" spans="2:35" s="137" customFormat="1" x14ac:dyDescent="0.2">
      <c r="B22" s="81" t="s">
        <v>35</v>
      </c>
      <c r="C22" s="143"/>
      <c r="D22" s="139"/>
      <c r="E22" s="81"/>
      <c r="F22" s="81"/>
      <c r="G22" s="81"/>
      <c r="H22" s="81"/>
      <c r="I22" s="140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1"/>
      <c r="V22" s="141"/>
      <c r="W22" s="141"/>
      <c r="X22" s="141"/>
      <c r="Y22" s="141"/>
      <c r="Z22" s="141"/>
      <c r="AA22" s="141"/>
      <c r="AB22" s="141"/>
      <c r="AC22" s="141"/>
      <c r="AD22" s="141"/>
      <c r="AE22" s="142"/>
    </row>
    <row r="23" spans="2:35" s="137" customFormat="1" x14ac:dyDescent="0.2">
      <c r="B23" s="81"/>
      <c r="C23" s="81"/>
      <c r="D23" s="81"/>
      <c r="E23" s="81"/>
      <c r="F23" s="81"/>
      <c r="G23" s="81"/>
      <c r="H23" s="81"/>
      <c r="I23" s="140"/>
      <c r="J23" s="141"/>
      <c r="K23" s="141"/>
      <c r="L23" s="141"/>
      <c r="M23" s="141"/>
      <c r="N23" s="141"/>
      <c r="O23" s="141"/>
      <c r="P23" s="141"/>
      <c r="Q23" s="141"/>
      <c r="R23" s="141"/>
      <c r="S23" s="141"/>
      <c r="T23" s="141"/>
      <c r="U23" s="141"/>
      <c r="V23" s="141"/>
      <c r="W23" s="141"/>
      <c r="X23" s="141"/>
      <c r="Y23" s="141"/>
      <c r="Z23" s="141"/>
      <c r="AA23" s="141"/>
      <c r="AB23" s="141"/>
      <c r="AC23" s="141"/>
      <c r="AD23" s="141"/>
      <c r="AE23" s="142"/>
    </row>
    <row r="24" spans="2:35" s="137" customFormat="1" x14ac:dyDescent="0.2">
      <c r="B24" s="135" t="s">
        <v>125</v>
      </c>
      <c r="C24" s="81"/>
      <c r="D24" s="81"/>
      <c r="E24" s="81"/>
      <c r="F24" s="81"/>
      <c r="G24" s="81"/>
      <c r="H24" s="81"/>
      <c r="I24" s="140"/>
      <c r="J24" s="141"/>
      <c r="K24" s="141"/>
      <c r="L24" s="141"/>
      <c r="M24" s="141"/>
      <c r="N24" s="141"/>
      <c r="O24" s="141"/>
      <c r="P24" s="141"/>
      <c r="Q24" s="141"/>
      <c r="R24" s="141"/>
      <c r="S24" s="141"/>
      <c r="T24" s="141"/>
      <c r="U24" s="141"/>
      <c r="V24" s="141"/>
      <c r="W24" s="141"/>
      <c r="X24" s="141"/>
      <c r="Y24" s="141"/>
      <c r="Z24" s="141"/>
      <c r="AA24" s="141"/>
      <c r="AB24" s="141"/>
      <c r="AC24" s="141"/>
      <c r="AD24" s="141"/>
      <c r="AE24" s="142"/>
    </row>
    <row r="25" spans="2:35" s="137" customFormat="1" x14ac:dyDescent="0.2">
      <c r="B25" s="81" t="s">
        <v>36</v>
      </c>
      <c r="C25" s="81"/>
      <c r="D25" s="81"/>
      <c r="E25" s="81"/>
      <c r="F25" s="81"/>
      <c r="G25" s="81"/>
      <c r="H25" s="81"/>
      <c r="I25" s="140"/>
      <c r="J25" s="140"/>
      <c r="K25" s="140"/>
      <c r="L25" s="140"/>
      <c r="M25" s="140"/>
      <c r="N25" s="140"/>
      <c r="O25" s="140">
        <f t="shared" ref="O25" si="4">O15</f>
        <v>15804649.170747384</v>
      </c>
      <c r="P25" s="140">
        <f t="shared" ref="P25:AG25" si="5">P15</f>
        <v>16218205.272792861</v>
      </c>
      <c r="Q25" s="140">
        <f t="shared" si="5"/>
        <v>16637706.316426262</v>
      </c>
      <c r="R25" s="140">
        <f t="shared" si="5"/>
        <v>17063223.973955855</v>
      </c>
      <c r="S25" s="140">
        <f t="shared" si="5"/>
        <v>17494830.710816655</v>
      </c>
      <c r="T25" s="140">
        <f t="shared" si="5"/>
        <v>17932599.793911796</v>
      </c>
      <c r="U25" s="140">
        <f t="shared" si="5"/>
        <v>18376605.300038647</v>
      </c>
      <c r="V25" s="140">
        <f t="shared" si="5"/>
        <v>19650645.222758897</v>
      </c>
      <c r="W25" s="140">
        <f t="shared" si="5"/>
        <v>21936546.900072642</v>
      </c>
      <c r="X25" s="140">
        <f t="shared" si="5"/>
        <v>22125228.403630693</v>
      </c>
      <c r="Y25" s="140">
        <f t="shared" si="5"/>
        <v>22315532.802074932</v>
      </c>
      <c r="Z25" s="140">
        <f t="shared" si="5"/>
        <v>22507474.054313697</v>
      </c>
      <c r="AA25" s="140">
        <f t="shared" si="5"/>
        <v>22701066.239319243</v>
      </c>
      <c r="AB25" s="140">
        <f t="shared" si="5"/>
        <v>22896323.55716043</v>
      </c>
      <c r="AC25" s="140">
        <f t="shared" si="5"/>
        <v>23093260.330044322</v>
      </c>
      <c r="AD25" s="140">
        <f t="shared" si="5"/>
        <v>23291891.003366731</v>
      </c>
      <c r="AE25" s="140">
        <f t="shared" si="5"/>
        <v>23492230.146771789</v>
      </c>
      <c r="AF25" s="140">
        <f t="shared" si="5"/>
        <v>23694292.45522061</v>
      </c>
      <c r="AG25" s="140">
        <f t="shared" si="5"/>
        <v>23898092.750069212</v>
      </c>
      <c r="AH25" s="140">
        <f t="shared" ref="AH25:AI25" si="6">AH15</f>
        <v>24103645.980155662</v>
      </c>
      <c r="AI25" s="140">
        <f t="shared" si="6"/>
        <v>24310967.222896535</v>
      </c>
    </row>
    <row r="26" spans="2:35" s="137" customFormat="1" x14ac:dyDescent="0.2">
      <c r="B26" s="81" t="s">
        <v>35</v>
      </c>
      <c r="C26" s="81"/>
      <c r="D26" s="81"/>
      <c r="E26" s="81"/>
      <c r="F26" s="81"/>
      <c r="G26" s="81"/>
      <c r="H26" s="81"/>
      <c r="I26" s="140"/>
      <c r="J26" s="140"/>
      <c r="K26" s="140"/>
      <c r="L26" s="140"/>
      <c r="M26" s="140"/>
      <c r="N26" s="140"/>
      <c r="O26" s="140">
        <f t="shared" ref="O26" si="7">O16</f>
        <v>14719891.574698908</v>
      </c>
      <c r="P26" s="140">
        <f t="shared" ref="P26:AG26" si="8">P16</f>
        <v>14926192.103338365</v>
      </c>
      <c r="Q26" s="140">
        <f t="shared" si="8"/>
        <v>15135169.015349898</v>
      </c>
      <c r="R26" s="140">
        <f t="shared" si="8"/>
        <v>15346855.438416742</v>
      </c>
      <c r="S26" s="140">
        <f t="shared" si="8"/>
        <v>15561284.8975043</v>
      </c>
      <c r="T26" s="140">
        <f t="shared" si="8"/>
        <v>15778491.31951737</v>
      </c>
      <c r="U26" s="140">
        <f t="shared" si="8"/>
        <v>15998509.038011014</v>
      </c>
      <c r="V26" s="140">
        <f t="shared" si="8"/>
        <v>17065194.136754569</v>
      </c>
      <c r="W26" s="140">
        <f t="shared" si="8"/>
        <v>16990596.433471058</v>
      </c>
      <c r="X26" s="140">
        <f t="shared" si="8"/>
        <v>17163796.236809954</v>
      </c>
      <c r="Y26" s="140">
        <f t="shared" si="8"/>
        <v>17338761.615124047</v>
      </c>
      <c r="Z26" s="140">
        <f t="shared" si="8"/>
        <v>17515510.566441812</v>
      </c>
      <c r="AA26" s="140">
        <f t="shared" si="8"/>
        <v>17694061.272261161</v>
      </c>
      <c r="AB26" s="140">
        <f t="shared" si="8"/>
        <v>17874432.099419691</v>
      </c>
      <c r="AC26" s="140">
        <f t="shared" si="8"/>
        <v>18056641.601984009</v>
      </c>
      <c r="AD26" s="140">
        <f t="shared" si="8"/>
        <v>18240708.523158334</v>
      </c>
      <c r="AE26" s="140">
        <f t="shared" si="8"/>
        <v>18426651.797212526</v>
      </c>
      <c r="AF26" s="140">
        <f t="shared" si="8"/>
        <v>18614490.551429763</v>
      </c>
      <c r="AG26" s="140">
        <f t="shared" si="8"/>
        <v>18804244.108074192</v>
      </c>
      <c r="AH26" s="140">
        <f t="shared" ref="AH26:AI26" si="9">AH16</f>
        <v>18995931.986378394</v>
      </c>
      <c r="AI26" s="140">
        <f t="shared" si="9"/>
        <v>19189573.904551338</v>
      </c>
    </row>
    <row r="27" spans="2:35" ht="7.5" customHeight="1" x14ac:dyDescent="0.2">
      <c r="B27" s="81"/>
      <c r="C27" s="81"/>
      <c r="D27" s="81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</row>
    <row r="28" spans="2:35" x14ac:dyDescent="0.2">
      <c r="B28" s="146" t="s">
        <v>39</v>
      </c>
      <c r="C28" s="130"/>
      <c r="D28" s="130"/>
      <c r="E28" s="130"/>
      <c r="F28" s="130"/>
      <c r="G28" s="130"/>
      <c r="H28" s="130"/>
      <c r="I28" s="147"/>
      <c r="J28" s="147"/>
      <c r="K28" s="147"/>
      <c r="L28" s="147"/>
      <c r="M28" s="147"/>
      <c r="N28" s="147"/>
      <c r="O28" s="147">
        <f t="shared" ref="O28" si="10">O25-O26</f>
        <v>1084757.5960484762</v>
      </c>
      <c r="P28" s="147">
        <f t="shared" ref="P28:AG28" si="11">P25-P26</f>
        <v>1292013.1694544964</v>
      </c>
      <c r="Q28" s="147">
        <f t="shared" si="11"/>
        <v>1502537.3010763638</v>
      </c>
      <c r="R28" s="147">
        <f t="shared" si="11"/>
        <v>1716368.535539113</v>
      </c>
      <c r="S28" s="147">
        <f t="shared" si="11"/>
        <v>1933545.8133123554</v>
      </c>
      <c r="T28" s="147">
        <f t="shared" si="11"/>
        <v>2154108.4743944257</v>
      </c>
      <c r="U28" s="147">
        <f t="shared" si="11"/>
        <v>2378096.2620276324</v>
      </c>
      <c r="V28" s="147">
        <f t="shared" si="11"/>
        <v>2585451.086004328</v>
      </c>
      <c r="W28" s="147">
        <f t="shared" si="11"/>
        <v>4945950.4666015841</v>
      </c>
      <c r="X28" s="147">
        <f t="shared" si="11"/>
        <v>4961432.1668207385</v>
      </c>
      <c r="Y28" s="147">
        <f t="shared" si="11"/>
        <v>4976771.1869508848</v>
      </c>
      <c r="Z28" s="147">
        <f t="shared" si="11"/>
        <v>4991963.4878718853</v>
      </c>
      <c r="AA28" s="147">
        <f t="shared" si="11"/>
        <v>5007004.9670580812</v>
      </c>
      <c r="AB28" s="147">
        <f t="shared" si="11"/>
        <v>5021891.457740739</v>
      </c>
      <c r="AC28" s="147">
        <f t="shared" si="11"/>
        <v>5036618.7280603126</v>
      </c>
      <c r="AD28" s="147">
        <f t="shared" si="11"/>
        <v>5051182.4802083969</v>
      </c>
      <c r="AE28" s="147">
        <f t="shared" si="11"/>
        <v>5065578.3495592624</v>
      </c>
      <c r="AF28" s="147">
        <f t="shared" si="11"/>
        <v>5079801.9037908465</v>
      </c>
      <c r="AG28" s="147">
        <f t="shared" si="11"/>
        <v>5093848.6419950202</v>
      </c>
      <c r="AH28" s="147">
        <f t="shared" ref="AH28:AI28" si="12">AH25-AH26</f>
        <v>5107713.9937772676</v>
      </c>
      <c r="AI28" s="147">
        <f t="shared" si="12"/>
        <v>5121393.3183451965</v>
      </c>
    </row>
    <row r="29" spans="2:35" x14ac:dyDescent="0.2">
      <c r="B29" s="81"/>
      <c r="C29" s="81"/>
      <c r="D29" s="81"/>
      <c r="E29" s="81"/>
      <c r="F29" s="81"/>
      <c r="G29" s="81"/>
      <c r="H29" s="81"/>
      <c r="I29" s="81"/>
      <c r="J29" s="2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</row>
    <row r="30" spans="2:35" s="137" customFormat="1" x14ac:dyDescent="0.2">
      <c r="B30" s="81"/>
      <c r="C30" s="85"/>
      <c r="D30" s="85"/>
      <c r="E30" s="85"/>
      <c r="F30" s="85"/>
      <c r="G30" s="81"/>
      <c r="H30" s="81"/>
      <c r="I30" s="81"/>
      <c r="J30" s="23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</row>
    <row r="31" spans="2:35" x14ac:dyDescent="0.2">
      <c r="B31" s="21"/>
      <c r="C31" s="84"/>
      <c r="D31" s="21"/>
      <c r="E31" s="21"/>
      <c r="F31" s="21"/>
    </row>
    <row r="32" spans="2:35" x14ac:dyDescent="0.2">
      <c r="B32" s="21"/>
      <c r="C32" s="84"/>
      <c r="D32" s="21"/>
      <c r="E32" s="21"/>
      <c r="F32" s="21"/>
      <c r="I32" s="148"/>
      <c r="J32" s="148"/>
    </row>
    <row r="33" spans="2:10" x14ac:dyDescent="0.2">
      <c r="B33" s="21"/>
      <c r="C33" s="84"/>
      <c r="D33" s="21"/>
      <c r="E33" s="21"/>
      <c r="F33" s="21"/>
      <c r="I33" s="148"/>
      <c r="J33" s="148"/>
    </row>
    <row r="34" spans="2:10" x14ac:dyDescent="0.2">
      <c r="B34" s="21"/>
      <c r="C34" s="84"/>
      <c r="D34" s="21"/>
      <c r="E34" s="21"/>
      <c r="F34" s="21"/>
      <c r="I34" s="148"/>
      <c r="J34" s="148"/>
    </row>
    <row r="35" spans="2:10" x14ac:dyDescent="0.2">
      <c r="B35" s="21"/>
      <c r="C35" s="84"/>
      <c r="D35" s="21"/>
      <c r="E35" s="21"/>
      <c r="F35" s="21"/>
    </row>
    <row r="36" spans="2:10" x14ac:dyDescent="0.2">
      <c r="C36" s="83"/>
    </row>
  </sheetData>
  <mergeCells count="2">
    <mergeCell ref="C8:D8"/>
    <mergeCell ref="E8:F8"/>
  </mergeCells>
  <pageMargins left="0.7" right="0.7" top="1" bottom="0.75" header="0.5" footer="0.5"/>
  <pageSetup scale="95" orientation="landscape" r:id="rId1"/>
  <headerFooter alignWithMargins="0">
    <oddFooter>&amp;R&amp;8&amp;P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3"/>
  <dimension ref="A1:C76"/>
  <sheetViews>
    <sheetView topLeftCell="A52" workbookViewId="0">
      <selection activeCell="E7" sqref="E7"/>
    </sheetView>
  </sheetViews>
  <sheetFormatPr defaultColWidth="9.140625" defaultRowHeight="15" x14ac:dyDescent="0.25"/>
  <cols>
    <col min="1" max="1" width="12.85546875" style="17" customWidth="1"/>
    <col min="2" max="2" width="9.140625" style="17"/>
    <col min="3" max="3" width="6.85546875" style="17" bestFit="1" customWidth="1"/>
    <col min="4" max="16384" width="9.140625" style="17"/>
  </cols>
  <sheetData>
    <row r="1" spans="1:3" x14ac:dyDescent="0.25">
      <c r="A1" s="19" t="s">
        <v>131</v>
      </c>
    </row>
    <row r="3" spans="1:3" x14ac:dyDescent="0.25">
      <c r="B3" s="538" t="s">
        <v>52</v>
      </c>
      <c r="C3" s="538"/>
    </row>
    <row r="4" spans="1:3" s="104" customFormat="1" x14ac:dyDescent="0.2">
      <c r="A4" s="283" t="s">
        <v>53</v>
      </c>
      <c r="B4" s="166" t="s">
        <v>136</v>
      </c>
      <c r="C4" s="165" t="s">
        <v>5</v>
      </c>
    </row>
    <row r="5" spans="1:3" x14ac:dyDescent="0.25">
      <c r="A5" s="167">
        <v>5</v>
      </c>
      <c r="B5" s="168">
        <v>0.1024</v>
      </c>
      <c r="C5" s="169">
        <v>0.2112</v>
      </c>
    </row>
    <row r="6" spans="1:3" x14ac:dyDescent="0.25">
      <c r="A6" s="167">
        <v>6</v>
      </c>
      <c r="B6" s="168">
        <v>9.7100000000000006E-2</v>
      </c>
      <c r="C6" s="169">
        <v>0.2056</v>
      </c>
    </row>
    <row r="7" spans="1:3" x14ac:dyDescent="0.25">
      <c r="A7" s="167">
        <v>7</v>
      </c>
      <c r="B7" s="168">
        <v>9.1899999999999996E-2</v>
      </c>
      <c r="C7" s="169">
        <v>0.2</v>
      </c>
    </row>
    <row r="8" spans="1:3" x14ac:dyDescent="0.25">
      <c r="A8" s="167">
        <v>8</v>
      </c>
      <c r="B8" s="168">
        <v>8.6699999999999999E-2</v>
      </c>
      <c r="C8" s="169">
        <v>0.19439999999999999</v>
      </c>
    </row>
    <row r="9" spans="1:3" x14ac:dyDescent="0.25">
      <c r="A9" s="167">
        <v>9</v>
      </c>
      <c r="B9" s="168">
        <v>8.1500000000000003E-2</v>
      </c>
      <c r="C9" s="169">
        <v>0.1888</v>
      </c>
    </row>
    <row r="10" spans="1:3" x14ac:dyDescent="0.25">
      <c r="A10" s="167">
        <v>10</v>
      </c>
      <c r="B10" s="168">
        <v>7.6300000000000007E-2</v>
      </c>
      <c r="C10" s="169">
        <v>0.1832</v>
      </c>
    </row>
    <row r="11" spans="1:3" x14ac:dyDescent="0.25">
      <c r="A11" s="167">
        <v>11</v>
      </c>
      <c r="B11" s="168">
        <v>7.2700000000000001E-2</v>
      </c>
      <c r="C11" s="169">
        <v>0.17069999999999999</v>
      </c>
    </row>
    <row r="12" spans="1:3" x14ac:dyDescent="0.25">
      <c r="A12" s="167">
        <v>12</v>
      </c>
      <c r="B12" s="168">
        <v>6.9099999999999995E-2</v>
      </c>
      <c r="C12" s="169">
        <v>0.1583</v>
      </c>
    </row>
    <row r="13" spans="1:3" x14ac:dyDescent="0.25">
      <c r="A13" s="167">
        <v>13</v>
      </c>
      <c r="B13" s="168">
        <v>6.5600000000000006E-2</v>
      </c>
      <c r="C13" s="169">
        <v>0.1459</v>
      </c>
    </row>
    <row r="14" spans="1:3" x14ac:dyDescent="0.25">
      <c r="A14" s="167">
        <v>14</v>
      </c>
      <c r="B14" s="168">
        <v>6.2E-2</v>
      </c>
      <c r="C14" s="169">
        <v>0.13350000000000001</v>
      </c>
    </row>
    <row r="15" spans="1:3" x14ac:dyDescent="0.25">
      <c r="A15" s="167">
        <v>15</v>
      </c>
      <c r="B15" s="168">
        <v>5.8400000000000001E-2</v>
      </c>
      <c r="C15" s="169">
        <v>0.1211</v>
      </c>
    </row>
    <row r="16" spans="1:3" x14ac:dyDescent="0.25">
      <c r="A16" s="167">
        <v>16</v>
      </c>
      <c r="B16" s="168">
        <v>5.6000000000000001E-2</v>
      </c>
      <c r="C16" s="169">
        <v>0.1181</v>
      </c>
    </row>
    <row r="17" spans="1:3" x14ac:dyDescent="0.25">
      <c r="A17" s="167">
        <v>17</v>
      </c>
      <c r="B17" s="168">
        <v>5.3600000000000002E-2</v>
      </c>
      <c r="C17" s="169">
        <v>0.115</v>
      </c>
    </row>
    <row r="18" spans="1:3" x14ac:dyDescent="0.25">
      <c r="A18" s="167">
        <v>18</v>
      </c>
      <c r="B18" s="168">
        <v>5.1299999999999998E-2</v>
      </c>
      <c r="C18" s="169">
        <v>0.112</v>
      </c>
    </row>
    <row r="19" spans="1:3" x14ac:dyDescent="0.25">
      <c r="A19" s="167">
        <v>19</v>
      </c>
      <c r="B19" s="168">
        <v>4.8899999999999999E-2</v>
      </c>
      <c r="C19" s="169">
        <v>0.1089</v>
      </c>
    </row>
    <row r="20" spans="1:3" x14ac:dyDescent="0.25">
      <c r="A20" s="167">
        <v>20</v>
      </c>
      <c r="B20" s="168">
        <v>4.65E-2</v>
      </c>
      <c r="C20" s="169">
        <v>0.10589999999999999</v>
      </c>
    </row>
    <row r="21" spans="1:3" x14ac:dyDescent="0.25">
      <c r="A21" s="167">
        <v>21</v>
      </c>
      <c r="B21" s="168">
        <v>4.4900000000000002E-2</v>
      </c>
      <c r="C21" s="169">
        <v>0.1011</v>
      </c>
    </row>
    <row r="22" spans="1:3" x14ac:dyDescent="0.25">
      <c r="A22" s="167">
        <v>22</v>
      </c>
      <c r="B22" s="168">
        <v>4.3299999999999998E-2</v>
      </c>
      <c r="C22" s="169">
        <v>9.6299999999999997E-2</v>
      </c>
    </row>
    <row r="23" spans="1:3" x14ac:dyDescent="0.25">
      <c r="A23" s="167">
        <v>23</v>
      </c>
      <c r="B23" s="168">
        <v>4.1700000000000001E-2</v>
      </c>
      <c r="C23" s="169">
        <v>9.1600000000000001E-2</v>
      </c>
    </row>
    <row r="24" spans="1:3" x14ac:dyDescent="0.25">
      <c r="A24" s="167">
        <v>24</v>
      </c>
      <c r="B24" s="168">
        <v>4.0099999999999997E-2</v>
      </c>
      <c r="C24" s="169">
        <v>8.6800000000000002E-2</v>
      </c>
    </row>
    <row r="25" spans="1:3" x14ac:dyDescent="0.25">
      <c r="A25" s="167">
        <v>25</v>
      </c>
      <c r="B25" s="168">
        <v>3.8399999999999997E-2</v>
      </c>
      <c r="C25" s="169">
        <v>8.2100000000000006E-2</v>
      </c>
    </row>
    <row r="26" spans="1:3" x14ac:dyDescent="0.25">
      <c r="A26" s="167">
        <v>26</v>
      </c>
      <c r="B26" s="168">
        <v>3.7400000000000003E-2</v>
      </c>
      <c r="C26" s="169">
        <v>8.0399999999999999E-2</v>
      </c>
    </row>
    <row r="27" spans="1:3" x14ac:dyDescent="0.25">
      <c r="A27" s="167">
        <v>27</v>
      </c>
      <c r="B27" s="168">
        <v>3.6299999999999999E-2</v>
      </c>
      <c r="C27" s="169">
        <v>7.8799999999999995E-2</v>
      </c>
    </row>
    <row r="28" spans="1:3" x14ac:dyDescent="0.25">
      <c r="A28" s="167">
        <v>28</v>
      </c>
      <c r="B28" s="168">
        <v>3.5200000000000002E-2</v>
      </c>
      <c r="C28" s="169">
        <v>7.7100000000000002E-2</v>
      </c>
    </row>
    <row r="29" spans="1:3" x14ac:dyDescent="0.25">
      <c r="A29" s="167">
        <v>29</v>
      </c>
      <c r="B29" s="168">
        <v>3.4099999999999998E-2</v>
      </c>
      <c r="C29" s="169">
        <v>7.5499999999999998E-2</v>
      </c>
    </row>
    <row r="30" spans="1:3" x14ac:dyDescent="0.25">
      <c r="A30" s="167">
        <v>30</v>
      </c>
      <c r="B30" s="168">
        <v>3.3000000000000002E-2</v>
      </c>
      <c r="C30" s="169">
        <v>7.3800000000000004E-2</v>
      </c>
    </row>
    <row r="31" spans="1:3" x14ac:dyDescent="0.25">
      <c r="A31" s="167">
        <v>31</v>
      </c>
      <c r="B31" s="168">
        <v>3.2300000000000002E-2</v>
      </c>
      <c r="C31" s="169">
        <v>7.4999999999999997E-2</v>
      </c>
    </row>
    <row r="32" spans="1:3" x14ac:dyDescent="0.25">
      <c r="A32" s="167">
        <v>32</v>
      </c>
      <c r="B32" s="168">
        <v>3.1600000000000003E-2</v>
      </c>
      <c r="C32" s="169">
        <v>7.6300000000000007E-2</v>
      </c>
    </row>
    <row r="33" spans="1:3" x14ac:dyDescent="0.25">
      <c r="A33" s="167">
        <v>33</v>
      </c>
      <c r="B33" s="168">
        <v>3.1E-2</v>
      </c>
      <c r="C33" s="169">
        <v>7.7399999999999997E-2</v>
      </c>
    </row>
    <row r="34" spans="1:3" x14ac:dyDescent="0.25">
      <c r="A34" s="167">
        <v>34</v>
      </c>
      <c r="B34" s="168">
        <v>3.0300000000000001E-2</v>
      </c>
      <c r="C34" s="169">
        <v>7.8600000000000003E-2</v>
      </c>
    </row>
    <row r="35" spans="1:3" x14ac:dyDescent="0.25">
      <c r="A35" s="167">
        <v>35</v>
      </c>
      <c r="B35" s="168">
        <v>2.9600000000000001E-2</v>
      </c>
      <c r="C35" s="169">
        <v>7.9899999999999999E-2</v>
      </c>
    </row>
    <row r="36" spans="1:3" x14ac:dyDescent="0.25">
      <c r="A36" s="167">
        <v>36</v>
      </c>
      <c r="B36" s="168">
        <v>2.92E-2</v>
      </c>
      <c r="C36" s="169">
        <v>7.9600000000000004E-2</v>
      </c>
    </row>
    <row r="37" spans="1:3" x14ac:dyDescent="0.25">
      <c r="A37" s="167">
        <v>37</v>
      </c>
      <c r="B37" s="168">
        <v>2.8799999999999999E-2</v>
      </c>
      <c r="C37" s="169">
        <v>7.9399999999999998E-2</v>
      </c>
    </row>
    <row r="38" spans="1:3" x14ac:dyDescent="0.25">
      <c r="A38" s="167">
        <v>38</v>
      </c>
      <c r="B38" s="168">
        <v>2.8400000000000002E-2</v>
      </c>
      <c r="C38" s="169">
        <v>7.9200000000000007E-2</v>
      </c>
    </row>
    <row r="39" spans="1:3" x14ac:dyDescent="0.25">
      <c r="A39" s="167">
        <v>39</v>
      </c>
      <c r="B39" s="168">
        <v>2.8000000000000001E-2</v>
      </c>
      <c r="C39" s="169">
        <v>7.9000000000000001E-2</v>
      </c>
    </row>
    <row r="40" spans="1:3" x14ac:dyDescent="0.25">
      <c r="A40" s="167">
        <v>40</v>
      </c>
      <c r="B40" s="168">
        <v>2.76E-2</v>
      </c>
      <c r="C40" s="169">
        <v>7.8799999999999995E-2</v>
      </c>
    </row>
    <row r="41" spans="1:3" x14ac:dyDescent="0.25">
      <c r="A41" s="167">
        <v>41</v>
      </c>
      <c r="B41" s="168">
        <v>2.7400000000000001E-2</v>
      </c>
      <c r="C41" s="169">
        <v>7.9600000000000004E-2</v>
      </c>
    </row>
    <row r="42" spans="1:3" x14ac:dyDescent="0.25">
      <c r="A42" s="167">
        <v>42</v>
      </c>
      <c r="B42" s="168">
        <v>2.7199999999999998E-2</v>
      </c>
      <c r="C42" s="169">
        <v>8.0399999999999999E-2</v>
      </c>
    </row>
    <row r="43" spans="1:3" x14ac:dyDescent="0.25">
      <c r="A43" s="167">
        <v>43</v>
      </c>
      <c r="B43" s="168">
        <v>2.7E-2</v>
      </c>
      <c r="C43" s="169">
        <v>8.1199999999999994E-2</v>
      </c>
    </row>
    <row r="44" spans="1:3" x14ac:dyDescent="0.25">
      <c r="A44" s="167">
        <v>44</v>
      </c>
      <c r="B44" s="168">
        <v>2.6800000000000001E-2</v>
      </c>
      <c r="C44" s="169">
        <v>8.2000000000000003E-2</v>
      </c>
    </row>
    <row r="45" spans="1:3" x14ac:dyDescent="0.25">
      <c r="A45" s="167">
        <v>45</v>
      </c>
      <c r="B45" s="168">
        <v>2.6599999999999999E-2</v>
      </c>
      <c r="C45" s="169">
        <v>8.2799999999999999E-2</v>
      </c>
    </row>
    <row r="46" spans="1:3" x14ac:dyDescent="0.25">
      <c r="A46" s="167">
        <v>46</v>
      </c>
      <c r="B46" s="168">
        <v>2.6599999999999999E-2</v>
      </c>
      <c r="C46" s="169">
        <v>8.2600000000000007E-2</v>
      </c>
    </row>
    <row r="47" spans="1:3" x14ac:dyDescent="0.25">
      <c r="A47" s="167">
        <v>47</v>
      </c>
      <c r="B47" s="168">
        <v>2.6599999999999999E-2</v>
      </c>
      <c r="C47" s="169">
        <v>8.2400000000000001E-2</v>
      </c>
    </row>
    <row r="48" spans="1:3" x14ac:dyDescent="0.25">
      <c r="A48" s="167">
        <v>48</v>
      </c>
      <c r="B48" s="168">
        <v>2.6599999999999999E-2</v>
      </c>
      <c r="C48" s="169">
        <v>8.2100000000000006E-2</v>
      </c>
    </row>
    <row r="49" spans="1:3" x14ac:dyDescent="0.25">
      <c r="A49" s="167">
        <v>49</v>
      </c>
      <c r="B49" s="168">
        <v>2.6599999999999999E-2</v>
      </c>
      <c r="C49" s="169">
        <v>8.1900000000000001E-2</v>
      </c>
    </row>
    <row r="50" spans="1:3" x14ac:dyDescent="0.25">
      <c r="A50" s="167">
        <v>50</v>
      </c>
      <c r="B50" s="168">
        <v>2.6599999999999999E-2</v>
      </c>
      <c r="C50" s="169">
        <v>8.1699999999999995E-2</v>
      </c>
    </row>
    <row r="51" spans="1:3" x14ac:dyDescent="0.25">
      <c r="A51" s="167">
        <v>51</v>
      </c>
      <c r="B51" s="168">
        <v>2.6800000000000001E-2</v>
      </c>
      <c r="C51" s="169">
        <v>8.2600000000000007E-2</v>
      </c>
    </row>
    <row r="52" spans="1:3" x14ac:dyDescent="0.25">
      <c r="A52" s="167">
        <v>52</v>
      </c>
      <c r="B52" s="168">
        <v>2.7E-2</v>
      </c>
      <c r="C52" s="169">
        <v>8.3400000000000002E-2</v>
      </c>
    </row>
    <row r="53" spans="1:3" x14ac:dyDescent="0.25">
      <c r="A53" s="167">
        <v>53</v>
      </c>
      <c r="B53" s="168">
        <v>2.7199999999999998E-2</v>
      </c>
      <c r="C53" s="169">
        <v>8.4199999999999997E-2</v>
      </c>
    </row>
    <row r="54" spans="1:3" x14ac:dyDescent="0.25">
      <c r="A54" s="167">
        <v>54</v>
      </c>
      <c r="B54" s="168">
        <v>2.7400000000000001E-2</v>
      </c>
      <c r="C54" s="169">
        <v>8.5000000000000006E-2</v>
      </c>
    </row>
    <row r="55" spans="1:3" x14ac:dyDescent="0.25">
      <c r="A55" s="167">
        <v>55</v>
      </c>
      <c r="B55" s="168">
        <v>2.75E-2</v>
      </c>
      <c r="C55" s="169">
        <v>8.5800000000000001E-2</v>
      </c>
    </row>
    <row r="56" spans="1:3" x14ac:dyDescent="0.25">
      <c r="A56" s="167">
        <v>56</v>
      </c>
      <c r="B56" s="168">
        <v>2.7900000000000001E-2</v>
      </c>
      <c r="C56" s="169">
        <v>8.3900000000000002E-2</v>
      </c>
    </row>
    <row r="57" spans="1:3" x14ac:dyDescent="0.25">
      <c r="A57" s="167">
        <v>57</v>
      </c>
      <c r="B57" s="168">
        <v>2.8299999999999999E-2</v>
      </c>
      <c r="C57" s="169">
        <v>8.2000000000000003E-2</v>
      </c>
    </row>
    <row r="58" spans="1:3" x14ac:dyDescent="0.25">
      <c r="A58" s="167">
        <v>58</v>
      </c>
      <c r="B58" s="168">
        <v>2.86E-2</v>
      </c>
      <c r="C58" s="169">
        <v>8.0199999999999994E-2</v>
      </c>
    </row>
    <row r="59" spans="1:3" x14ac:dyDescent="0.25">
      <c r="A59" s="167">
        <v>59</v>
      </c>
      <c r="B59" s="168">
        <v>2.9000000000000001E-2</v>
      </c>
      <c r="C59" s="169">
        <v>7.8299999999999995E-2</v>
      </c>
    </row>
    <row r="60" spans="1:3" x14ac:dyDescent="0.25">
      <c r="A60" s="167">
        <v>60</v>
      </c>
      <c r="B60" s="168">
        <v>2.93E-2</v>
      </c>
      <c r="C60" s="169">
        <v>7.6399999999999996E-2</v>
      </c>
    </row>
    <row r="61" spans="1:3" x14ac:dyDescent="0.25">
      <c r="A61" s="167">
        <v>61</v>
      </c>
      <c r="B61" s="168">
        <v>0.03</v>
      </c>
      <c r="C61" s="169">
        <v>7.5600000000000001E-2</v>
      </c>
    </row>
    <row r="62" spans="1:3" x14ac:dyDescent="0.25">
      <c r="A62" s="167">
        <v>62</v>
      </c>
      <c r="B62" s="168">
        <v>3.0599999999999999E-2</v>
      </c>
      <c r="C62" s="169">
        <v>7.4899999999999994E-2</v>
      </c>
    </row>
    <row r="63" spans="1:3" x14ac:dyDescent="0.25">
      <c r="A63" s="167">
        <v>63</v>
      </c>
      <c r="B63" s="168">
        <v>3.1199999999999999E-2</v>
      </c>
      <c r="C63" s="169">
        <v>7.4099999999999999E-2</v>
      </c>
    </row>
    <row r="64" spans="1:3" x14ac:dyDescent="0.25">
      <c r="A64" s="167">
        <v>64</v>
      </c>
      <c r="B64" s="168">
        <v>3.1899999999999998E-2</v>
      </c>
      <c r="C64" s="169">
        <v>7.3400000000000007E-2</v>
      </c>
    </row>
    <row r="65" spans="1:3" x14ac:dyDescent="0.25">
      <c r="A65" s="167">
        <v>65</v>
      </c>
      <c r="B65" s="168">
        <v>3.2500000000000001E-2</v>
      </c>
      <c r="C65" s="169">
        <v>7.2599999999999998E-2</v>
      </c>
    </row>
    <row r="66" spans="1:3" x14ac:dyDescent="0.25">
      <c r="A66" s="167">
        <v>66</v>
      </c>
      <c r="B66" s="170">
        <v>3.3099999999999997E-2</v>
      </c>
      <c r="C66" s="171">
        <v>7.6499999999999999E-2</v>
      </c>
    </row>
    <row r="67" spans="1:3" x14ac:dyDescent="0.25">
      <c r="A67" s="167">
        <v>67</v>
      </c>
      <c r="B67" s="170">
        <v>3.3700000000000001E-2</v>
      </c>
      <c r="C67" s="171">
        <v>8.0399999999999999E-2</v>
      </c>
    </row>
    <row r="68" spans="1:3" x14ac:dyDescent="0.25">
      <c r="A68" s="167">
        <v>68</v>
      </c>
      <c r="B68" s="170">
        <v>3.4299999999999997E-2</v>
      </c>
      <c r="C68" s="171">
        <v>8.4199999999999997E-2</v>
      </c>
    </row>
    <row r="69" spans="1:3" x14ac:dyDescent="0.25">
      <c r="A69" s="167">
        <v>69</v>
      </c>
      <c r="B69" s="170">
        <v>3.5000000000000003E-2</v>
      </c>
      <c r="C69" s="171">
        <v>8.8099999999999998E-2</v>
      </c>
    </row>
    <row r="70" spans="1:3" x14ac:dyDescent="0.25">
      <c r="A70" s="172">
        <v>70</v>
      </c>
      <c r="B70" s="173">
        <v>3.56E-2</v>
      </c>
      <c r="C70" s="174">
        <v>9.1999999999999998E-2</v>
      </c>
    </row>
    <row r="71" spans="1:3" x14ac:dyDescent="0.25">
      <c r="A71" s="18"/>
      <c r="B71" s="20"/>
      <c r="C71" s="20"/>
    </row>
    <row r="72" spans="1:3" x14ac:dyDescent="0.25">
      <c r="A72" s="175" t="s">
        <v>132</v>
      </c>
    </row>
    <row r="73" spans="1:3" x14ac:dyDescent="0.25">
      <c r="A73" s="175" t="s">
        <v>133</v>
      </c>
    </row>
    <row r="74" spans="1:3" x14ac:dyDescent="0.25">
      <c r="A74" s="175"/>
    </row>
    <row r="75" spans="1:3" x14ac:dyDescent="0.25">
      <c r="A75" s="175" t="s">
        <v>134</v>
      </c>
    </row>
    <row r="76" spans="1:3" x14ac:dyDescent="0.25">
      <c r="A76" s="175" t="s">
        <v>135</v>
      </c>
    </row>
  </sheetData>
  <mergeCells count="1">
    <mergeCell ref="B3:C3"/>
  </mergeCells>
  <phoneticPr fontId="5" type="noConversion"/>
  <pageMargins left="0.75" right="0.75" top="1" bottom="1" header="0.5" footer="0.5"/>
  <pageSetup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W215"/>
  <sheetViews>
    <sheetView topLeftCell="A202" workbookViewId="0">
      <selection activeCell="Z14" sqref="Z14"/>
    </sheetView>
  </sheetViews>
  <sheetFormatPr defaultColWidth="9.140625" defaultRowHeight="12.75" x14ac:dyDescent="0.2"/>
  <cols>
    <col min="1" max="1" width="9.140625" style="82"/>
    <col min="2" max="2" width="5.5703125" style="82" bestFit="1" customWidth="1"/>
    <col min="3" max="3" width="5.85546875" style="82" bestFit="1" customWidth="1"/>
    <col min="4" max="4" width="7.42578125" style="82" bestFit="1" customWidth="1"/>
    <col min="5" max="5" width="8.28515625" style="82" customWidth="1"/>
    <col min="6" max="6" width="7.42578125" style="82" bestFit="1" customWidth="1"/>
    <col min="7" max="10" width="6.42578125" style="82" bestFit="1" customWidth="1"/>
    <col min="11" max="13" width="9.140625" style="82"/>
    <col min="14" max="14" width="5.5703125" style="82" bestFit="1" customWidth="1"/>
    <col min="15" max="15" width="5.85546875" style="82" bestFit="1" customWidth="1"/>
    <col min="16" max="16" width="6.42578125" style="82" bestFit="1" customWidth="1"/>
    <col min="17" max="17" width="8.28515625" style="82" customWidth="1"/>
    <col min="18" max="18" width="7.42578125" style="82" bestFit="1" customWidth="1"/>
    <col min="19" max="22" width="6.42578125" style="82" bestFit="1" customWidth="1"/>
    <col min="23" max="16384" width="9.140625" style="82"/>
  </cols>
  <sheetData>
    <row r="1" spans="1:23" ht="18.75" x14ac:dyDescent="0.3">
      <c r="A1" s="176" t="s">
        <v>114</v>
      </c>
    </row>
    <row r="2" spans="1:23" ht="13.5" thickBot="1" x14ac:dyDescent="0.25"/>
    <row r="3" spans="1:23" ht="13.5" thickTop="1" x14ac:dyDescent="0.2">
      <c r="A3" s="313"/>
      <c r="B3" s="314"/>
      <c r="C3" s="314"/>
      <c r="D3" s="314"/>
      <c r="E3" s="314"/>
      <c r="F3" s="314"/>
      <c r="G3" s="314"/>
      <c r="H3" s="314"/>
      <c r="I3" s="314"/>
      <c r="J3" s="314"/>
      <c r="K3" s="315"/>
      <c r="L3" s="308"/>
      <c r="M3" s="313"/>
      <c r="N3" s="314"/>
      <c r="O3" s="314"/>
      <c r="P3" s="314"/>
      <c r="Q3" s="314"/>
      <c r="R3" s="314"/>
      <c r="S3" s="314"/>
      <c r="T3" s="314"/>
      <c r="U3" s="314"/>
      <c r="V3" s="314"/>
      <c r="W3" s="315"/>
    </row>
    <row r="4" spans="1:23" x14ac:dyDescent="0.2">
      <c r="A4" s="316"/>
      <c r="B4" s="317" t="s">
        <v>115</v>
      </c>
      <c r="C4" s="318"/>
      <c r="D4" s="318"/>
      <c r="E4" s="318"/>
      <c r="F4" s="318"/>
      <c r="G4" s="318"/>
      <c r="H4" s="318"/>
      <c r="I4" s="318"/>
      <c r="J4" s="318"/>
      <c r="K4" s="319"/>
      <c r="L4" s="308"/>
      <c r="M4" s="316"/>
      <c r="N4" s="317" t="s">
        <v>115</v>
      </c>
      <c r="O4" s="318"/>
      <c r="P4" s="318"/>
      <c r="Q4" s="318"/>
      <c r="R4" s="318"/>
      <c r="S4" s="318"/>
      <c r="T4" s="318"/>
      <c r="U4" s="318"/>
      <c r="V4" s="318"/>
      <c r="W4" s="319"/>
    </row>
    <row r="5" spans="1:23" x14ac:dyDescent="0.2">
      <c r="A5" s="316"/>
      <c r="B5" s="320" t="s">
        <v>182</v>
      </c>
      <c r="C5" s="318"/>
      <c r="D5" s="318"/>
      <c r="E5" s="318"/>
      <c r="F5" s="318"/>
      <c r="G5" s="318"/>
      <c r="H5" s="318"/>
      <c r="I5" s="318"/>
      <c r="J5" s="318"/>
      <c r="K5" s="319"/>
      <c r="L5" s="308"/>
      <c r="M5" s="316"/>
      <c r="N5" s="320" t="s">
        <v>183</v>
      </c>
      <c r="O5" s="318"/>
      <c r="P5" s="318"/>
      <c r="Q5" s="318"/>
      <c r="R5" s="318"/>
      <c r="S5" s="318"/>
      <c r="T5" s="318"/>
      <c r="U5" s="318"/>
      <c r="V5" s="318"/>
      <c r="W5" s="319"/>
    </row>
    <row r="6" spans="1:23" x14ac:dyDescent="0.2">
      <c r="A6" s="316"/>
      <c r="B6" s="321"/>
      <c r="C6"/>
      <c r="D6"/>
      <c r="E6"/>
      <c r="F6"/>
      <c r="G6"/>
      <c r="H6"/>
      <c r="I6"/>
      <c r="J6"/>
      <c r="K6" s="319"/>
      <c r="L6" s="308"/>
      <c r="M6" s="316"/>
      <c r="N6" s="321"/>
      <c r="O6"/>
      <c r="P6"/>
      <c r="Q6"/>
      <c r="R6"/>
      <c r="S6"/>
      <c r="T6"/>
      <c r="U6"/>
      <c r="V6"/>
      <c r="W6" s="319"/>
    </row>
    <row r="7" spans="1:23" x14ac:dyDescent="0.2">
      <c r="A7" s="316"/>
      <c r="B7" s="322" t="s">
        <v>116</v>
      </c>
      <c r="C7" s="322" t="s">
        <v>117</v>
      </c>
      <c r="D7" s="323" t="s">
        <v>118</v>
      </c>
      <c r="E7" s="324" t="s">
        <v>30</v>
      </c>
      <c r="F7" s="325" t="s">
        <v>184</v>
      </c>
      <c r="G7" s="325" t="s">
        <v>58</v>
      </c>
      <c r="H7" s="325" t="s">
        <v>185</v>
      </c>
      <c r="I7" s="326" t="s">
        <v>25</v>
      </c>
      <c r="J7" s="327" t="s">
        <v>179</v>
      </c>
      <c r="K7" s="319"/>
      <c r="L7" s="308"/>
      <c r="M7" s="316"/>
      <c r="N7" s="322" t="s">
        <v>116</v>
      </c>
      <c r="O7" s="322" t="s">
        <v>117</v>
      </c>
      <c r="P7" s="323" t="s">
        <v>118</v>
      </c>
      <c r="Q7" s="324" t="s">
        <v>30</v>
      </c>
      <c r="R7" s="325" t="s">
        <v>184</v>
      </c>
      <c r="S7" s="325" t="s">
        <v>58</v>
      </c>
      <c r="T7" s="325" t="s">
        <v>185</v>
      </c>
      <c r="U7" s="326" t="s">
        <v>25</v>
      </c>
      <c r="V7" s="327" t="s">
        <v>179</v>
      </c>
      <c r="W7" s="319"/>
    </row>
    <row r="8" spans="1:23" x14ac:dyDescent="0.2">
      <c r="A8" s="316"/>
      <c r="B8" s="328" t="s">
        <v>7</v>
      </c>
      <c r="C8" s="328">
        <v>0</v>
      </c>
      <c r="D8" s="329">
        <v>2.7812000000000001</v>
      </c>
      <c r="E8" s="330">
        <v>66.681799999999996</v>
      </c>
      <c r="F8" s="331">
        <v>0.29220000000000002</v>
      </c>
      <c r="G8" s="331">
        <v>2.2000000000000001E-3</v>
      </c>
      <c r="H8" s="332">
        <v>6.9999999999999999E-4</v>
      </c>
      <c r="I8" s="333">
        <v>0.38369999999999999</v>
      </c>
      <c r="J8" s="334">
        <v>2E-3</v>
      </c>
      <c r="K8" s="319"/>
      <c r="L8" s="308"/>
      <c r="M8" s="316"/>
      <c r="N8" s="328" t="s">
        <v>7</v>
      </c>
      <c r="O8" s="328">
        <v>0</v>
      </c>
      <c r="P8" s="335">
        <v>1.6243000000000001</v>
      </c>
      <c r="Q8" s="336">
        <v>41.513399999999997</v>
      </c>
      <c r="R8" s="332">
        <v>0.1182</v>
      </c>
      <c r="S8" s="332">
        <v>8.0000000000000004E-4</v>
      </c>
      <c r="T8" s="332">
        <v>4.0000000000000002E-4</v>
      </c>
      <c r="U8" s="333">
        <v>0.1038</v>
      </c>
      <c r="V8" s="337">
        <v>6.9999999999999999E-4</v>
      </c>
      <c r="W8" s="319"/>
    </row>
    <row r="9" spans="1:23" x14ac:dyDescent="0.2">
      <c r="A9" s="316"/>
      <c r="B9" s="328"/>
      <c r="C9" s="328">
        <v>5</v>
      </c>
      <c r="D9" s="335">
        <v>2.4569000000000001</v>
      </c>
      <c r="E9" s="336">
        <v>766.88909999999998</v>
      </c>
      <c r="F9" s="332">
        <v>0.18490000000000001</v>
      </c>
      <c r="G9" s="332">
        <v>1.1900000000000001E-2</v>
      </c>
      <c r="H9" s="332">
        <v>7.6E-3</v>
      </c>
      <c r="I9" s="333">
        <v>0.21490000000000001</v>
      </c>
      <c r="J9" s="337">
        <v>1.0999999999999999E-2</v>
      </c>
      <c r="K9" s="319"/>
      <c r="L9" s="308"/>
      <c r="M9" s="316"/>
      <c r="N9" s="328"/>
      <c r="O9" s="328">
        <v>5</v>
      </c>
      <c r="P9" s="335">
        <v>1.0375000000000001</v>
      </c>
      <c r="Q9" s="336">
        <v>512.19140000000004</v>
      </c>
      <c r="R9" s="332">
        <v>4.48E-2</v>
      </c>
      <c r="S9" s="332">
        <v>4.1999999999999997E-3</v>
      </c>
      <c r="T9" s="332">
        <v>5.1000000000000004E-3</v>
      </c>
      <c r="U9" s="333">
        <v>8.7099999999999997E-2</v>
      </c>
      <c r="V9" s="337">
        <v>3.8E-3</v>
      </c>
      <c r="W9" s="319"/>
    </row>
    <row r="10" spans="1:23" x14ac:dyDescent="0.2">
      <c r="A10" s="316"/>
      <c r="B10" s="328"/>
      <c r="C10" s="328">
        <v>6</v>
      </c>
      <c r="D10" s="335">
        <v>2.3624000000000001</v>
      </c>
      <c r="E10" s="336">
        <v>736.49369999999999</v>
      </c>
      <c r="F10" s="332">
        <v>0.1767</v>
      </c>
      <c r="G10" s="332">
        <v>1.0999999999999999E-2</v>
      </c>
      <c r="H10" s="332">
        <v>7.3000000000000001E-3</v>
      </c>
      <c r="I10" s="333">
        <v>0.19789999999999999</v>
      </c>
      <c r="J10" s="337">
        <v>1.0200000000000001E-2</v>
      </c>
      <c r="K10" s="319"/>
      <c r="L10" s="308"/>
      <c r="M10" s="316"/>
      <c r="N10" s="328"/>
      <c r="O10" s="328">
        <v>6</v>
      </c>
      <c r="P10" s="335">
        <v>1.0103</v>
      </c>
      <c r="Q10" s="336">
        <v>492.79730000000001</v>
      </c>
      <c r="R10" s="332">
        <v>4.3499999999999997E-2</v>
      </c>
      <c r="S10" s="332">
        <v>3.8999999999999998E-3</v>
      </c>
      <c r="T10" s="332">
        <v>4.8999999999999998E-3</v>
      </c>
      <c r="U10" s="333">
        <v>8.1000000000000003E-2</v>
      </c>
      <c r="V10" s="337">
        <v>3.5000000000000001E-3</v>
      </c>
      <c r="W10" s="319"/>
    </row>
    <row r="11" spans="1:23" x14ac:dyDescent="0.2">
      <c r="A11" s="316"/>
      <c r="B11" s="328"/>
      <c r="C11" s="328">
        <v>7</v>
      </c>
      <c r="D11" s="335">
        <v>2.2679</v>
      </c>
      <c r="E11" s="336">
        <v>706.09829999999999</v>
      </c>
      <c r="F11" s="332">
        <v>0.16839999999999999</v>
      </c>
      <c r="G11" s="332">
        <v>1.01E-2</v>
      </c>
      <c r="H11" s="332">
        <v>7.0000000000000001E-3</v>
      </c>
      <c r="I11" s="333">
        <v>0.18090000000000001</v>
      </c>
      <c r="J11" s="337">
        <v>9.2999999999999992E-3</v>
      </c>
      <c r="K11" s="319"/>
      <c r="L11" s="308"/>
      <c r="M11" s="316"/>
      <c r="N11" s="328"/>
      <c r="O11" s="328">
        <v>7</v>
      </c>
      <c r="P11" s="335">
        <v>0.98309999999999997</v>
      </c>
      <c r="Q11" s="336">
        <v>473.40320000000003</v>
      </c>
      <c r="R11" s="332">
        <v>4.2200000000000001E-2</v>
      </c>
      <c r="S11" s="332">
        <v>3.5000000000000001E-3</v>
      </c>
      <c r="T11" s="332">
        <v>4.7000000000000002E-3</v>
      </c>
      <c r="U11" s="333">
        <v>7.4899999999999994E-2</v>
      </c>
      <c r="V11" s="337">
        <v>3.3E-3</v>
      </c>
      <c r="W11" s="319"/>
    </row>
    <row r="12" spans="1:23" x14ac:dyDescent="0.2">
      <c r="A12" s="316"/>
      <c r="B12" s="328"/>
      <c r="C12" s="328">
        <v>8</v>
      </c>
      <c r="D12" s="335">
        <v>2.1734</v>
      </c>
      <c r="E12" s="336">
        <v>675.70280000000002</v>
      </c>
      <c r="F12" s="332">
        <v>0.16020000000000001</v>
      </c>
      <c r="G12" s="332">
        <v>9.1999999999999998E-3</v>
      </c>
      <c r="H12" s="332">
        <v>6.7000000000000002E-3</v>
      </c>
      <c r="I12" s="333">
        <v>0.16389999999999999</v>
      </c>
      <c r="J12" s="337">
        <v>8.5000000000000006E-3</v>
      </c>
      <c r="K12" s="319"/>
      <c r="L12" s="308"/>
      <c r="M12" s="316"/>
      <c r="N12" s="328"/>
      <c r="O12" s="328">
        <v>8</v>
      </c>
      <c r="P12" s="335">
        <v>0.95589999999999997</v>
      </c>
      <c r="Q12" s="336">
        <v>454.00920000000002</v>
      </c>
      <c r="R12" s="332">
        <v>4.0899999999999999E-2</v>
      </c>
      <c r="S12" s="332">
        <v>3.2000000000000002E-3</v>
      </c>
      <c r="T12" s="332">
        <v>4.4999999999999997E-3</v>
      </c>
      <c r="U12" s="333">
        <v>6.88E-2</v>
      </c>
      <c r="V12" s="337">
        <v>3.0000000000000001E-3</v>
      </c>
      <c r="W12" s="319"/>
    </row>
    <row r="13" spans="1:23" x14ac:dyDescent="0.2">
      <c r="A13" s="316"/>
      <c r="B13" s="328"/>
      <c r="C13" s="328">
        <v>9</v>
      </c>
      <c r="D13" s="335">
        <v>2.0789</v>
      </c>
      <c r="E13" s="336">
        <v>645.30740000000003</v>
      </c>
      <c r="F13" s="332">
        <v>0.15190000000000001</v>
      </c>
      <c r="G13" s="332">
        <v>8.3999999999999995E-3</v>
      </c>
      <c r="H13" s="332">
        <v>6.4000000000000003E-3</v>
      </c>
      <c r="I13" s="333">
        <v>0.1469</v>
      </c>
      <c r="J13" s="337">
        <v>7.7000000000000002E-3</v>
      </c>
      <c r="K13" s="319"/>
      <c r="L13" s="308"/>
      <c r="M13" s="316"/>
      <c r="N13" s="328"/>
      <c r="O13" s="328">
        <v>9</v>
      </c>
      <c r="P13" s="335">
        <v>0.92859999999999998</v>
      </c>
      <c r="Q13" s="336">
        <v>434.61509999999998</v>
      </c>
      <c r="R13" s="332">
        <v>3.9600000000000003E-2</v>
      </c>
      <c r="S13" s="332">
        <v>2.8999999999999998E-3</v>
      </c>
      <c r="T13" s="332">
        <v>4.3E-3</v>
      </c>
      <c r="U13" s="333">
        <v>6.2700000000000006E-2</v>
      </c>
      <c r="V13" s="337">
        <v>2.7000000000000001E-3</v>
      </c>
      <c r="W13" s="319"/>
    </row>
    <row r="14" spans="1:23" x14ac:dyDescent="0.2">
      <c r="A14" s="316"/>
      <c r="B14" s="328"/>
      <c r="C14" s="328">
        <v>10</v>
      </c>
      <c r="D14" s="335">
        <v>1.9843999999999999</v>
      </c>
      <c r="E14" s="336">
        <v>614.91200000000003</v>
      </c>
      <c r="F14" s="332">
        <v>0.14360000000000001</v>
      </c>
      <c r="G14" s="332">
        <v>7.4999999999999997E-3</v>
      </c>
      <c r="H14" s="332">
        <v>6.1000000000000004E-3</v>
      </c>
      <c r="I14" s="333">
        <v>0.12989999999999999</v>
      </c>
      <c r="J14" s="337">
        <v>6.8999999999999999E-3</v>
      </c>
      <c r="K14" s="319"/>
      <c r="L14" s="308"/>
      <c r="M14" s="316"/>
      <c r="N14" s="328"/>
      <c r="O14" s="328">
        <v>10</v>
      </c>
      <c r="P14" s="335">
        <v>0.90139999999999998</v>
      </c>
      <c r="Q14" s="336">
        <v>415.22109999999998</v>
      </c>
      <c r="R14" s="332">
        <v>3.8300000000000001E-2</v>
      </c>
      <c r="S14" s="332">
        <v>2.5999999999999999E-3</v>
      </c>
      <c r="T14" s="332">
        <v>4.1000000000000003E-3</v>
      </c>
      <c r="U14" s="333">
        <v>5.6599999999999998E-2</v>
      </c>
      <c r="V14" s="337">
        <v>2.3999999999999998E-3</v>
      </c>
      <c r="W14" s="319"/>
    </row>
    <row r="15" spans="1:23" x14ac:dyDescent="0.2">
      <c r="A15" s="316"/>
      <c r="B15" s="328"/>
      <c r="C15" s="328">
        <v>11</v>
      </c>
      <c r="D15" s="335">
        <v>1.9452</v>
      </c>
      <c r="E15" s="336">
        <v>593.45370000000003</v>
      </c>
      <c r="F15" s="332">
        <v>0.14080000000000001</v>
      </c>
      <c r="G15" s="332">
        <v>7.0000000000000001E-3</v>
      </c>
      <c r="H15" s="332">
        <v>5.8999999999999999E-3</v>
      </c>
      <c r="I15" s="333">
        <v>0.1221</v>
      </c>
      <c r="J15" s="337">
        <v>6.4000000000000003E-3</v>
      </c>
      <c r="K15" s="319"/>
      <c r="L15" s="308"/>
      <c r="M15" s="316"/>
      <c r="N15" s="328"/>
      <c r="O15" s="328">
        <v>11</v>
      </c>
      <c r="P15" s="335">
        <v>0.88070000000000004</v>
      </c>
      <c r="Q15" s="336">
        <v>400.2645</v>
      </c>
      <c r="R15" s="332">
        <v>3.7499999999999999E-2</v>
      </c>
      <c r="S15" s="332">
        <v>2.3999999999999998E-3</v>
      </c>
      <c r="T15" s="332">
        <v>4.0000000000000001E-3</v>
      </c>
      <c r="U15" s="333">
        <v>5.3100000000000001E-2</v>
      </c>
      <c r="V15" s="337">
        <v>2.2000000000000001E-3</v>
      </c>
      <c r="W15" s="319"/>
    </row>
    <row r="16" spans="1:23" x14ac:dyDescent="0.2">
      <c r="A16" s="316"/>
      <c r="B16" s="328"/>
      <c r="C16" s="328">
        <v>12</v>
      </c>
      <c r="D16" s="335">
        <v>1.9059999999999999</v>
      </c>
      <c r="E16" s="336">
        <v>571.99540000000002</v>
      </c>
      <c r="F16" s="332">
        <v>0.13800000000000001</v>
      </c>
      <c r="G16" s="332">
        <v>6.4999999999999997E-3</v>
      </c>
      <c r="H16" s="332">
        <v>5.7000000000000002E-3</v>
      </c>
      <c r="I16" s="333">
        <v>0.1142</v>
      </c>
      <c r="J16" s="337">
        <v>6.0000000000000001E-3</v>
      </c>
      <c r="K16" s="319"/>
      <c r="L16" s="308"/>
      <c r="M16" s="316"/>
      <c r="N16" s="328"/>
      <c r="O16" s="328">
        <v>12</v>
      </c>
      <c r="P16" s="335">
        <v>0.86</v>
      </c>
      <c r="Q16" s="336">
        <v>385.30790000000002</v>
      </c>
      <c r="R16" s="332">
        <v>3.6600000000000001E-2</v>
      </c>
      <c r="S16" s="332">
        <v>2.3E-3</v>
      </c>
      <c r="T16" s="332">
        <v>3.8E-3</v>
      </c>
      <c r="U16" s="333">
        <v>4.9500000000000002E-2</v>
      </c>
      <c r="V16" s="337">
        <v>2.0999999999999999E-3</v>
      </c>
      <c r="W16" s="319"/>
    </row>
    <row r="17" spans="1:23" x14ac:dyDescent="0.2">
      <c r="A17" s="316"/>
      <c r="B17" s="328"/>
      <c r="C17" s="328">
        <v>13</v>
      </c>
      <c r="D17" s="335">
        <v>1.8667</v>
      </c>
      <c r="E17" s="336">
        <v>550.53710000000001</v>
      </c>
      <c r="F17" s="332">
        <v>0.13519999999999999</v>
      </c>
      <c r="G17" s="332">
        <v>6.0000000000000001E-3</v>
      </c>
      <c r="H17" s="332">
        <v>5.4000000000000003E-3</v>
      </c>
      <c r="I17" s="333">
        <v>0.10639999999999999</v>
      </c>
      <c r="J17" s="337">
        <v>5.4999999999999997E-3</v>
      </c>
      <c r="K17" s="319"/>
      <c r="L17" s="308"/>
      <c r="M17" s="316"/>
      <c r="N17" s="328"/>
      <c r="O17" s="328">
        <v>13</v>
      </c>
      <c r="P17" s="335">
        <v>0.83919999999999995</v>
      </c>
      <c r="Q17" s="336">
        <v>370.35129999999998</v>
      </c>
      <c r="R17" s="332">
        <v>3.5799999999999998E-2</v>
      </c>
      <c r="S17" s="332">
        <v>2.0999999999999999E-3</v>
      </c>
      <c r="T17" s="332">
        <v>3.7000000000000002E-3</v>
      </c>
      <c r="U17" s="333">
        <v>4.5999999999999999E-2</v>
      </c>
      <c r="V17" s="337">
        <v>1.9E-3</v>
      </c>
      <c r="W17" s="319"/>
    </row>
    <row r="18" spans="1:23" x14ac:dyDescent="0.2">
      <c r="A18" s="316"/>
      <c r="B18" s="328"/>
      <c r="C18" s="328">
        <v>14</v>
      </c>
      <c r="D18" s="335">
        <v>1.8274999999999999</v>
      </c>
      <c r="E18" s="336">
        <v>529.0788</v>
      </c>
      <c r="F18" s="332">
        <v>0.1323</v>
      </c>
      <c r="G18" s="332">
        <v>5.4999999999999997E-3</v>
      </c>
      <c r="H18" s="332">
        <v>5.1999999999999998E-3</v>
      </c>
      <c r="I18" s="333">
        <v>9.8599999999999993E-2</v>
      </c>
      <c r="J18" s="337">
        <v>5.1000000000000004E-3</v>
      </c>
      <c r="K18" s="319"/>
      <c r="L18" s="308"/>
      <c r="M18" s="316"/>
      <c r="N18" s="328"/>
      <c r="O18" s="328">
        <v>14</v>
      </c>
      <c r="P18" s="335">
        <v>0.81850000000000001</v>
      </c>
      <c r="Q18" s="336">
        <v>355.3947</v>
      </c>
      <c r="R18" s="332">
        <v>3.49E-2</v>
      </c>
      <c r="S18" s="332">
        <v>1.9E-3</v>
      </c>
      <c r="T18" s="332">
        <v>3.5000000000000001E-3</v>
      </c>
      <c r="U18" s="333">
        <v>4.24E-2</v>
      </c>
      <c r="V18" s="337">
        <v>1.8E-3</v>
      </c>
      <c r="W18" s="319"/>
    </row>
    <row r="19" spans="1:23" x14ac:dyDescent="0.2">
      <c r="A19" s="316"/>
      <c r="B19" s="328"/>
      <c r="C19" s="328">
        <v>15</v>
      </c>
      <c r="D19" s="335">
        <v>1.7883</v>
      </c>
      <c r="E19" s="336">
        <v>507.62049999999999</v>
      </c>
      <c r="F19" s="332">
        <v>0.1295</v>
      </c>
      <c r="G19" s="332">
        <v>5.0000000000000001E-3</v>
      </c>
      <c r="H19" s="332">
        <v>5.0000000000000001E-3</v>
      </c>
      <c r="I19" s="333">
        <v>9.0800000000000006E-2</v>
      </c>
      <c r="J19" s="337">
        <v>4.5999999999999999E-3</v>
      </c>
      <c r="K19" s="319"/>
      <c r="L19" s="308"/>
      <c r="M19" s="316"/>
      <c r="N19" s="328"/>
      <c r="O19" s="328">
        <v>15</v>
      </c>
      <c r="P19" s="335">
        <v>0.79769999999999996</v>
      </c>
      <c r="Q19" s="336">
        <v>340.43810000000002</v>
      </c>
      <c r="R19" s="332">
        <v>3.4099999999999998E-2</v>
      </c>
      <c r="S19" s="332">
        <v>1.6999999999999999E-3</v>
      </c>
      <c r="T19" s="332">
        <v>3.3999999999999998E-3</v>
      </c>
      <c r="U19" s="333">
        <v>3.8899999999999997E-2</v>
      </c>
      <c r="V19" s="337">
        <v>1.6000000000000001E-3</v>
      </c>
      <c r="W19" s="319"/>
    </row>
    <row r="20" spans="1:23" x14ac:dyDescent="0.2">
      <c r="A20" s="316"/>
      <c r="B20" s="328"/>
      <c r="C20" s="328">
        <v>16</v>
      </c>
      <c r="D20" s="335">
        <v>1.7448999999999999</v>
      </c>
      <c r="E20" s="336">
        <v>490.11540000000002</v>
      </c>
      <c r="F20" s="332">
        <v>0.12620000000000001</v>
      </c>
      <c r="G20" s="332">
        <v>4.7000000000000002E-3</v>
      </c>
      <c r="H20" s="332">
        <v>4.7999999999999996E-3</v>
      </c>
      <c r="I20" s="333">
        <v>8.5300000000000001E-2</v>
      </c>
      <c r="J20" s="337">
        <v>4.4000000000000003E-3</v>
      </c>
      <c r="K20" s="319"/>
      <c r="L20" s="308"/>
      <c r="M20" s="316"/>
      <c r="N20" s="328"/>
      <c r="O20" s="328">
        <v>16</v>
      </c>
      <c r="P20" s="335">
        <v>0.77969999999999995</v>
      </c>
      <c r="Q20" s="336">
        <v>328.93029999999999</v>
      </c>
      <c r="R20" s="332">
        <v>3.3300000000000003E-2</v>
      </c>
      <c r="S20" s="332">
        <v>1.6000000000000001E-3</v>
      </c>
      <c r="T20" s="332">
        <v>3.3E-3</v>
      </c>
      <c r="U20" s="333">
        <v>3.6499999999999998E-2</v>
      </c>
      <c r="V20" s="337">
        <v>1.5E-3</v>
      </c>
      <c r="W20" s="319"/>
    </row>
    <row r="21" spans="1:23" x14ac:dyDescent="0.2">
      <c r="A21" s="316"/>
      <c r="B21" s="328"/>
      <c r="C21" s="328">
        <v>17</v>
      </c>
      <c r="D21" s="335">
        <v>1.7015</v>
      </c>
      <c r="E21" s="336">
        <v>472.61040000000003</v>
      </c>
      <c r="F21" s="332">
        <v>0.123</v>
      </c>
      <c r="G21" s="332">
        <v>4.4000000000000003E-3</v>
      </c>
      <c r="H21" s="332">
        <v>4.7000000000000002E-3</v>
      </c>
      <c r="I21" s="333">
        <v>7.9699999999999993E-2</v>
      </c>
      <c r="J21" s="337">
        <v>4.1000000000000003E-3</v>
      </c>
      <c r="K21" s="319"/>
      <c r="L21" s="308"/>
      <c r="M21" s="316"/>
      <c r="N21" s="328"/>
      <c r="O21" s="328">
        <v>17</v>
      </c>
      <c r="P21" s="335">
        <v>0.76160000000000005</v>
      </c>
      <c r="Q21" s="336">
        <v>317.42239999999998</v>
      </c>
      <c r="R21" s="332">
        <v>3.2599999999999997E-2</v>
      </c>
      <c r="S21" s="332">
        <v>1.5E-3</v>
      </c>
      <c r="T21" s="332">
        <v>3.0999999999999999E-3</v>
      </c>
      <c r="U21" s="333">
        <v>3.4200000000000001E-2</v>
      </c>
      <c r="V21" s="337">
        <v>1.4E-3</v>
      </c>
      <c r="W21" s="319"/>
    </row>
    <row r="22" spans="1:23" x14ac:dyDescent="0.2">
      <c r="A22" s="316"/>
      <c r="B22" s="328"/>
      <c r="C22" s="328">
        <v>18</v>
      </c>
      <c r="D22" s="335">
        <v>1.6579999999999999</v>
      </c>
      <c r="E22" s="336">
        <v>455.1053</v>
      </c>
      <c r="F22" s="332">
        <v>0.1197</v>
      </c>
      <c r="G22" s="332">
        <v>4.1000000000000003E-3</v>
      </c>
      <c r="H22" s="332">
        <v>4.4999999999999997E-3</v>
      </c>
      <c r="I22" s="333">
        <v>7.4200000000000002E-2</v>
      </c>
      <c r="J22" s="337">
        <v>3.8E-3</v>
      </c>
      <c r="K22" s="319"/>
      <c r="L22" s="308"/>
      <c r="M22" s="316"/>
      <c r="N22" s="328"/>
      <c r="O22" s="328">
        <v>18</v>
      </c>
      <c r="P22" s="335">
        <v>0.74350000000000005</v>
      </c>
      <c r="Q22" s="336">
        <v>305.91460000000001</v>
      </c>
      <c r="R22" s="332">
        <v>3.1800000000000002E-2</v>
      </c>
      <c r="S22" s="332">
        <v>1.4E-3</v>
      </c>
      <c r="T22" s="332">
        <v>3.0000000000000001E-3</v>
      </c>
      <c r="U22" s="333">
        <v>3.1800000000000002E-2</v>
      </c>
      <c r="V22" s="337">
        <v>1.2999999999999999E-3</v>
      </c>
      <c r="W22" s="319"/>
    </row>
    <row r="23" spans="1:23" x14ac:dyDescent="0.2">
      <c r="A23" s="316"/>
      <c r="B23" s="328"/>
      <c r="C23" s="328">
        <v>19</v>
      </c>
      <c r="D23" s="335">
        <v>1.6146</v>
      </c>
      <c r="E23" s="336">
        <v>437.6003</v>
      </c>
      <c r="F23" s="332">
        <v>0.11650000000000001</v>
      </c>
      <c r="G23" s="332">
        <v>3.8E-3</v>
      </c>
      <c r="H23" s="332">
        <v>4.3E-3</v>
      </c>
      <c r="I23" s="333">
        <v>6.8699999999999997E-2</v>
      </c>
      <c r="J23" s="337">
        <v>3.5000000000000001E-3</v>
      </c>
      <c r="K23" s="319"/>
      <c r="L23" s="308"/>
      <c r="M23" s="316"/>
      <c r="N23" s="328"/>
      <c r="O23" s="328">
        <v>19</v>
      </c>
      <c r="P23" s="335">
        <v>0.72540000000000004</v>
      </c>
      <c r="Q23" s="336">
        <v>294.4067</v>
      </c>
      <c r="R23" s="332">
        <v>3.1099999999999999E-2</v>
      </c>
      <c r="S23" s="332">
        <v>1.2999999999999999E-3</v>
      </c>
      <c r="T23" s="332">
        <v>2.8999999999999998E-3</v>
      </c>
      <c r="U23" s="333">
        <v>2.9499999999999998E-2</v>
      </c>
      <c r="V23" s="337">
        <v>1.1999999999999999E-3</v>
      </c>
      <c r="W23" s="319"/>
    </row>
    <row r="24" spans="1:23" x14ac:dyDescent="0.2">
      <c r="A24" s="316"/>
      <c r="B24" s="328"/>
      <c r="C24" s="328">
        <v>20</v>
      </c>
      <c r="D24" s="335">
        <v>1.5711999999999999</v>
      </c>
      <c r="E24" s="336">
        <v>420.09519999999998</v>
      </c>
      <c r="F24" s="332">
        <v>0.1132</v>
      </c>
      <c r="G24" s="332">
        <v>3.5999999999999999E-3</v>
      </c>
      <c r="H24" s="332">
        <v>4.1999999999999997E-3</v>
      </c>
      <c r="I24" s="333">
        <v>6.3200000000000006E-2</v>
      </c>
      <c r="J24" s="337">
        <v>3.3E-3</v>
      </c>
      <c r="K24" s="319"/>
      <c r="L24" s="308"/>
      <c r="M24" s="316"/>
      <c r="N24" s="328"/>
      <c r="O24" s="328">
        <v>20</v>
      </c>
      <c r="P24" s="335">
        <v>0.70730000000000004</v>
      </c>
      <c r="Q24" s="336">
        <v>282.89890000000003</v>
      </c>
      <c r="R24" s="332">
        <v>3.0300000000000001E-2</v>
      </c>
      <c r="S24" s="332">
        <v>1.1999999999999999E-3</v>
      </c>
      <c r="T24" s="332">
        <v>2.8E-3</v>
      </c>
      <c r="U24" s="333">
        <v>2.7199999999999998E-2</v>
      </c>
      <c r="V24" s="337">
        <v>1.1000000000000001E-3</v>
      </c>
      <c r="W24" s="319"/>
    </row>
    <row r="25" spans="1:23" x14ac:dyDescent="0.2">
      <c r="A25" s="316"/>
      <c r="B25" s="328"/>
      <c r="C25" s="328">
        <v>21</v>
      </c>
      <c r="D25" s="335">
        <v>1.5324</v>
      </c>
      <c r="E25" s="336">
        <v>407.56720000000001</v>
      </c>
      <c r="F25" s="332">
        <v>0.11020000000000001</v>
      </c>
      <c r="G25" s="332">
        <v>3.3999999999999998E-3</v>
      </c>
      <c r="H25" s="332">
        <v>4.0000000000000001E-3</v>
      </c>
      <c r="I25" s="333">
        <v>5.9799999999999999E-2</v>
      </c>
      <c r="J25" s="337">
        <v>3.0999999999999999E-3</v>
      </c>
      <c r="K25" s="319"/>
      <c r="L25" s="308"/>
      <c r="M25" s="316"/>
      <c r="N25" s="328"/>
      <c r="O25" s="328">
        <v>21</v>
      </c>
      <c r="P25" s="335">
        <v>0.69369999999999998</v>
      </c>
      <c r="Q25" s="336">
        <v>274.6096</v>
      </c>
      <c r="R25" s="332">
        <v>2.98E-2</v>
      </c>
      <c r="S25" s="332">
        <v>1.1999999999999999E-3</v>
      </c>
      <c r="T25" s="332">
        <v>2.7000000000000001E-3</v>
      </c>
      <c r="U25" s="333">
        <v>2.58E-2</v>
      </c>
      <c r="V25" s="337">
        <v>1.1000000000000001E-3</v>
      </c>
      <c r="W25" s="319"/>
    </row>
    <row r="26" spans="1:23" x14ac:dyDescent="0.2">
      <c r="A26" s="316"/>
      <c r="B26" s="328"/>
      <c r="C26" s="328">
        <v>22</v>
      </c>
      <c r="D26" s="335">
        <v>1.4935</v>
      </c>
      <c r="E26" s="336">
        <v>395.03919999999999</v>
      </c>
      <c r="F26" s="332">
        <v>0.10730000000000001</v>
      </c>
      <c r="G26" s="332">
        <v>3.2000000000000002E-3</v>
      </c>
      <c r="H26" s="332">
        <v>3.8999999999999998E-3</v>
      </c>
      <c r="I26" s="333">
        <v>5.6300000000000003E-2</v>
      </c>
      <c r="J26" s="337">
        <v>2.8999999999999998E-3</v>
      </c>
      <c r="K26" s="319"/>
      <c r="L26" s="308"/>
      <c r="M26" s="316"/>
      <c r="N26" s="328"/>
      <c r="O26" s="328">
        <v>22</v>
      </c>
      <c r="P26" s="335">
        <v>0.68020000000000003</v>
      </c>
      <c r="Q26" s="336">
        <v>266.32040000000001</v>
      </c>
      <c r="R26" s="332">
        <v>2.93E-2</v>
      </c>
      <c r="S26" s="332">
        <v>1.1000000000000001E-3</v>
      </c>
      <c r="T26" s="332">
        <v>2.5999999999999999E-3</v>
      </c>
      <c r="U26" s="333">
        <v>2.4500000000000001E-2</v>
      </c>
      <c r="V26" s="337">
        <v>1E-3</v>
      </c>
      <c r="W26" s="319"/>
    </row>
    <row r="27" spans="1:23" x14ac:dyDescent="0.2">
      <c r="A27" s="316"/>
      <c r="B27" s="328"/>
      <c r="C27" s="328">
        <v>23</v>
      </c>
      <c r="D27" s="335">
        <v>1.4547000000000001</v>
      </c>
      <c r="E27" s="336">
        <v>382.51119999999997</v>
      </c>
      <c r="F27" s="332">
        <v>0.1043</v>
      </c>
      <c r="G27" s="332">
        <v>3.0000000000000001E-3</v>
      </c>
      <c r="H27" s="332">
        <v>3.8E-3</v>
      </c>
      <c r="I27" s="333">
        <v>5.2900000000000003E-2</v>
      </c>
      <c r="J27" s="337">
        <v>2.8E-3</v>
      </c>
      <c r="K27" s="319"/>
      <c r="L27" s="308"/>
      <c r="M27" s="316"/>
      <c r="N27" s="328"/>
      <c r="O27" s="328">
        <v>23</v>
      </c>
      <c r="P27" s="335">
        <v>0.66659999999999997</v>
      </c>
      <c r="Q27" s="336">
        <v>258.03120000000001</v>
      </c>
      <c r="R27" s="332">
        <v>2.87E-2</v>
      </c>
      <c r="S27" s="332">
        <v>1E-3</v>
      </c>
      <c r="T27" s="332">
        <v>2.5999999999999999E-3</v>
      </c>
      <c r="U27" s="333">
        <v>2.3099999999999999E-2</v>
      </c>
      <c r="V27" s="337">
        <v>1E-3</v>
      </c>
      <c r="W27" s="319"/>
    </row>
    <row r="28" spans="1:23" x14ac:dyDescent="0.2">
      <c r="A28" s="316"/>
      <c r="B28" s="328"/>
      <c r="C28" s="328">
        <v>24</v>
      </c>
      <c r="D28" s="335">
        <v>1.4158999999999999</v>
      </c>
      <c r="E28" s="336">
        <v>369.98309999999998</v>
      </c>
      <c r="F28" s="332">
        <v>0.1013</v>
      </c>
      <c r="G28" s="332">
        <v>2.8E-3</v>
      </c>
      <c r="H28" s="332">
        <v>3.7000000000000002E-3</v>
      </c>
      <c r="I28" s="333">
        <v>4.9500000000000002E-2</v>
      </c>
      <c r="J28" s="337">
        <v>2.5999999999999999E-3</v>
      </c>
      <c r="K28" s="319"/>
      <c r="L28" s="308"/>
      <c r="M28" s="316"/>
      <c r="N28" s="328"/>
      <c r="O28" s="328">
        <v>24</v>
      </c>
      <c r="P28" s="335">
        <v>0.65300000000000002</v>
      </c>
      <c r="Q28" s="336">
        <v>249.74189999999999</v>
      </c>
      <c r="R28" s="332">
        <v>2.8199999999999999E-2</v>
      </c>
      <c r="S28" s="332">
        <v>1E-3</v>
      </c>
      <c r="T28" s="332">
        <v>2.5000000000000001E-3</v>
      </c>
      <c r="U28" s="333">
        <v>2.18E-2</v>
      </c>
      <c r="V28" s="337">
        <v>8.9999999999999998E-4</v>
      </c>
      <c r="W28" s="319"/>
    </row>
    <row r="29" spans="1:23" x14ac:dyDescent="0.2">
      <c r="A29" s="316"/>
      <c r="B29" s="328"/>
      <c r="C29" s="328">
        <v>25</v>
      </c>
      <c r="D29" s="335">
        <v>1.377</v>
      </c>
      <c r="E29" s="336">
        <v>357.45510000000002</v>
      </c>
      <c r="F29" s="332">
        <v>9.8400000000000001E-2</v>
      </c>
      <c r="G29" s="332">
        <v>2.5999999999999999E-3</v>
      </c>
      <c r="H29" s="332">
        <v>3.5000000000000001E-3</v>
      </c>
      <c r="I29" s="333">
        <v>4.6100000000000002E-2</v>
      </c>
      <c r="J29" s="337">
        <v>2.3999999999999998E-3</v>
      </c>
      <c r="K29" s="319"/>
      <c r="L29" s="308"/>
      <c r="M29" s="316"/>
      <c r="N29" s="328"/>
      <c r="O29" s="328">
        <v>25</v>
      </c>
      <c r="P29" s="335">
        <v>0.63939999999999997</v>
      </c>
      <c r="Q29" s="336">
        <v>241.45269999999999</v>
      </c>
      <c r="R29" s="332">
        <v>2.76E-2</v>
      </c>
      <c r="S29" s="332">
        <v>8.9999999999999998E-4</v>
      </c>
      <c r="T29" s="332">
        <v>2.3999999999999998E-3</v>
      </c>
      <c r="U29" s="333">
        <v>2.0400000000000001E-2</v>
      </c>
      <c r="V29" s="337">
        <v>8.0000000000000004E-4</v>
      </c>
      <c r="W29" s="319"/>
    </row>
    <row r="30" spans="1:23" x14ac:dyDescent="0.2">
      <c r="A30" s="316"/>
      <c r="B30" s="328"/>
      <c r="C30" s="328">
        <v>26</v>
      </c>
      <c r="D30" s="335">
        <v>1.3526</v>
      </c>
      <c r="E30" s="336">
        <v>349.37819999999999</v>
      </c>
      <c r="F30" s="332">
        <v>9.7000000000000003E-2</v>
      </c>
      <c r="G30" s="332">
        <v>2.5000000000000001E-3</v>
      </c>
      <c r="H30" s="332">
        <v>3.5000000000000001E-3</v>
      </c>
      <c r="I30" s="333">
        <v>4.4200000000000003E-2</v>
      </c>
      <c r="J30" s="337">
        <v>2.3E-3</v>
      </c>
      <c r="K30" s="319"/>
      <c r="L30" s="308"/>
      <c r="M30" s="316"/>
      <c r="N30" s="328"/>
      <c r="O30" s="328">
        <v>26</v>
      </c>
      <c r="P30" s="335">
        <v>0.62870000000000004</v>
      </c>
      <c r="Q30" s="336">
        <v>235.91990000000001</v>
      </c>
      <c r="R30" s="332">
        <v>2.7300000000000001E-2</v>
      </c>
      <c r="S30" s="332">
        <v>8.9999999999999998E-4</v>
      </c>
      <c r="T30" s="332">
        <v>2.3E-3</v>
      </c>
      <c r="U30" s="333">
        <v>1.9599999999999999E-2</v>
      </c>
      <c r="V30" s="337">
        <v>8.0000000000000004E-4</v>
      </c>
      <c r="W30" s="319"/>
    </row>
    <row r="31" spans="1:23" x14ac:dyDescent="0.2">
      <c r="A31" s="316"/>
      <c r="B31" s="328"/>
      <c r="C31" s="328">
        <v>27</v>
      </c>
      <c r="D31" s="335">
        <v>1.3282</v>
      </c>
      <c r="E31" s="336">
        <v>341.30119999999999</v>
      </c>
      <c r="F31" s="332">
        <v>9.5699999999999993E-2</v>
      </c>
      <c r="G31" s="332">
        <v>2.3999999999999998E-3</v>
      </c>
      <c r="H31" s="332">
        <v>3.3999999999999998E-3</v>
      </c>
      <c r="I31" s="333">
        <v>4.24E-2</v>
      </c>
      <c r="J31" s="337">
        <v>2.2000000000000001E-3</v>
      </c>
      <c r="K31" s="319"/>
      <c r="L31" s="308"/>
      <c r="M31" s="316"/>
      <c r="N31" s="328"/>
      <c r="O31" s="328">
        <v>27</v>
      </c>
      <c r="P31" s="335">
        <v>0.61799999999999999</v>
      </c>
      <c r="Q31" s="336">
        <v>230.3871</v>
      </c>
      <c r="R31" s="332">
        <v>2.7E-2</v>
      </c>
      <c r="S31" s="332">
        <v>8.0000000000000004E-4</v>
      </c>
      <c r="T31" s="332">
        <v>2.3E-3</v>
      </c>
      <c r="U31" s="333">
        <v>1.8800000000000001E-2</v>
      </c>
      <c r="V31" s="337">
        <v>8.0000000000000004E-4</v>
      </c>
      <c r="W31" s="319"/>
    </row>
    <row r="32" spans="1:23" x14ac:dyDescent="0.2">
      <c r="A32" s="316"/>
      <c r="B32" s="328"/>
      <c r="C32" s="328">
        <v>28</v>
      </c>
      <c r="D32" s="335">
        <v>1.3037000000000001</v>
      </c>
      <c r="E32" s="336">
        <v>333.22430000000003</v>
      </c>
      <c r="F32" s="332">
        <v>9.4299999999999995E-2</v>
      </c>
      <c r="G32" s="332">
        <v>2.3E-3</v>
      </c>
      <c r="H32" s="332">
        <v>3.3E-3</v>
      </c>
      <c r="I32" s="333">
        <v>4.0500000000000001E-2</v>
      </c>
      <c r="J32" s="337">
        <v>2.0999999999999999E-3</v>
      </c>
      <c r="K32" s="319"/>
      <c r="L32" s="308"/>
      <c r="M32" s="316"/>
      <c r="N32" s="328"/>
      <c r="O32" s="328">
        <v>28</v>
      </c>
      <c r="P32" s="335">
        <v>0.60719999999999996</v>
      </c>
      <c r="Q32" s="336">
        <v>224.85429999999999</v>
      </c>
      <c r="R32" s="332">
        <v>2.6599999999999999E-2</v>
      </c>
      <c r="S32" s="332">
        <v>8.0000000000000004E-4</v>
      </c>
      <c r="T32" s="332">
        <v>2.2000000000000001E-3</v>
      </c>
      <c r="U32" s="333">
        <v>1.7999999999999999E-2</v>
      </c>
      <c r="V32" s="337">
        <v>6.9999999999999999E-4</v>
      </c>
      <c r="W32" s="319"/>
    </row>
    <row r="33" spans="1:23" x14ac:dyDescent="0.2">
      <c r="A33" s="316"/>
      <c r="B33" s="328"/>
      <c r="C33" s="328">
        <v>29</v>
      </c>
      <c r="D33" s="335">
        <v>1.2793000000000001</v>
      </c>
      <c r="E33" s="336">
        <v>325.1474</v>
      </c>
      <c r="F33" s="332">
        <v>9.2899999999999996E-2</v>
      </c>
      <c r="G33" s="332">
        <v>2.2000000000000001E-3</v>
      </c>
      <c r="H33" s="332">
        <v>3.2000000000000002E-3</v>
      </c>
      <c r="I33" s="333">
        <v>3.8699999999999998E-2</v>
      </c>
      <c r="J33" s="337">
        <v>2E-3</v>
      </c>
      <c r="K33" s="319"/>
      <c r="L33" s="308"/>
      <c r="M33" s="316"/>
      <c r="N33" s="328"/>
      <c r="O33" s="328">
        <v>29</v>
      </c>
      <c r="P33" s="335">
        <v>0.59650000000000003</v>
      </c>
      <c r="Q33" s="336">
        <v>219.32149999999999</v>
      </c>
      <c r="R33" s="332">
        <v>2.63E-2</v>
      </c>
      <c r="S33" s="332">
        <v>6.9999999999999999E-4</v>
      </c>
      <c r="T33" s="332">
        <v>2.2000000000000001E-3</v>
      </c>
      <c r="U33" s="333">
        <v>1.72E-2</v>
      </c>
      <c r="V33" s="337">
        <v>6.9999999999999999E-4</v>
      </c>
      <c r="W33" s="319"/>
    </row>
    <row r="34" spans="1:23" x14ac:dyDescent="0.2">
      <c r="A34" s="316"/>
      <c r="B34" s="328"/>
      <c r="C34" s="328">
        <v>30</v>
      </c>
      <c r="D34" s="335">
        <v>1.2548999999999999</v>
      </c>
      <c r="E34" s="336">
        <v>317.07040000000001</v>
      </c>
      <c r="F34" s="332">
        <v>9.1600000000000001E-2</v>
      </c>
      <c r="G34" s="332">
        <v>2E-3</v>
      </c>
      <c r="H34" s="332">
        <v>3.0999999999999999E-3</v>
      </c>
      <c r="I34" s="333">
        <v>3.6900000000000002E-2</v>
      </c>
      <c r="J34" s="337">
        <v>1.9E-3</v>
      </c>
      <c r="K34" s="319"/>
      <c r="L34" s="308"/>
      <c r="M34" s="316"/>
      <c r="N34" s="328"/>
      <c r="O34" s="328">
        <v>30</v>
      </c>
      <c r="P34" s="335">
        <v>0.58579999999999999</v>
      </c>
      <c r="Q34" s="336">
        <v>213.78870000000001</v>
      </c>
      <c r="R34" s="332">
        <v>2.5999999999999999E-2</v>
      </c>
      <c r="S34" s="332">
        <v>6.9999999999999999E-4</v>
      </c>
      <c r="T34" s="332">
        <v>2.0999999999999999E-3</v>
      </c>
      <c r="U34" s="333">
        <v>1.6400000000000001E-2</v>
      </c>
      <c r="V34" s="337">
        <v>6.9999999999999999E-4</v>
      </c>
      <c r="W34" s="319"/>
    </row>
    <row r="35" spans="1:23" x14ac:dyDescent="0.2">
      <c r="A35" s="316"/>
      <c r="B35" s="328"/>
      <c r="C35" s="328">
        <v>31</v>
      </c>
      <c r="D35" s="335">
        <v>1.2403</v>
      </c>
      <c r="E35" s="336">
        <v>312.875</v>
      </c>
      <c r="F35" s="332">
        <v>9.11E-2</v>
      </c>
      <c r="G35" s="332">
        <v>2E-3</v>
      </c>
      <c r="H35" s="332">
        <v>3.0999999999999999E-3</v>
      </c>
      <c r="I35" s="333">
        <v>3.5799999999999998E-2</v>
      </c>
      <c r="J35" s="337">
        <v>1.8E-3</v>
      </c>
      <c r="K35" s="319"/>
      <c r="L35" s="308"/>
      <c r="M35" s="316"/>
      <c r="N35" s="328"/>
      <c r="O35" s="328">
        <v>31</v>
      </c>
      <c r="P35" s="335">
        <v>0.57689999999999997</v>
      </c>
      <c r="Q35" s="336">
        <v>210.72720000000001</v>
      </c>
      <c r="R35" s="332">
        <v>2.5700000000000001E-2</v>
      </c>
      <c r="S35" s="332">
        <v>6.9999999999999999E-4</v>
      </c>
      <c r="T35" s="332">
        <v>2.0999999999999999E-3</v>
      </c>
      <c r="U35" s="333">
        <v>1.5800000000000002E-2</v>
      </c>
      <c r="V35" s="337">
        <v>5.9999999999999995E-4</v>
      </c>
      <c r="W35" s="319"/>
    </row>
    <row r="36" spans="1:23" x14ac:dyDescent="0.2">
      <c r="A36" s="316"/>
      <c r="B36" s="328"/>
      <c r="C36" s="328">
        <v>32</v>
      </c>
      <c r="D36" s="335">
        <v>1.2258</v>
      </c>
      <c r="E36" s="336">
        <v>308.67959999999999</v>
      </c>
      <c r="F36" s="332">
        <v>9.0700000000000003E-2</v>
      </c>
      <c r="G36" s="332">
        <v>1.9E-3</v>
      </c>
      <c r="H36" s="332">
        <v>3.0999999999999999E-3</v>
      </c>
      <c r="I36" s="333">
        <v>3.4799999999999998E-2</v>
      </c>
      <c r="J36" s="337">
        <v>1.8E-3</v>
      </c>
      <c r="K36" s="319"/>
      <c r="L36" s="308"/>
      <c r="M36" s="316"/>
      <c r="N36" s="328"/>
      <c r="O36" s="328">
        <v>32</v>
      </c>
      <c r="P36" s="335">
        <v>0.56810000000000005</v>
      </c>
      <c r="Q36" s="336">
        <v>207.66560000000001</v>
      </c>
      <c r="R36" s="332">
        <v>2.5399999999999999E-2</v>
      </c>
      <c r="S36" s="332">
        <v>6.9999999999999999E-4</v>
      </c>
      <c r="T36" s="332">
        <v>2.0999999999999999E-3</v>
      </c>
      <c r="U36" s="333">
        <v>1.52E-2</v>
      </c>
      <c r="V36" s="337">
        <v>5.9999999999999995E-4</v>
      </c>
      <c r="W36" s="319"/>
    </row>
    <row r="37" spans="1:23" x14ac:dyDescent="0.2">
      <c r="A37" s="316"/>
      <c r="B37" s="328"/>
      <c r="C37" s="328">
        <v>33</v>
      </c>
      <c r="D37" s="335">
        <v>1.2112000000000001</v>
      </c>
      <c r="E37" s="336">
        <v>304.48419999999999</v>
      </c>
      <c r="F37" s="332">
        <v>9.0300000000000005E-2</v>
      </c>
      <c r="G37" s="332">
        <v>1.8E-3</v>
      </c>
      <c r="H37" s="332">
        <v>3.0000000000000001E-3</v>
      </c>
      <c r="I37" s="333">
        <v>3.3700000000000001E-2</v>
      </c>
      <c r="J37" s="337">
        <v>1.6999999999999999E-3</v>
      </c>
      <c r="K37" s="319"/>
      <c r="L37" s="308"/>
      <c r="M37" s="316"/>
      <c r="N37" s="328"/>
      <c r="O37" s="328">
        <v>33</v>
      </c>
      <c r="P37" s="335">
        <v>0.55920000000000003</v>
      </c>
      <c r="Q37" s="336">
        <v>204.60409999999999</v>
      </c>
      <c r="R37" s="332">
        <v>2.52E-2</v>
      </c>
      <c r="S37" s="332">
        <v>5.9999999999999995E-4</v>
      </c>
      <c r="T37" s="332">
        <v>2E-3</v>
      </c>
      <c r="U37" s="333">
        <v>1.47E-2</v>
      </c>
      <c r="V37" s="337">
        <v>5.9999999999999995E-4</v>
      </c>
      <c r="W37" s="319"/>
    </row>
    <row r="38" spans="1:23" x14ac:dyDescent="0.2">
      <c r="A38" s="316"/>
      <c r="B38" s="328"/>
      <c r="C38" s="328">
        <v>34</v>
      </c>
      <c r="D38" s="335">
        <v>1.1966000000000001</v>
      </c>
      <c r="E38" s="336">
        <v>300.28879999999998</v>
      </c>
      <c r="F38" s="332">
        <v>8.9800000000000005E-2</v>
      </c>
      <c r="G38" s="332">
        <v>1.8E-3</v>
      </c>
      <c r="H38" s="332">
        <v>3.0000000000000001E-3</v>
      </c>
      <c r="I38" s="333">
        <v>3.27E-2</v>
      </c>
      <c r="J38" s="337">
        <v>1.6000000000000001E-3</v>
      </c>
      <c r="K38" s="319"/>
      <c r="L38" s="308"/>
      <c r="M38" s="316"/>
      <c r="N38" s="328"/>
      <c r="O38" s="328">
        <v>34</v>
      </c>
      <c r="P38" s="335">
        <v>0.5504</v>
      </c>
      <c r="Q38" s="336">
        <v>201.54259999999999</v>
      </c>
      <c r="R38" s="332">
        <v>2.4899999999999999E-2</v>
      </c>
      <c r="S38" s="332">
        <v>5.9999999999999995E-4</v>
      </c>
      <c r="T38" s="332">
        <v>2E-3</v>
      </c>
      <c r="U38" s="333">
        <v>1.41E-2</v>
      </c>
      <c r="V38" s="337">
        <v>5.9999999999999995E-4</v>
      </c>
      <c r="W38" s="319"/>
    </row>
    <row r="39" spans="1:23" x14ac:dyDescent="0.2">
      <c r="A39" s="316"/>
      <c r="B39" s="328"/>
      <c r="C39" s="328">
        <v>35</v>
      </c>
      <c r="D39" s="335">
        <v>1.1820999999999999</v>
      </c>
      <c r="E39" s="336">
        <v>296.09339999999997</v>
      </c>
      <c r="F39" s="332">
        <v>8.9399999999999993E-2</v>
      </c>
      <c r="G39" s="332">
        <v>1.6999999999999999E-3</v>
      </c>
      <c r="H39" s="332">
        <v>2.8999999999999998E-3</v>
      </c>
      <c r="I39" s="333">
        <v>3.1600000000000003E-2</v>
      </c>
      <c r="J39" s="337">
        <v>1.6000000000000001E-3</v>
      </c>
      <c r="K39" s="319"/>
      <c r="L39" s="308"/>
      <c r="M39" s="316"/>
      <c r="N39" s="328"/>
      <c r="O39" s="328">
        <v>35</v>
      </c>
      <c r="P39" s="335">
        <v>0.54149999999999998</v>
      </c>
      <c r="Q39" s="336">
        <v>198.4811</v>
      </c>
      <c r="R39" s="332">
        <v>2.46E-2</v>
      </c>
      <c r="S39" s="332">
        <v>5.9999999999999995E-4</v>
      </c>
      <c r="T39" s="332">
        <v>2E-3</v>
      </c>
      <c r="U39" s="333">
        <v>1.35E-2</v>
      </c>
      <c r="V39" s="337">
        <v>5.0000000000000001E-4</v>
      </c>
      <c r="W39" s="319"/>
    </row>
    <row r="40" spans="1:23" x14ac:dyDescent="0.2">
      <c r="A40" s="316"/>
      <c r="B40" s="328"/>
      <c r="C40" s="328">
        <v>36</v>
      </c>
      <c r="D40" s="335">
        <v>1.1698999999999999</v>
      </c>
      <c r="E40" s="336">
        <v>294.50189999999998</v>
      </c>
      <c r="F40" s="332">
        <v>8.9200000000000002E-2</v>
      </c>
      <c r="G40" s="332">
        <v>1.6999999999999999E-3</v>
      </c>
      <c r="H40" s="332">
        <v>2.8999999999999998E-3</v>
      </c>
      <c r="I40" s="333">
        <v>3.1E-2</v>
      </c>
      <c r="J40" s="337">
        <v>1.5E-3</v>
      </c>
      <c r="K40" s="319"/>
      <c r="L40" s="308"/>
      <c r="M40" s="316"/>
      <c r="N40" s="328"/>
      <c r="O40" s="328">
        <v>36</v>
      </c>
      <c r="P40" s="335">
        <v>0.53390000000000004</v>
      </c>
      <c r="Q40" s="336">
        <v>197.2354</v>
      </c>
      <c r="R40" s="332">
        <v>2.4400000000000002E-2</v>
      </c>
      <c r="S40" s="332">
        <v>5.9999999999999995E-4</v>
      </c>
      <c r="T40" s="332">
        <v>2E-3</v>
      </c>
      <c r="U40" s="333">
        <v>1.3100000000000001E-2</v>
      </c>
      <c r="V40" s="337">
        <v>5.0000000000000001E-4</v>
      </c>
      <c r="W40" s="319"/>
    </row>
    <row r="41" spans="1:23" x14ac:dyDescent="0.2">
      <c r="A41" s="316"/>
      <c r="B41" s="328"/>
      <c r="C41" s="328">
        <v>37</v>
      </c>
      <c r="D41" s="335">
        <v>1.1576</v>
      </c>
      <c r="E41" s="336">
        <v>292.91050000000001</v>
      </c>
      <c r="F41" s="332">
        <v>8.8999999999999996E-2</v>
      </c>
      <c r="G41" s="332">
        <v>1.6000000000000001E-3</v>
      </c>
      <c r="H41" s="332">
        <v>2.8999999999999998E-3</v>
      </c>
      <c r="I41" s="333">
        <v>3.0300000000000001E-2</v>
      </c>
      <c r="J41" s="337">
        <v>1.5E-3</v>
      </c>
      <c r="K41" s="319"/>
      <c r="L41" s="308"/>
      <c r="M41" s="316"/>
      <c r="N41" s="328"/>
      <c r="O41" s="328">
        <v>37</v>
      </c>
      <c r="P41" s="335">
        <v>0.52629999999999999</v>
      </c>
      <c r="Q41" s="336">
        <v>195.9898</v>
      </c>
      <c r="R41" s="332">
        <v>2.4299999999999999E-2</v>
      </c>
      <c r="S41" s="332">
        <v>5.9999999999999995E-4</v>
      </c>
      <c r="T41" s="332">
        <v>1.9E-3</v>
      </c>
      <c r="U41" s="333">
        <v>1.2800000000000001E-2</v>
      </c>
      <c r="V41" s="337">
        <v>5.0000000000000001E-4</v>
      </c>
      <c r="W41" s="319"/>
    </row>
    <row r="42" spans="1:23" x14ac:dyDescent="0.2">
      <c r="A42" s="316"/>
      <c r="B42" s="328"/>
      <c r="C42" s="328">
        <v>38</v>
      </c>
      <c r="D42" s="335">
        <v>1.1454</v>
      </c>
      <c r="E42" s="336">
        <v>291.31909999999999</v>
      </c>
      <c r="F42" s="332">
        <v>8.8900000000000007E-2</v>
      </c>
      <c r="G42" s="332">
        <v>1.6000000000000001E-3</v>
      </c>
      <c r="H42" s="332">
        <v>2.8999999999999998E-3</v>
      </c>
      <c r="I42" s="333">
        <v>2.9700000000000001E-2</v>
      </c>
      <c r="J42" s="337">
        <v>1.4E-3</v>
      </c>
      <c r="K42" s="319"/>
      <c r="L42" s="308"/>
      <c r="M42" s="316"/>
      <c r="N42" s="328"/>
      <c r="O42" s="328">
        <v>38</v>
      </c>
      <c r="P42" s="335">
        <v>0.51880000000000004</v>
      </c>
      <c r="Q42" s="336">
        <v>194.7441</v>
      </c>
      <c r="R42" s="332">
        <v>2.41E-2</v>
      </c>
      <c r="S42" s="332">
        <v>5.0000000000000001E-4</v>
      </c>
      <c r="T42" s="332">
        <v>1.9E-3</v>
      </c>
      <c r="U42" s="333">
        <v>1.24E-2</v>
      </c>
      <c r="V42" s="337">
        <v>5.0000000000000001E-4</v>
      </c>
      <c r="W42" s="319"/>
    </row>
    <row r="43" spans="1:23" x14ac:dyDescent="0.2">
      <c r="A43" s="316"/>
      <c r="B43" s="328"/>
      <c r="C43" s="328">
        <v>39</v>
      </c>
      <c r="D43" s="335">
        <v>1.1332</v>
      </c>
      <c r="E43" s="336">
        <v>289.7276</v>
      </c>
      <c r="F43" s="332">
        <v>8.8700000000000001E-2</v>
      </c>
      <c r="G43" s="332">
        <v>1.5E-3</v>
      </c>
      <c r="H43" s="332">
        <v>2.8999999999999998E-3</v>
      </c>
      <c r="I43" s="333">
        <v>2.9100000000000001E-2</v>
      </c>
      <c r="J43" s="337">
        <v>1.4E-3</v>
      </c>
      <c r="K43" s="319"/>
      <c r="L43" s="308"/>
      <c r="M43" s="316"/>
      <c r="N43" s="328"/>
      <c r="O43" s="328">
        <v>39</v>
      </c>
      <c r="P43" s="335">
        <v>0.51119999999999999</v>
      </c>
      <c r="Q43" s="336">
        <v>193.49850000000001</v>
      </c>
      <c r="R43" s="332">
        <v>2.3900000000000001E-2</v>
      </c>
      <c r="S43" s="332">
        <v>5.0000000000000001E-4</v>
      </c>
      <c r="T43" s="332">
        <v>1.9E-3</v>
      </c>
      <c r="U43" s="333">
        <v>1.2E-2</v>
      </c>
      <c r="V43" s="337">
        <v>5.0000000000000001E-4</v>
      </c>
      <c r="W43" s="319"/>
    </row>
    <row r="44" spans="1:23" x14ac:dyDescent="0.2">
      <c r="A44" s="316"/>
      <c r="B44" s="328"/>
      <c r="C44" s="328">
        <v>40</v>
      </c>
      <c r="D44" s="335">
        <v>1.1209</v>
      </c>
      <c r="E44" s="336">
        <v>288.13619999999997</v>
      </c>
      <c r="F44" s="332">
        <v>8.8499999999999995E-2</v>
      </c>
      <c r="G44" s="332">
        <v>1.5E-3</v>
      </c>
      <c r="H44" s="332">
        <v>2.8999999999999998E-3</v>
      </c>
      <c r="I44" s="333">
        <v>2.8400000000000002E-2</v>
      </c>
      <c r="J44" s="337">
        <v>1.4E-3</v>
      </c>
      <c r="K44" s="319"/>
      <c r="L44" s="308"/>
      <c r="M44" s="316"/>
      <c r="N44" s="328"/>
      <c r="O44" s="328">
        <v>40</v>
      </c>
      <c r="P44" s="335">
        <v>0.50360000000000005</v>
      </c>
      <c r="Q44" s="336">
        <v>192.25290000000001</v>
      </c>
      <c r="R44" s="332">
        <v>2.3699999999999999E-2</v>
      </c>
      <c r="S44" s="332">
        <v>5.0000000000000001E-4</v>
      </c>
      <c r="T44" s="332">
        <v>1.9E-3</v>
      </c>
      <c r="U44" s="333">
        <v>1.17E-2</v>
      </c>
      <c r="V44" s="337">
        <v>5.0000000000000001E-4</v>
      </c>
      <c r="W44" s="319"/>
    </row>
    <row r="45" spans="1:23" x14ac:dyDescent="0.2">
      <c r="A45" s="316"/>
      <c r="B45" s="328"/>
      <c r="C45" s="328">
        <v>41</v>
      </c>
      <c r="D45" s="335">
        <v>1.1114999999999999</v>
      </c>
      <c r="E45" s="336">
        <v>288.47089999999997</v>
      </c>
      <c r="F45" s="332">
        <v>8.8700000000000001E-2</v>
      </c>
      <c r="G45" s="332">
        <v>1.5E-3</v>
      </c>
      <c r="H45" s="332">
        <v>2.8999999999999998E-3</v>
      </c>
      <c r="I45" s="333">
        <v>2.8199999999999999E-2</v>
      </c>
      <c r="J45" s="337">
        <v>1.2999999999999999E-3</v>
      </c>
      <c r="K45" s="319"/>
      <c r="L45" s="308"/>
      <c r="M45" s="316"/>
      <c r="N45" s="328"/>
      <c r="O45" s="328">
        <v>41</v>
      </c>
      <c r="P45" s="335">
        <v>0.49830000000000002</v>
      </c>
      <c r="Q45" s="336">
        <v>192.46979999999999</v>
      </c>
      <c r="R45" s="332">
        <v>2.3699999999999999E-2</v>
      </c>
      <c r="S45" s="332">
        <v>5.0000000000000001E-4</v>
      </c>
      <c r="T45" s="332">
        <v>1.9E-3</v>
      </c>
      <c r="U45" s="333">
        <v>1.1599999999999999E-2</v>
      </c>
      <c r="V45" s="337">
        <v>5.0000000000000001E-4</v>
      </c>
      <c r="W45" s="319"/>
    </row>
    <row r="46" spans="1:23" x14ac:dyDescent="0.2">
      <c r="A46" s="316"/>
      <c r="B46" s="328"/>
      <c r="C46" s="328">
        <v>42</v>
      </c>
      <c r="D46" s="335">
        <v>1.1021000000000001</v>
      </c>
      <c r="E46" s="336">
        <v>288.8057</v>
      </c>
      <c r="F46" s="332">
        <v>8.8900000000000007E-2</v>
      </c>
      <c r="G46" s="332">
        <v>1.4E-3</v>
      </c>
      <c r="H46" s="332">
        <v>2.8999999999999998E-3</v>
      </c>
      <c r="I46" s="333">
        <v>2.8000000000000001E-2</v>
      </c>
      <c r="J46" s="337">
        <v>1.2999999999999999E-3</v>
      </c>
      <c r="K46" s="319"/>
      <c r="L46" s="308"/>
      <c r="M46" s="316"/>
      <c r="N46" s="328"/>
      <c r="O46" s="328">
        <v>42</v>
      </c>
      <c r="P46" s="335">
        <v>0.49299999999999999</v>
      </c>
      <c r="Q46" s="336">
        <v>192.6867</v>
      </c>
      <c r="R46" s="332">
        <v>2.3699999999999999E-2</v>
      </c>
      <c r="S46" s="332">
        <v>5.0000000000000001E-4</v>
      </c>
      <c r="T46" s="332">
        <v>1.9E-3</v>
      </c>
      <c r="U46" s="333">
        <v>1.15E-2</v>
      </c>
      <c r="V46" s="337">
        <v>5.0000000000000001E-4</v>
      </c>
      <c r="W46" s="319"/>
    </row>
    <row r="47" spans="1:23" x14ac:dyDescent="0.2">
      <c r="A47" s="316"/>
      <c r="B47" s="328"/>
      <c r="C47" s="328">
        <v>43</v>
      </c>
      <c r="D47" s="335">
        <v>1.0927</v>
      </c>
      <c r="E47" s="336">
        <v>289.1404</v>
      </c>
      <c r="F47" s="332">
        <v>8.8999999999999996E-2</v>
      </c>
      <c r="G47" s="332">
        <v>1.4E-3</v>
      </c>
      <c r="H47" s="332">
        <v>2.8999999999999998E-3</v>
      </c>
      <c r="I47" s="333">
        <v>2.7799999999999998E-2</v>
      </c>
      <c r="J47" s="337">
        <v>1.2999999999999999E-3</v>
      </c>
      <c r="K47" s="319"/>
      <c r="L47" s="308"/>
      <c r="M47" s="316"/>
      <c r="N47" s="328"/>
      <c r="O47" s="328">
        <v>43</v>
      </c>
      <c r="P47" s="335">
        <v>0.48759999999999998</v>
      </c>
      <c r="Q47" s="336">
        <v>192.90360000000001</v>
      </c>
      <c r="R47" s="332">
        <v>2.3599999999999999E-2</v>
      </c>
      <c r="S47" s="332">
        <v>5.0000000000000001E-4</v>
      </c>
      <c r="T47" s="332">
        <v>1.9E-3</v>
      </c>
      <c r="U47" s="333">
        <v>1.14E-2</v>
      </c>
      <c r="V47" s="337">
        <v>4.0000000000000002E-4</v>
      </c>
      <c r="W47" s="319"/>
    </row>
    <row r="48" spans="1:23" x14ac:dyDescent="0.2">
      <c r="A48" s="316"/>
      <c r="B48" s="328"/>
      <c r="C48" s="328">
        <v>44</v>
      </c>
      <c r="D48" s="335">
        <v>1.0832999999999999</v>
      </c>
      <c r="E48" s="336">
        <v>289.4751</v>
      </c>
      <c r="F48" s="332">
        <v>8.9200000000000002E-2</v>
      </c>
      <c r="G48" s="332">
        <v>1.4E-3</v>
      </c>
      <c r="H48" s="332">
        <v>2.8999999999999998E-3</v>
      </c>
      <c r="I48" s="333">
        <v>2.75E-2</v>
      </c>
      <c r="J48" s="337">
        <v>1.2999999999999999E-3</v>
      </c>
      <c r="K48" s="319"/>
      <c r="L48" s="308"/>
      <c r="M48" s="316"/>
      <c r="N48" s="328"/>
      <c r="O48" s="328">
        <v>44</v>
      </c>
      <c r="P48" s="335">
        <v>0.48230000000000001</v>
      </c>
      <c r="Q48" s="336">
        <v>193.1206</v>
      </c>
      <c r="R48" s="332">
        <v>2.3599999999999999E-2</v>
      </c>
      <c r="S48" s="332">
        <v>5.0000000000000001E-4</v>
      </c>
      <c r="T48" s="332">
        <v>1.9E-3</v>
      </c>
      <c r="U48" s="333">
        <v>1.1299999999999999E-2</v>
      </c>
      <c r="V48" s="337">
        <v>4.0000000000000002E-4</v>
      </c>
      <c r="W48" s="319"/>
    </row>
    <row r="49" spans="1:23" x14ac:dyDescent="0.2">
      <c r="A49" s="316"/>
      <c r="B49" s="328"/>
      <c r="C49" s="328">
        <v>45</v>
      </c>
      <c r="D49" s="335">
        <v>1.0739000000000001</v>
      </c>
      <c r="E49" s="336">
        <v>289.8098</v>
      </c>
      <c r="F49" s="332">
        <v>8.9300000000000004E-2</v>
      </c>
      <c r="G49" s="332">
        <v>1.4E-3</v>
      </c>
      <c r="H49" s="332">
        <v>2.8999999999999998E-3</v>
      </c>
      <c r="I49" s="333">
        <v>2.7300000000000001E-2</v>
      </c>
      <c r="J49" s="337">
        <v>1.2999999999999999E-3</v>
      </c>
      <c r="K49" s="319"/>
      <c r="L49" s="308"/>
      <c r="M49" s="316"/>
      <c r="N49" s="328"/>
      <c r="O49" s="328">
        <v>45</v>
      </c>
      <c r="P49" s="335">
        <v>0.47699999999999998</v>
      </c>
      <c r="Q49" s="336">
        <v>193.33750000000001</v>
      </c>
      <c r="R49" s="332">
        <v>2.35E-2</v>
      </c>
      <c r="S49" s="332">
        <v>5.0000000000000001E-4</v>
      </c>
      <c r="T49" s="332">
        <v>1.9E-3</v>
      </c>
      <c r="U49" s="333">
        <v>1.12E-2</v>
      </c>
      <c r="V49" s="337">
        <v>4.0000000000000002E-4</v>
      </c>
      <c r="W49" s="319"/>
    </row>
    <row r="50" spans="1:23" x14ac:dyDescent="0.2">
      <c r="A50" s="316"/>
      <c r="B50" s="328"/>
      <c r="C50" s="328">
        <v>46</v>
      </c>
      <c r="D50" s="335">
        <v>1.0644</v>
      </c>
      <c r="E50" s="336">
        <v>291.63749999999999</v>
      </c>
      <c r="F50" s="332">
        <v>8.9499999999999996E-2</v>
      </c>
      <c r="G50" s="332">
        <v>1.4E-3</v>
      </c>
      <c r="H50" s="332">
        <v>2.8999999999999998E-3</v>
      </c>
      <c r="I50" s="333">
        <v>2.7199999999999998E-2</v>
      </c>
      <c r="J50" s="337">
        <v>1.2999999999999999E-3</v>
      </c>
      <c r="K50" s="319"/>
      <c r="L50" s="308"/>
      <c r="M50" s="316"/>
      <c r="N50" s="328"/>
      <c r="O50" s="328">
        <v>46</v>
      </c>
      <c r="P50" s="335">
        <v>0.47170000000000001</v>
      </c>
      <c r="Q50" s="336">
        <v>194.4847</v>
      </c>
      <c r="R50" s="332">
        <v>2.35E-2</v>
      </c>
      <c r="S50" s="332">
        <v>5.0000000000000001E-4</v>
      </c>
      <c r="T50" s="332">
        <v>1.9E-3</v>
      </c>
      <c r="U50" s="333">
        <v>1.12E-2</v>
      </c>
      <c r="V50" s="337">
        <v>4.0000000000000002E-4</v>
      </c>
      <c r="W50" s="319"/>
    </row>
    <row r="51" spans="1:23" x14ac:dyDescent="0.2">
      <c r="A51" s="316"/>
      <c r="B51" s="328"/>
      <c r="C51" s="328">
        <v>47</v>
      </c>
      <c r="D51" s="335">
        <v>1.0548999999999999</v>
      </c>
      <c r="E51" s="336">
        <v>293.46510000000001</v>
      </c>
      <c r="F51" s="332">
        <v>8.9700000000000002E-2</v>
      </c>
      <c r="G51" s="332">
        <v>1.4E-3</v>
      </c>
      <c r="H51" s="332">
        <v>2.8999999999999998E-3</v>
      </c>
      <c r="I51" s="333">
        <v>2.7099999999999999E-2</v>
      </c>
      <c r="J51" s="337">
        <v>1.1999999999999999E-3</v>
      </c>
      <c r="K51" s="319"/>
      <c r="L51" s="308"/>
      <c r="M51" s="316"/>
      <c r="N51" s="328"/>
      <c r="O51" s="328">
        <v>47</v>
      </c>
      <c r="P51" s="335">
        <v>0.46639999999999998</v>
      </c>
      <c r="Q51" s="336">
        <v>195.6319</v>
      </c>
      <c r="R51" s="332">
        <v>2.35E-2</v>
      </c>
      <c r="S51" s="332">
        <v>5.0000000000000001E-4</v>
      </c>
      <c r="T51" s="332">
        <v>1.9E-3</v>
      </c>
      <c r="U51" s="333">
        <v>1.11E-2</v>
      </c>
      <c r="V51" s="337">
        <v>4.0000000000000002E-4</v>
      </c>
      <c r="W51" s="319"/>
    </row>
    <row r="52" spans="1:23" x14ac:dyDescent="0.2">
      <c r="A52" s="316"/>
      <c r="B52" s="328"/>
      <c r="C52" s="328">
        <v>48</v>
      </c>
      <c r="D52" s="335">
        <v>1.0454000000000001</v>
      </c>
      <c r="E52" s="336">
        <v>295.29270000000002</v>
      </c>
      <c r="F52" s="332">
        <v>8.9800000000000005E-2</v>
      </c>
      <c r="G52" s="332">
        <v>1.2999999999999999E-3</v>
      </c>
      <c r="H52" s="332">
        <v>2.8999999999999998E-3</v>
      </c>
      <c r="I52" s="333">
        <v>2.7E-2</v>
      </c>
      <c r="J52" s="337">
        <v>1.1999999999999999E-3</v>
      </c>
      <c r="K52" s="319"/>
      <c r="L52" s="308"/>
      <c r="M52" s="316"/>
      <c r="N52" s="328"/>
      <c r="O52" s="328">
        <v>48</v>
      </c>
      <c r="P52" s="335">
        <v>0.46110000000000001</v>
      </c>
      <c r="Q52" s="336">
        <v>196.7791</v>
      </c>
      <c r="R52" s="332">
        <v>2.3400000000000001E-2</v>
      </c>
      <c r="S52" s="332">
        <v>5.0000000000000001E-4</v>
      </c>
      <c r="T52" s="332">
        <v>1.9E-3</v>
      </c>
      <c r="U52" s="333">
        <v>1.0999999999999999E-2</v>
      </c>
      <c r="V52" s="337">
        <v>4.0000000000000002E-4</v>
      </c>
      <c r="W52" s="319"/>
    </row>
    <row r="53" spans="1:23" x14ac:dyDescent="0.2">
      <c r="A53" s="316"/>
      <c r="B53" s="328"/>
      <c r="C53" s="328">
        <v>49</v>
      </c>
      <c r="D53" s="335">
        <v>1.0359</v>
      </c>
      <c r="E53" s="336">
        <v>297.12040000000002</v>
      </c>
      <c r="F53" s="332">
        <v>0.09</v>
      </c>
      <c r="G53" s="332">
        <v>1.2999999999999999E-3</v>
      </c>
      <c r="H53" s="332">
        <v>2.8999999999999998E-3</v>
      </c>
      <c r="I53" s="333">
        <v>2.69E-2</v>
      </c>
      <c r="J53" s="337">
        <v>1.1999999999999999E-3</v>
      </c>
      <c r="K53" s="319"/>
      <c r="L53" s="308"/>
      <c r="M53" s="316"/>
      <c r="N53" s="328"/>
      <c r="O53" s="328">
        <v>49</v>
      </c>
      <c r="P53" s="335">
        <v>0.45579999999999998</v>
      </c>
      <c r="Q53" s="336">
        <v>197.9263</v>
      </c>
      <c r="R53" s="332">
        <v>2.3400000000000001E-2</v>
      </c>
      <c r="S53" s="332">
        <v>5.0000000000000001E-4</v>
      </c>
      <c r="T53" s="332">
        <v>2E-3</v>
      </c>
      <c r="U53" s="333">
        <v>1.09E-2</v>
      </c>
      <c r="V53" s="337">
        <v>4.0000000000000002E-4</v>
      </c>
      <c r="W53" s="319"/>
    </row>
    <row r="54" spans="1:23" x14ac:dyDescent="0.2">
      <c r="A54" s="316"/>
      <c r="B54" s="328"/>
      <c r="C54" s="328">
        <v>50</v>
      </c>
      <c r="D54" s="335">
        <v>1.0264</v>
      </c>
      <c r="E54" s="336">
        <v>298.94799999999998</v>
      </c>
      <c r="F54" s="332">
        <v>9.01E-2</v>
      </c>
      <c r="G54" s="332">
        <v>1.2999999999999999E-3</v>
      </c>
      <c r="H54" s="332">
        <v>3.0000000000000001E-3</v>
      </c>
      <c r="I54" s="333">
        <v>2.6800000000000001E-2</v>
      </c>
      <c r="J54" s="337">
        <v>1.1999999999999999E-3</v>
      </c>
      <c r="K54" s="319"/>
      <c r="L54" s="308"/>
      <c r="M54" s="316"/>
      <c r="N54" s="328"/>
      <c r="O54" s="328">
        <v>50</v>
      </c>
      <c r="P54" s="335">
        <v>0.4506</v>
      </c>
      <c r="Q54" s="336">
        <v>199.0735</v>
      </c>
      <c r="R54" s="332">
        <v>2.3400000000000001E-2</v>
      </c>
      <c r="S54" s="332">
        <v>5.0000000000000001E-4</v>
      </c>
      <c r="T54" s="332">
        <v>2E-3</v>
      </c>
      <c r="U54" s="333">
        <v>1.09E-2</v>
      </c>
      <c r="V54" s="337">
        <v>4.0000000000000002E-4</v>
      </c>
      <c r="W54" s="319"/>
    </row>
    <row r="55" spans="1:23" x14ac:dyDescent="0.2">
      <c r="A55" s="316"/>
      <c r="B55" s="328"/>
      <c r="C55" s="328">
        <v>51</v>
      </c>
      <c r="D55" s="335">
        <v>1.0176000000000001</v>
      </c>
      <c r="E55" s="336">
        <v>301.26560000000001</v>
      </c>
      <c r="F55" s="332">
        <v>9.0499999999999997E-2</v>
      </c>
      <c r="G55" s="332">
        <v>1.2999999999999999E-3</v>
      </c>
      <c r="H55" s="332">
        <v>3.0000000000000001E-3</v>
      </c>
      <c r="I55" s="333">
        <v>2.69E-2</v>
      </c>
      <c r="J55" s="337">
        <v>1.1999999999999999E-3</v>
      </c>
      <c r="K55" s="319"/>
      <c r="L55" s="308"/>
      <c r="M55" s="316"/>
      <c r="N55" s="328"/>
      <c r="O55" s="328">
        <v>51</v>
      </c>
      <c r="P55" s="335">
        <v>0.44629999999999997</v>
      </c>
      <c r="Q55" s="336">
        <v>200.61600000000001</v>
      </c>
      <c r="R55" s="332">
        <v>2.3400000000000001E-2</v>
      </c>
      <c r="S55" s="332">
        <v>5.0000000000000001E-4</v>
      </c>
      <c r="T55" s="332">
        <v>2E-3</v>
      </c>
      <c r="U55" s="333">
        <v>1.0999999999999999E-2</v>
      </c>
      <c r="V55" s="337">
        <v>4.0000000000000002E-4</v>
      </c>
      <c r="W55" s="319"/>
    </row>
    <row r="56" spans="1:23" x14ac:dyDescent="0.2">
      <c r="A56" s="316"/>
      <c r="B56" s="328"/>
      <c r="C56" s="328">
        <v>52</v>
      </c>
      <c r="D56" s="335">
        <v>1.0087999999999999</v>
      </c>
      <c r="E56" s="336">
        <v>303.5831</v>
      </c>
      <c r="F56" s="332">
        <v>9.0800000000000006E-2</v>
      </c>
      <c r="G56" s="332">
        <v>1.2999999999999999E-3</v>
      </c>
      <c r="H56" s="332">
        <v>3.0000000000000001E-3</v>
      </c>
      <c r="I56" s="333">
        <v>2.7099999999999999E-2</v>
      </c>
      <c r="J56" s="337">
        <v>1.1999999999999999E-3</v>
      </c>
      <c r="K56" s="319"/>
      <c r="L56" s="308"/>
      <c r="M56" s="316"/>
      <c r="N56" s="328"/>
      <c r="O56" s="328">
        <v>52</v>
      </c>
      <c r="P56" s="335">
        <v>0.442</v>
      </c>
      <c r="Q56" s="336">
        <v>202.15860000000001</v>
      </c>
      <c r="R56" s="332">
        <v>2.35E-2</v>
      </c>
      <c r="S56" s="332">
        <v>5.0000000000000001E-4</v>
      </c>
      <c r="T56" s="332">
        <v>2E-3</v>
      </c>
      <c r="U56" s="333">
        <v>1.0999999999999999E-2</v>
      </c>
      <c r="V56" s="337">
        <v>4.0000000000000002E-4</v>
      </c>
      <c r="W56" s="319"/>
    </row>
    <row r="57" spans="1:23" x14ac:dyDescent="0.2">
      <c r="A57" s="316"/>
      <c r="B57" s="328"/>
      <c r="C57" s="328">
        <v>53</v>
      </c>
      <c r="D57" s="335">
        <v>0.99990000000000001</v>
      </c>
      <c r="E57" s="336">
        <v>305.9006</v>
      </c>
      <c r="F57" s="332">
        <v>9.1200000000000003E-2</v>
      </c>
      <c r="G57" s="332">
        <v>1.2999999999999999E-3</v>
      </c>
      <c r="H57" s="332">
        <v>3.0000000000000001E-3</v>
      </c>
      <c r="I57" s="333">
        <v>2.7199999999999998E-2</v>
      </c>
      <c r="J57" s="337">
        <v>1.1999999999999999E-3</v>
      </c>
      <c r="K57" s="319"/>
      <c r="L57" s="308"/>
      <c r="M57" s="316"/>
      <c r="N57" s="328"/>
      <c r="O57" s="328">
        <v>53</v>
      </c>
      <c r="P57" s="335">
        <v>0.43769999999999998</v>
      </c>
      <c r="Q57" s="336">
        <v>203.7011</v>
      </c>
      <c r="R57" s="332">
        <v>2.35E-2</v>
      </c>
      <c r="S57" s="332">
        <v>5.0000000000000001E-4</v>
      </c>
      <c r="T57" s="332">
        <v>2E-3</v>
      </c>
      <c r="U57" s="333">
        <v>1.11E-2</v>
      </c>
      <c r="V57" s="337">
        <v>4.0000000000000002E-4</v>
      </c>
      <c r="W57" s="319"/>
    </row>
    <row r="58" spans="1:23" x14ac:dyDescent="0.2">
      <c r="A58" s="316"/>
      <c r="B58" s="328"/>
      <c r="C58" s="328">
        <v>54</v>
      </c>
      <c r="D58" s="335">
        <v>0.99109999999999998</v>
      </c>
      <c r="E58" s="336">
        <v>308.21820000000002</v>
      </c>
      <c r="F58" s="332">
        <v>9.1499999999999998E-2</v>
      </c>
      <c r="G58" s="332">
        <v>1.2999999999999999E-3</v>
      </c>
      <c r="H58" s="332">
        <v>3.0000000000000001E-3</v>
      </c>
      <c r="I58" s="333">
        <v>2.7300000000000001E-2</v>
      </c>
      <c r="J58" s="337">
        <v>1.1999999999999999E-3</v>
      </c>
      <c r="K58" s="319"/>
      <c r="L58" s="308"/>
      <c r="M58" s="316"/>
      <c r="N58" s="328"/>
      <c r="O58" s="328">
        <v>54</v>
      </c>
      <c r="P58" s="335">
        <v>0.43340000000000001</v>
      </c>
      <c r="Q58" s="336">
        <v>205.24369999999999</v>
      </c>
      <c r="R58" s="332">
        <v>2.3599999999999999E-2</v>
      </c>
      <c r="S58" s="332">
        <v>5.0000000000000001E-4</v>
      </c>
      <c r="T58" s="332">
        <v>2E-3</v>
      </c>
      <c r="U58" s="333">
        <v>1.12E-2</v>
      </c>
      <c r="V58" s="337">
        <v>4.0000000000000002E-4</v>
      </c>
      <c r="W58" s="319"/>
    </row>
    <row r="59" spans="1:23" x14ac:dyDescent="0.2">
      <c r="A59" s="316"/>
      <c r="B59" s="328"/>
      <c r="C59" s="328">
        <v>55</v>
      </c>
      <c r="D59" s="335">
        <v>0.98219999999999996</v>
      </c>
      <c r="E59" s="336">
        <v>310.53570000000002</v>
      </c>
      <c r="F59" s="332">
        <v>9.1899999999999996E-2</v>
      </c>
      <c r="G59" s="332">
        <v>1.2999999999999999E-3</v>
      </c>
      <c r="H59" s="332">
        <v>3.0999999999999999E-3</v>
      </c>
      <c r="I59" s="333">
        <v>2.7400000000000001E-2</v>
      </c>
      <c r="J59" s="337">
        <v>1.1999999999999999E-3</v>
      </c>
      <c r="K59" s="319"/>
      <c r="L59" s="308"/>
      <c r="M59" s="316"/>
      <c r="N59" s="328"/>
      <c r="O59" s="328">
        <v>55</v>
      </c>
      <c r="P59" s="335">
        <v>0.42909999999999998</v>
      </c>
      <c r="Q59" s="336">
        <v>206.78620000000001</v>
      </c>
      <c r="R59" s="332">
        <v>2.3699999999999999E-2</v>
      </c>
      <c r="S59" s="332">
        <v>5.0000000000000001E-4</v>
      </c>
      <c r="T59" s="332">
        <v>2E-3</v>
      </c>
      <c r="U59" s="333">
        <v>1.1299999999999999E-2</v>
      </c>
      <c r="V59" s="337">
        <v>4.0000000000000002E-4</v>
      </c>
      <c r="W59" s="319"/>
    </row>
    <row r="60" spans="1:23" x14ac:dyDescent="0.2">
      <c r="A60" s="316"/>
      <c r="B60" s="328"/>
      <c r="C60" s="328">
        <v>56</v>
      </c>
      <c r="D60" s="335">
        <v>0.96789999999999998</v>
      </c>
      <c r="E60" s="336">
        <v>312.26010000000002</v>
      </c>
      <c r="F60" s="332">
        <v>9.1499999999999998E-2</v>
      </c>
      <c r="G60" s="332">
        <v>1.4E-3</v>
      </c>
      <c r="H60" s="332">
        <v>3.0999999999999999E-3</v>
      </c>
      <c r="I60" s="333">
        <v>2.75E-2</v>
      </c>
      <c r="J60" s="337">
        <v>1.2999999999999999E-3</v>
      </c>
      <c r="K60" s="319"/>
      <c r="L60" s="308"/>
      <c r="M60" s="316"/>
      <c r="N60" s="328"/>
      <c r="O60" s="328">
        <v>56</v>
      </c>
      <c r="P60" s="335">
        <v>0.42530000000000001</v>
      </c>
      <c r="Q60" s="336">
        <v>208.17179999999999</v>
      </c>
      <c r="R60" s="332">
        <v>2.3800000000000002E-2</v>
      </c>
      <c r="S60" s="332">
        <v>5.0000000000000001E-4</v>
      </c>
      <c r="T60" s="332">
        <v>2.0999999999999999E-3</v>
      </c>
      <c r="U60" s="333">
        <v>1.15E-2</v>
      </c>
      <c r="V60" s="337">
        <v>4.0000000000000002E-4</v>
      </c>
      <c r="W60" s="319"/>
    </row>
    <row r="61" spans="1:23" x14ac:dyDescent="0.2">
      <c r="A61" s="316"/>
      <c r="B61" s="328"/>
      <c r="C61" s="328">
        <v>57</v>
      </c>
      <c r="D61" s="335">
        <v>0.95350000000000001</v>
      </c>
      <c r="E61" s="336">
        <v>313.98439999999999</v>
      </c>
      <c r="F61" s="332">
        <v>9.1200000000000003E-2</v>
      </c>
      <c r="G61" s="332">
        <v>1.4E-3</v>
      </c>
      <c r="H61" s="332">
        <v>3.0999999999999999E-3</v>
      </c>
      <c r="I61" s="333">
        <v>2.76E-2</v>
      </c>
      <c r="J61" s="337">
        <v>1.2999999999999999E-3</v>
      </c>
      <c r="K61" s="319"/>
      <c r="L61" s="308"/>
      <c r="M61" s="316"/>
      <c r="N61" s="328"/>
      <c r="O61" s="328">
        <v>57</v>
      </c>
      <c r="P61" s="335">
        <v>0.42159999999999997</v>
      </c>
      <c r="Q61" s="336">
        <v>209.5573</v>
      </c>
      <c r="R61" s="332">
        <v>2.3800000000000002E-2</v>
      </c>
      <c r="S61" s="332">
        <v>5.0000000000000001E-4</v>
      </c>
      <c r="T61" s="332">
        <v>2.0999999999999999E-3</v>
      </c>
      <c r="U61" s="333">
        <v>1.1599999999999999E-2</v>
      </c>
      <c r="V61" s="337">
        <v>4.0000000000000002E-4</v>
      </c>
      <c r="W61" s="319"/>
    </row>
    <row r="62" spans="1:23" x14ac:dyDescent="0.2">
      <c r="A62" s="316"/>
      <c r="B62" s="328"/>
      <c r="C62" s="328">
        <v>58</v>
      </c>
      <c r="D62" s="335">
        <v>0.93910000000000005</v>
      </c>
      <c r="E62" s="336">
        <v>315.7088</v>
      </c>
      <c r="F62" s="332">
        <v>9.0800000000000006E-2</v>
      </c>
      <c r="G62" s="332">
        <v>1.4E-3</v>
      </c>
      <c r="H62" s="332">
        <v>3.0999999999999999E-3</v>
      </c>
      <c r="I62" s="333">
        <v>2.7699999999999999E-2</v>
      </c>
      <c r="J62" s="337">
        <v>1.2999999999999999E-3</v>
      </c>
      <c r="K62" s="319"/>
      <c r="L62" s="308"/>
      <c r="M62" s="316"/>
      <c r="N62" s="328"/>
      <c r="O62" s="328">
        <v>58</v>
      </c>
      <c r="P62" s="335">
        <v>0.41789999999999999</v>
      </c>
      <c r="Q62" s="336">
        <v>210.94290000000001</v>
      </c>
      <c r="R62" s="332">
        <v>2.3900000000000001E-2</v>
      </c>
      <c r="S62" s="332">
        <v>5.0000000000000001E-4</v>
      </c>
      <c r="T62" s="332">
        <v>2.0999999999999999E-3</v>
      </c>
      <c r="U62" s="333">
        <v>1.18E-2</v>
      </c>
      <c r="V62" s="337">
        <v>4.0000000000000002E-4</v>
      </c>
      <c r="W62" s="319"/>
    </row>
    <row r="63" spans="1:23" x14ac:dyDescent="0.2">
      <c r="A63" s="316"/>
      <c r="B63" s="328"/>
      <c r="C63" s="328">
        <v>59</v>
      </c>
      <c r="D63" s="335">
        <v>0.92479999999999996</v>
      </c>
      <c r="E63" s="336">
        <v>317.43310000000002</v>
      </c>
      <c r="F63" s="332">
        <v>9.0399999999999994E-2</v>
      </c>
      <c r="G63" s="332">
        <v>1.4E-3</v>
      </c>
      <c r="H63" s="332">
        <v>3.0999999999999999E-3</v>
      </c>
      <c r="I63" s="333">
        <v>2.7799999999999998E-2</v>
      </c>
      <c r="J63" s="337">
        <v>1.2999999999999999E-3</v>
      </c>
      <c r="K63" s="319"/>
      <c r="L63" s="308"/>
      <c r="M63" s="316"/>
      <c r="N63" s="328"/>
      <c r="O63" s="328">
        <v>59</v>
      </c>
      <c r="P63" s="335">
        <v>0.41420000000000001</v>
      </c>
      <c r="Q63" s="336">
        <v>212.32839999999999</v>
      </c>
      <c r="R63" s="332">
        <v>2.4E-2</v>
      </c>
      <c r="S63" s="332">
        <v>5.0000000000000001E-4</v>
      </c>
      <c r="T63" s="332">
        <v>2.0999999999999999E-3</v>
      </c>
      <c r="U63" s="333">
        <v>1.2E-2</v>
      </c>
      <c r="V63" s="337">
        <v>4.0000000000000002E-4</v>
      </c>
      <c r="W63" s="319"/>
    </row>
    <row r="64" spans="1:23" x14ac:dyDescent="0.2">
      <c r="A64" s="316"/>
      <c r="B64" s="328"/>
      <c r="C64" s="328">
        <v>60</v>
      </c>
      <c r="D64" s="335">
        <v>0.91039999999999999</v>
      </c>
      <c r="E64" s="336">
        <v>319.15750000000003</v>
      </c>
      <c r="F64" s="332">
        <v>9.01E-2</v>
      </c>
      <c r="G64" s="332">
        <v>1.4E-3</v>
      </c>
      <c r="H64" s="332">
        <v>3.2000000000000002E-3</v>
      </c>
      <c r="I64" s="333">
        <v>2.7900000000000001E-2</v>
      </c>
      <c r="J64" s="337">
        <v>1.2999999999999999E-3</v>
      </c>
      <c r="K64" s="319"/>
      <c r="L64" s="308"/>
      <c r="M64" s="316"/>
      <c r="N64" s="328"/>
      <c r="O64" s="328">
        <v>60</v>
      </c>
      <c r="P64" s="335">
        <v>0.41049999999999998</v>
      </c>
      <c r="Q64" s="336">
        <v>213.7139</v>
      </c>
      <c r="R64" s="332">
        <v>2.41E-2</v>
      </c>
      <c r="S64" s="332">
        <v>5.0000000000000001E-4</v>
      </c>
      <c r="T64" s="332">
        <v>2.0999999999999999E-3</v>
      </c>
      <c r="U64" s="333">
        <v>1.2200000000000001E-2</v>
      </c>
      <c r="V64" s="337">
        <v>5.0000000000000001E-4</v>
      </c>
      <c r="W64" s="319"/>
    </row>
    <row r="65" spans="1:23" x14ac:dyDescent="0.2">
      <c r="A65" s="316"/>
      <c r="B65" s="328"/>
      <c r="C65" s="328">
        <v>61</v>
      </c>
      <c r="D65" s="335">
        <v>0.91020000000000001</v>
      </c>
      <c r="E65" s="336">
        <v>321.16269999999997</v>
      </c>
      <c r="F65" s="332">
        <v>9.0800000000000006E-2</v>
      </c>
      <c r="G65" s="332">
        <v>1.5E-3</v>
      </c>
      <c r="H65" s="332">
        <v>3.2000000000000002E-3</v>
      </c>
      <c r="I65" s="333">
        <v>2.8799999999999999E-2</v>
      </c>
      <c r="J65" s="337">
        <v>1.2999999999999999E-3</v>
      </c>
      <c r="K65" s="319"/>
      <c r="L65" s="308"/>
      <c r="M65" s="316"/>
      <c r="N65" s="328"/>
      <c r="O65" s="328">
        <v>61</v>
      </c>
      <c r="P65" s="335">
        <v>0.41049999999999998</v>
      </c>
      <c r="Q65" s="336">
        <v>214.90729999999999</v>
      </c>
      <c r="R65" s="332">
        <v>2.4299999999999999E-2</v>
      </c>
      <c r="S65" s="332">
        <v>5.0000000000000001E-4</v>
      </c>
      <c r="T65" s="332">
        <v>2.0999999999999999E-3</v>
      </c>
      <c r="U65" s="333">
        <v>1.2699999999999999E-2</v>
      </c>
      <c r="V65" s="337">
        <v>5.0000000000000001E-4</v>
      </c>
      <c r="W65" s="319"/>
    </row>
    <row r="66" spans="1:23" x14ac:dyDescent="0.2">
      <c r="A66" s="316"/>
      <c r="B66" s="328"/>
      <c r="C66" s="328">
        <v>62</v>
      </c>
      <c r="D66" s="335">
        <v>0.90990000000000004</v>
      </c>
      <c r="E66" s="336">
        <v>323.16789999999997</v>
      </c>
      <c r="F66" s="332">
        <v>9.1499999999999998E-2</v>
      </c>
      <c r="G66" s="332">
        <v>1.5E-3</v>
      </c>
      <c r="H66" s="332">
        <v>3.2000000000000002E-3</v>
      </c>
      <c r="I66" s="333">
        <v>2.98E-2</v>
      </c>
      <c r="J66" s="337">
        <v>1.4E-3</v>
      </c>
      <c r="K66" s="319"/>
      <c r="L66" s="308"/>
      <c r="M66" s="316"/>
      <c r="N66" s="328"/>
      <c r="O66" s="328">
        <v>62</v>
      </c>
      <c r="P66" s="335">
        <v>0.41039999999999999</v>
      </c>
      <c r="Q66" s="336">
        <v>216.10059999999999</v>
      </c>
      <c r="R66" s="332">
        <v>2.4500000000000001E-2</v>
      </c>
      <c r="S66" s="332">
        <v>5.0000000000000001E-4</v>
      </c>
      <c r="T66" s="332">
        <v>2.0999999999999999E-3</v>
      </c>
      <c r="U66" s="333">
        <v>1.3100000000000001E-2</v>
      </c>
      <c r="V66" s="337">
        <v>5.0000000000000001E-4</v>
      </c>
      <c r="W66" s="319"/>
    </row>
    <row r="67" spans="1:23" x14ac:dyDescent="0.2">
      <c r="A67" s="316"/>
      <c r="B67" s="328"/>
      <c r="C67" s="328">
        <v>63</v>
      </c>
      <c r="D67" s="335">
        <v>0.90959999999999996</v>
      </c>
      <c r="E67" s="336">
        <v>325.173</v>
      </c>
      <c r="F67" s="332">
        <v>9.2200000000000004E-2</v>
      </c>
      <c r="G67" s="332">
        <v>1.5E-3</v>
      </c>
      <c r="H67" s="332">
        <v>3.2000000000000002E-3</v>
      </c>
      <c r="I67" s="333">
        <v>3.0700000000000002E-2</v>
      </c>
      <c r="J67" s="337">
        <v>1.4E-3</v>
      </c>
      <c r="K67" s="319"/>
      <c r="L67" s="308"/>
      <c r="M67" s="316"/>
      <c r="N67" s="328"/>
      <c r="O67" s="328">
        <v>63</v>
      </c>
      <c r="P67" s="335">
        <v>0.41039999999999999</v>
      </c>
      <c r="Q67" s="336">
        <v>217.29390000000001</v>
      </c>
      <c r="R67" s="332">
        <v>2.47E-2</v>
      </c>
      <c r="S67" s="332">
        <v>5.0000000000000001E-4</v>
      </c>
      <c r="T67" s="332">
        <v>2.0999999999999999E-3</v>
      </c>
      <c r="U67" s="333">
        <v>1.35E-2</v>
      </c>
      <c r="V67" s="337">
        <v>5.0000000000000001E-4</v>
      </c>
      <c r="W67" s="319"/>
    </row>
    <row r="68" spans="1:23" x14ac:dyDescent="0.2">
      <c r="A68" s="316"/>
      <c r="B68" s="328"/>
      <c r="C68" s="328">
        <v>64</v>
      </c>
      <c r="D68" s="335">
        <v>0.9093</v>
      </c>
      <c r="E68" s="336">
        <v>327.1782</v>
      </c>
      <c r="F68" s="332">
        <v>9.2899999999999996E-2</v>
      </c>
      <c r="G68" s="332">
        <v>1.6000000000000001E-3</v>
      </c>
      <c r="H68" s="332">
        <v>3.2000000000000002E-3</v>
      </c>
      <c r="I68" s="333">
        <v>3.1600000000000003E-2</v>
      </c>
      <c r="J68" s="337">
        <v>1.4E-3</v>
      </c>
      <c r="K68" s="319"/>
      <c r="L68" s="308"/>
      <c r="M68" s="316"/>
      <c r="N68" s="328"/>
      <c r="O68" s="328">
        <v>64</v>
      </c>
      <c r="P68" s="335">
        <v>0.4103</v>
      </c>
      <c r="Q68" s="336">
        <v>218.4873</v>
      </c>
      <c r="R68" s="332">
        <v>2.4899999999999999E-2</v>
      </c>
      <c r="S68" s="332">
        <v>5.0000000000000001E-4</v>
      </c>
      <c r="T68" s="332">
        <v>2.2000000000000001E-3</v>
      </c>
      <c r="U68" s="333">
        <v>1.4E-2</v>
      </c>
      <c r="V68" s="337">
        <v>5.0000000000000001E-4</v>
      </c>
      <c r="W68" s="319"/>
    </row>
    <row r="69" spans="1:23" x14ac:dyDescent="0.2">
      <c r="A69" s="316"/>
      <c r="B69" s="328"/>
      <c r="C69" s="328">
        <v>65</v>
      </c>
      <c r="D69" s="335">
        <v>0.90900000000000003</v>
      </c>
      <c r="E69" s="336">
        <v>329.18340000000001</v>
      </c>
      <c r="F69" s="332">
        <v>9.3600000000000003E-2</v>
      </c>
      <c r="G69" s="332">
        <v>1.6000000000000001E-3</v>
      </c>
      <c r="H69" s="332">
        <v>3.3E-3</v>
      </c>
      <c r="I69" s="333">
        <v>3.2599999999999997E-2</v>
      </c>
      <c r="J69" s="337">
        <v>1.5E-3</v>
      </c>
      <c r="K69" s="319"/>
      <c r="L69" s="308"/>
      <c r="M69" s="316"/>
      <c r="N69" s="328"/>
      <c r="O69" s="328">
        <v>65</v>
      </c>
      <c r="P69" s="335">
        <v>0.4103</v>
      </c>
      <c r="Q69" s="336">
        <v>219.6806</v>
      </c>
      <c r="R69" s="332">
        <v>2.5100000000000001E-2</v>
      </c>
      <c r="S69" s="332">
        <v>5.9999999999999995E-4</v>
      </c>
      <c r="T69" s="332">
        <v>2.2000000000000001E-3</v>
      </c>
      <c r="U69" s="333">
        <v>1.44E-2</v>
      </c>
      <c r="V69" s="337">
        <v>5.0000000000000001E-4</v>
      </c>
      <c r="W69" s="319"/>
    </row>
    <row r="70" spans="1:23" x14ac:dyDescent="0.2">
      <c r="A70" s="316"/>
      <c r="B70" s="328"/>
      <c r="C70" s="328">
        <v>66</v>
      </c>
      <c r="D70" s="335">
        <v>0.93279999999999996</v>
      </c>
      <c r="E70" s="336">
        <v>332.12740000000002</v>
      </c>
      <c r="F70" s="332">
        <v>9.6100000000000005E-2</v>
      </c>
      <c r="G70" s="332">
        <v>1.6000000000000001E-3</v>
      </c>
      <c r="H70" s="332">
        <v>3.3E-3</v>
      </c>
      <c r="I70" s="333">
        <v>3.4000000000000002E-2</v>
      </c>
      <c r="J70" s="337">
        <v>1.5E-3</v>
      </c>
      <c r="K70" s="319"/>
      <c r="L70" s="308"/>
      <c r="M70" s="316"/>
      <c r="N70" s="328"/>
      <c r="O70" s="328">
        <v>66</v>
      </c>
      <c r="P70" s="335">
        <v>0.41370000000000001</v>
      </c>
      <c r="Q70" s="336">
        <v>220.947</v>
      </c>
      <c r="R70" s="332">
        <v>2.5399999999999999E-2</v>
      </c>
      <c r="S70" s="332">
        <v>5.9999999999999995E-4</v>
      </c>
      <c r="T70" s="332">
        <v>2.2000000000000001E-3</v>
      </c>
      <c r="U70" s="333">
        <v>1.47E-2</v>
      </c>
      <c r="V70" s="337">
        <v>5.0000000000000001E-4</v>
      </c>
      <c r="W70" s="319"/>
    </row>
    <row r="71" spans="1:23" x14ac:dyDescent="0.2">
      <c r="A71" s="316"/>
      <c r="B71" s="328"/>
      <c r="C71" s="328">
        <v>67</v>
      </c>
      <c r="D71" s="335">
        <v>0.95660000000000001</v>
      </c>
      <c r="E71" s="336">
        <v>335.07130000000001</v>
      </c>
      <c r="F71" s="332">
        <v>9.8599999999999993E-2</v>
      </c>
      <c r="G71" s="332">
        <v>1.6000000000000001E-3</v>
      </c>
      <c r="H71" s="332">
        <v>3.3E-3</v>
      </c>
      <c r="I71" s="333">
        <v>3.5499999999999997E-2</v>
      </c>
      <c r="J71" s="337">
        <v>1.5E-3</v>
      </c>
      <c r="K71" s="319"/>
      <c r="L71" s="308"/>
      <c r="M71" s="316"/>
      <c r="N71" s="328"/>
      <c r="O71" s="328">
        <v>67</v>
      </c>
      <c r="P71" s="335">
        <v>0.41710000000000003</v>
      </c>
      <c r="Q71" s="336">
        <v>222.21340000000001</v>
      </c>
      <c r="R71" s="332">
        <v>2.5600000000000001E-2</v>
      </c>
      <c r="S71" s="332">
        <v>5.9999999999999995E-4</v>
      </c>
      <c r="T71" s="332">
        <v>2.2000000000000001E-3</v>
      </c>
      <c r="U71" s="333">
        <v>1.49E-2</v>
      </c>
      <c r="V71" s="337">
        <v>5.0000000000000001E-4</v>
      </c>
      <c r="W71" s="319"/>
    </row>
    <row r="72" spans="1:23" x14ac:dyDescent="0.2">
      <c r="A72" s="316"/>
      <c r="B72" s="328"/>
      <c r="C72" s="328">
        <v>68</v>
      </c>
      <c r="D72" s="335">
        <v>0.98040000000000005</v>
      </c>
      <c r="E72" s="336">
        <v>338.01519999999999</v>
      </c>
      <c r="F72" s="332">
        <v>0.1011</v>
      </c>
      <c r="G72" s="332">
        <v>1.6999999999999999E-3</v>
      </c>
      <c r="H72" s="332">
        <v>3.3E-3</v>
      </c>
      <c r="I72" s="333">
        <v>3.6999999999999998E-2</v>
      </c>
      <c r="J72" s="337">
        <v>1.5E-3</v>
      </c>
      <c r="K72" s="319"/>
      <c r="L72" s="308"/>
      <c r="M72" s="316"/>
      <c r="N72" s="328"/>
      <c r="O72" s="328">
        <v>68</v>
      </c>
      <c r="P72" s="335">
        <v>0.42049999999999998</v>
      </c>
      <c r="Q72" s="336">
        <v>223.47980000000001</v>
      </c>
      <c r="R72" s="332">
        <v>2.58E-2</v>
      </c>
      <c r="S72" s="332">
        <v>5.9999999999999995E-4</v>
      </c>
      <c r="T72" s="332">
        <v>2.2000000000000001E-3</v>
      </c>
      <c r="U72" s="333">
        <v>1.52E-2</v>
      </c>
      <c r="V72" s="337">
        <v>5.0000000000000001E-4</v>
      </c>
      <c r="W72" s="319"/>
    </row>
    <row r="73" spans="1:23" x14ac:dyDescent="0.2">
      <c r="A73" s="316"/>
      <c r="B73" s="328"/>
      <c r="C73" s="328">
        <v>69</v>
      </c>
      <c r="D73" s="335">
        <v>1.0041</v>
      </c>
      <c r="E73" s="336">
        <v>340.95920000000001</v>
      </c>
      <c r="F73" s="332">
        <v>0.1036</v>
      </c>
      <c r="G73" s="332">
        <v>1.6999999999999999E-3</v>
      </c>
      <c r="H73" s="332">
        <v>3.3999999999999998E-3</v>
      </c>
      <c r="I73" s="333">
        <v>3.8399999999999997E-2</v>
      </c>
      <c r="J73" s="337">
        <v>1.6000000000000001E-3</v>
      </c>
      <c r="K73" s="319"/>
      <c r="L73" s="308"/>
      <c r="M73" s="316"/>
      <c r="N73" s="328"/>
      <c r="O73" s="328">
        <v>69</v>
      </c>
      <c r="P73" s="335">
        <v>0.42380000000000001</v>
      </c>
      <c r="Q73" s="336">
        <v>224.74629999999999</v>
      </c>
      <c r="R73" s="332">
        <v>2.5999999999999999E-2</v>
      </c>
      <c r="S73" s="332">
        <v>5.9999999999999995E-4</v>
      </c>
      <c r="T73" s="332">
        <v>2.2000000000000001E-3</v>
      </c>
      <c r="U73" s="333">
        <v>1.55E-2</v>
      </c>
      <c r="V73" s="337">
        <v>5.0000000000000001E-4</v>
      </c>
      <c r="W73" s="319"/>
    </row>
    <row r="74" spans="1:23" x14ac:dyDescent="0.2">
      <c r="A74" s="316"/>
      <c r="B74" s="328"/>
      <c r="C74" s="328">
        <v>70</v>
      </c>
      <c r="D74" s="335">
        <v>1.0279</v>
      </c>
      <c r="E74" s="336">
        <v>343.90309999999999</v>
      </c>
      <c r="F74" s="332">
        <v>0.1062</v>
      </c>
      <c r="G74" s="332">
        <v>1.6999999999999999E-3</v>
      </c>
      <c r="H74" s="332">
        <v>3.3999999999999998E-3</v>
      </c>
      <c r="I74" s="333">
        <v>3.9899999999999998E-2</v>
      </c>
      <c r="J74" s="337">
        <v>1.6000000000000001E-3</v>
      </c>
      <c r="K74" s="319"/>
      <c r="L74" s="308"/>
      <c r="M74" s="316"/>
      <c r="N74" s="328"/>
      <c r="O74" s="328">
        <v>70</v>
      </c>
      <c r="P74" s="335">
        <v>0.42720000000000002</v>
      </c>
      <c r="Q74" s="336">
        <v>226.0127</v>
      </c>
      <c r="R74" s="332">
        <v>2.6200000000000001E-2</v>
      </c>
      <c r="S74" s="332">
        <v>5.9999999999999995E-4</v>
      </c>
      <c r="T74" s="332">
        <v>2.2000000000000001E-3</v>
      </c>
      <c r="U74" s="333">
        <v>1.5699999999999999E-2</v>
      </c>
      <c r="V74" s="337">
        <v>5.9999999999999995E-4</v>
      </c>
      <c r="W74" s="319"/>
    </row>
    <row r="75" spans="1:23" x14ac:dyDescent="0.2">
      <c r="A75" s="316"/>
      <c r="B75" s="328"/>
      <c r="C75" s="338"/>
      <c r="D75" s="335"/>
      <c r="E75" s="336"/>
      <c r="F75" s="332"/>
      <c r="G75" s="332"/>
      <c r="H75" s="332"/>
      <c r="I75" s="333"/>
      <c r="J75" s="337"/>
      <c r="K75" s="319"/>
      <c r="L75" s="308"/>
      <c r="M75" s="316"/>
      <c r="N75" s="328"/>
      <c r="O75" s="338"/>
      <c r="P75" s="335"/>
      <c r="Q75" s="336"/>
      <c r="R75" s="332"/>
      <c r="S75" s="332"/>
      <c r="T75" s="332"/>
      <c r="U75" s="333"/>
      <c r="V75" s="337"/>
      <c r="W75" s="319"/>
    </row>
    <row r="76" spans="1:23" x14ac:dyDescent="0.2">
      <c r="A76" s="316"/>
      <c r="B76" s="328" t="s">
        <v>8</v>
      </c>
      <c r="C76" s="328">
        <v>0</v>
      </c>
      <c r="D76" s="335">
        <v>0.93049999999999999</v>
      </c>
      <c r="E76" s="336">
        <v>9.0246999999999993</v>
      </c>
      <c r="F76" s="332">
        <v>0.67410000000000003</v>
      </c>
      <c r="G76" s="332">
        <v>2.0000000000000001E-4</v>
      </c>
      <c r="H76" s="332">
        <v>2.0000000000000001E-4</v>
      </c>
      <c r="I76" s="333">
        <v>6.5699999999999995E-2</v>
      </c>
      <c r="J76" s="337">
        <v>2.0000000000000001E-4</v>
      </c>
      <c r="K76" s="319"/>
      <c r="L76" s="308"/>
      <c r="M76" s="316"/>
      <c r="N76" s="328" t="s">
        <v>8</v>
      </c>
      <c r="O76" s="328">
        <v>0</v>
      </c>
      <c r="P76" s="335">
        <v>0.54259999999999997</v>
      </c>
      <c r="Q76" s="336">
        <v>6.2183999999999999</v>
      </c>
      <c r="R76" s="332">
        <v>0.87839999999999996</v>
      </c>
      <c r="S76" s="332">
        <v>1E-4</v>
      </c>
      <c r="T76" s="332">
        <v>1E-4</v>
      </c>
      <c r="U76" s="333">
        <v>2.1600000000000001E-2</v>
      </c>
      <c r="V76" s="337">
        <v>1E-4</v>
      </c>
      <c r="W76" s="319"/>
    </row>
    <row r="77" spans="1:23" x14ac:dyDescent="0.2">
      <c r="A77" s="316"/>
      <c r="B77" s="328"/>
      <c r="C77" s="328">
        <v>5</v>
      </c>
      <c r="D77" s="335">
        <v>3.6941999999999999</v>
      </c>
      <c r="E77" s="336">
        <v>2632.6795000000002</v>
      </c>
      <c r="F77" s="332">
        <v>8.9240999999999993</v>
      </c>
      <c r="G77" s="332">
        <v>0.1305</v>
      </c>
      <c r="H77" s="332">
        <v>2.46E-2</v>
      </c>
      <c r="I77" s="333">
        <v>1.0958000000000001</v>
      </c>
      <c r="J77" s="337">
        <v>0.12479999999999999</v>
      </c>
      <c r="K77" s="319"/>
      <c r="L77" s="308"/>
      <c r="M77" s="316"/>
      <c r="N77" s="328"/>
      <c r="O77" s="328">
        <v>5</v>
      </c>
      <c r="P77" s="335">
        <v>2.2343000000000002</v>
      </c>
      <c r="Q77" s="336">
        <v>2133.8128000000002</v>
      </c>
      <c r="R77" s="332">
        <v>7.8220000000000001</v>
      </c>
      <c r="S77" s="332">
        <v>1.04E-2</v>
      </c>
      <c r="T77" s="332">
        <v>1.9699999999999999E-2</v>
      </c>
      <c r="U77" s="333">
        <v>0.1694</v>
      </c>
      <c r="V77" s="337">
        <v>9.9000000000000008E-3</v>
      </c>
      <c r="W77" s="319"/>
    </row>
    <row r="78" spans="1:23" x14ac:dyDescent="0.2">
      <c r="A78" s="316"/>
      <c r="B78" s="328"/>
      <c r="C78" s="328">
        <v>6</v>
      </c>
      <c r="D78" s="335">
        <v>3.5194999999999999</v>
      </c>
      <c r="E78" s="336">
        <v>2514.9122000000002</v>
      </c>
      <c r="F78" s="332">
        <v>8.2936999999999994</v>
      </c>
      <c r="G78" s="332">
        <v>0.1206</v>
      </c>
      <c r="H78" s="332">
        <v>2.35E-2</v>
      </c>
      <c r="I78" s="333">
        <v>1.0078</v>
      </c>
      <c r="J78" s="337">
        <v>0.1153</v>
      </c>
      <c r="K78" s="319"/>
      <c r="L78" s="308"/>
      <c r="M78" s="316"/>
      <c r="N78" s="328"/>
      <c r="O78" s="328">
        <v>6</v>
      </c>
      <c r="P78" s="335">
        <v>2.1543999999999999</v>
      </c>
      <c r="Q78" s="336">
        <v>2037.2309</v>
      </c>
      <c r="R78" s="332">
        <v>7.2085999999999997</v>
      </c>
      <c r="S78" s="332">
        <v>1.03E-2</v>
      </c>
      <c r="T78" s="332">
        <v>1.8800000000000001E-2</v>
      </c>
      <c r="U78" s="333">
        <v>0.1668</v>
      </c>
      <c r="V78" s="337">
        <v>9.7999999999999997E-3</v>
      </c>
      <c r="W78" s="319"/>
    </row>
    <row r="79" spans="1:23" x14ac:dyDescent="0.2">
      <c r="A79" s="316"/>
      <c r="B79" s="328"/>
      <c r="C79" s="328">
        <v>7</v>
      </c>
      <c r="D79" s="335">
        <v>3.3449</v>
      </c>
      <c r="E79" s="336">
        <v>2397.1448999999998</v>
      </c>
      <c r="F79" s="332">
        <v>7.6632999999999996</v>
      </c>
      <c r="G79" s="332">
        <v>0.11070000000000001</v>
      </c>
      <c r="H79" s="332">
        <v>2.23E-2</v>
      </c>
      <c r="I79" s="333">
        <v>0.91990000000000005</v>
      </c>
      <c r="J79" s="337">
        <v>0.10589999999999999</v>
      </c>
      <c r="K79" s="319"/>
      <c r="L79" s="308"/>
      <c r="M79" s="316"/>
      <c r="N79" s="328"/>
      <c r="O79" s="328">
        <v>7</v>
      </c>
      <c r="P79" s="335">
        <v>2.0745</v>
      </c>
      <c r="Q79" s="336">
        <v>1940.6488999999999</v>
      </c>
      <c r="R79" s="332">
        <v>6.5952999999999999</v>
      </c>
      <c r="S79" s="332">
        <v>1.01E-2</v>
      </c>
      <c r="T79" s="332">
        <v>1.78E-2</v>
      </c>
      <c r="U79" s="333">
        <v>0.1643</v>
      </c>
      <c r="V79" s="337">
        <v>9.5999999999999992E-3</v>
      </c>
      <c r="W79" s="319"/>
    </row>
    <row r="80" spans="1:23" x14ac:dyDescent="0.2">
      <c r="A80" s="316"/>
      <c r="B80" s="328"/>
      <c r="C80" s="328">
        <v>8</v>
      </c>
      <c r="D80" s="335">
        <v>3.1701999999999999</v>
      </c>
      <c r="E80" s="336">
        <v>2279.3775000000001</v>
      </c>
      <c r="F80" s="332">
        <v>7.0328999999999997</v>
      </c>
      <c r="G80" s="332">
        <v>0.1009</v>
      </c>
      <c r="H80" s="332">
        <v>2.12E-2</v>
      </c>
      <c r="I80" s="333">
        <v>0.83189999999999997</v>
      </c>
      <c r="J80" s="337">
        <v>9.6500000000000002E-2</v>
      </c>
      <c r="K80" s="319"/>
      <c r="L80" s="308"/>
      <c r="M80" s="316"/>
      <c r="N80" s="328"/>
      <c r="O80" s="328">
        <v>8</v>
      </c>
      <c r="P80" s="335">
        <v>1.9945999999999999</v>
      </c>
      <c r="Q80" s="336">
        <v>1844.067</v>
      </c>
      <c r="R80" s="332">
        <v>5.9819000000000004</v>
      </c>
      <c r="S80" s="332">
        <v>0.01</v>
      </c>
      <c r="T80" s="332">
        <v>1.6899999999999998E-2</v>
      </c>
      <c r="U80" s="333">
        <v>0.16170000000000001</v>
      </c>
      <c r="V80" s="337">
        <v>9.4999999999999998E-3</v>
      </c>
      <c r="W80" s="319"/>
    </row>
    <row r="81" spans="1:23" x14ac:dyDescent="0.2">
      <c r="A81" s="316"/>
      <c r="B81" s="328"/>
      <c r="C81" s="328">
        <v>9</v>
      </c>
      <c r="D81" s="335">
        <v>2.9956</v>
      </c>
      <c r="E81" s="336">
        <v>2161.6102000000001</v>
      </c>
      <c r="F81" s="332">
        <v>6.4025999999999996</v>
      </c>
      <c r="G81" s="332">
        <v>9.0999999999999998E-2</v>
      </c>
      <c r="H81" s="332">
        <v>2.01E-2</v>
      </c>
      <c r="I81" s="333">
        <v>0.74399999999999999</v>
      </c>
      <c r="J81" s="337">
        <v>8.6999999999999994E-2</v>
      </c>
      <c r="K81" s="319"/>
      <c r="L81" s="308"/>
      <c r="M81" s="316"/>
      <c r="N81" s="328"/>
      <c r="O81" s="328">
        <v>9</v>
      </c>
      <c r="P81" s="335">
        <v>1.9147000000000001</v>
      </c>
      <c r="Q81" s="336">
        <v>1747.4849999999999</v>
      </c>
      <c r="R81" s="332">
        <v>5.3685</v>
      </c>
      <c r="S81" s="332">
        <v>9.9000000000000008E-3</v>
      </c>
      <c r="T81" s="332">
        <v>1.6E-2</v>
      </c>
      <c r="U81" s="333">
        <v>0.15909999999999999</v>
      </c>
      <c r="V81" s="337">
        <v>9.4000000000000004E-3</v>
      </c>
      <c r="W81" s="319"/>
    </row>
    <row r="82" spans="1:23" x14ac:dyDescent="0.2">
      <c r="A82" s="316"/>
      <c r="B82" s="328"/>
      <c r="C82" s="328">
        <v>10</v>
      </c>
      <c r="D82" s="335">
        <v>2.8209</v>
      </c>
      <c r="E82" s="336">
        <v>2043.8427999999999</v>
      </c>
      <c r="F82" s="332">
        <v>5.7721999999999998</v>
      </c>
      <c r="G82" s="332">
        <v>8.1199999999999994E-2</v>
      </c>
      <c r="H82" s="332">
        <v>1.9E-2</v>
      </c>
      <c r="I82" s="333">
        <v>0.65600000000000003</v>
      </c>
      <c r="J82" s="337">
        <v>7.7600000000000002E-2</v>
      </c>
      <c r="K82" s="319"/>
      <c r="L82" s="308"/>
      <c r="M82" s="316"/>
      <c r="N82" s="328"/>
      <c r="O82" s="328">
        <v>10</v>
      </c>
      <c r="P82" s="335">
        <v>1.8348</v>
      </c>
      <c r="Q82" s="336">
        <v>1650.9031</v>
      </c>
      <c r="R82" s="332">
        <v>4.7550999999999997</v>
      </c>
      <c r="S82" s="332">
        <v>9.7000000000000003E-3</v>
      </c>
      <c r="T82" s="332">
        <v>1.4999999999999999E-2</v>
      </c>
      <c r="U82" s="333">
        <v>0.15659999999999999</v>
      </c>
      <c r="V82" s="337">
        <v>9.2999999999999992E-3</v>
      </c>
      <c r="W82" s="319"/>
    </row>
    <row r="83" spans="1:23" x14ac:dyDescent="0.2">
      <c r="A83" s="316"/>
      <c r="B83" s="328"/>
      <c r="C83" s="328">
        <v>11</v>
      </c>
      <c r="D83" s="335">
        <v>2.6204999999999998</v>
      </c>
      <c r="E83" s="336">
        <v>1905.7080000000001</v>
      </c>
      <c r="F83" s="332">
        <v>5.2309999999999999</v>
      </c>
      <c r="G83" s="332">
        <v>7.3700000000000002E-2</v>
      </c>
      <c r="H83" s="332">
        <v>1.78E-2</v>
      </c>
      <c r="I83" s="333">
        <v>0.58640000000000003</v>
      </c>
      <c r="J83" s="337">
        <v>7.0499999999999993E-2</v>
      </c>
      <c r="K83" s="319"/>
      <c r="L83" s="308"/>
      <c r="M83" s="316"/>
      <c r="N83" s="328"/>
      <c r="O83" s="328">
        <v>11</v>
      </c>
      <c r="P83" s="335">
        <v>1.6376999999999999</v>
      </c>
      <c r="Q83" s="336">
        <v>1541.7982999999999</v>
      </c>
      <c r="R83" s="332">
        <v>4.2323000000000004</v>
      </c>
      <c r="S83" s="332">
        <v>9.4999999999999998E-3</v>
      </c>
      <c r="T83" s="332">
        <v>1.41E-2</v>
      </c>
      <c r="U83" s="333">
        <v>0.14560000000000001</v>
      </c>
      <c r="V83" s="337">
        <v>8.9999999999999993E-3</v>
      </c>
      <c r="W83" s="319"/>
    </row>
    <row r="84" spans="1:23" x14ac:dyDescent="0.2">
      <c r="A84" s="316"/>
      <c r="B84" s="328"/>
      <c r="C84" s="328">
        <v>12</v>
      </c>
      <c r="D84" s="335">
        <v>2.4201999999999999</v>
      </c>
      <c r="E84" s="336">
        <v>1767.5732</v>
      </c>
      <c r="F84" s="332">
        <v>4.6898</v>
      </c>
      <c r="G84" s="332">
        <v>6.6299999999999998E-2</v>
      </c>
      <c r="H84" s="332">
        <v>1.6500000000000001E-2</v>
      </c>
      <c r="I84" s="333">
        <v>0.51690000000000003</v>
      </c>
      <c r="J84" s="337">
        <v>6.3299999999999995E-2</v>
      </c>
      <c r="K84" s="319"/>
      <c r="L84" s="308"/>
      <c r="M84" s="316"/>
      <c r="N84" s="328"/>
      <c r="O84" s="328">
        <v>12</v>
      </c>
      <c r="P84" s="335">
        <v>1.4404999999999999</v>
      </c>
      <c r="Q84" s="336">
        <v>1432.6935000000001</v>
      </c>
      <c r="R84" s="332">
        <v>3.7096</v>
      </c>
      <c r="S84" s="332">
        <v>9.1999999999999998E-3</v>
      </c>
      <c r="T84" s="332">
        <v>1.32E-2</v>
      </c>
      <c r="U84" s="333">
        <v>0.13469999999999999</v>
      </c>
      <c r="V84" s="337">
        <v>8.8000000000000005E-3</v>
      </c>
      <c r="W84" s="319"/>
    </row>
    <row r="85" spans="1:23" x14ac:dyDescent="0.2">
      <c r="A85" s="316"/>
      <c r="B85" s="328"/>
      <c r="C85" s="328">
        <v>13</v>
      </c>
      <c r="D85" s="335">
        <v>2.2198000000000002</v>
      </c>
      <c r="E85" s="336">
        <v>1629.4383</v>
      </c>
      <c r="F85" s="332">
        <v>4.1485000000000003</v>
      </c>
      <c r="G85" s="332">
        <v>5.8799999999999998E-2</v>
      </c>
      <c r="H85" s="332">
        <v>1.5299999999999999E-2</v>
      </c>
      <c r="I85" s="333">
        <v>0.44740000000000002</v>
      </c>
      <c r="J85" s="337">
        <v>5.62E-2</v>
      </c>
      <c r="K85" s="319"/>
      <c r="L85" s="308"/>
      <c r="M85" s="316"/>
      <c r="N85" s="328"/>
      <c r="O85" s="328">
        <v>13</v>
      </c>
      <c r="P85" s="335">
        <v>1.2434000000000001</v>
      </c>
      <c r="Q85" s="336">
        <v>1323.5888</v>
      </c>
      <c r="R85" s="332">
        <v>3.1867999999999999</v>
      </c>
      <c r="S85" s="332">
        <v>8.9999999999999993E-3</v>
      </c>
      <c r="T85" s="332">
        <v>1.23E-2</v>
      </c>
      <c r="U85" s="333">
        <v>0.1237</v>
      </c>
      <c r="V85" s="337">
        <v>8.6E-3</v>
      </c>
      <c r="W85" s="319"/>
    </row>
    <row r="86" spans="1:23" x14ac:dyDescent="0.2">
      <c r="A86" s="316"/>
      <c r="B86" s="328"/>
      <c r="C86" s="328">
        <v>14</v>
      </c>
      <c r="D86" s="335">
        <v>2.0194999999999999</v>
      </c>
      <c r="E86" s="336">
        <v>1491.3035</v>
      </c>
      <c r="F86" s="332">
        <v>3.6073</v>
      </c>
      <c r="G86" s="332">
        <v>5.1400000000000001E-2</v>
      </c>
      <c r="H86" s="332">
        <v>1.41E-2</v>
      </c>
      <c r="I86" s="333">
        <v>0.37780000000000002</v>
      </c>
      <c r="J86" s="337">
        <v>4.9099999999999998E-2</v>
      </c>
      <c r="K86" s="319"/>
      <c r="L86" s="308"/>
      <c r="M86" s="316"/>
      <c r="N86" s="328"/>
      <c r="O86" s="328">
        <v>14</v>
      </c>
      <c r="P86" s="335">
        <v>1.0462</v>
      </c>
      <c r="Q86" s="336">
        <v>1214.4839999999999</v>
      </c>
      <c r="R86" s="332">
        <v>2.6640000000000001</v>
      </c>
      <c r="S86" s="332">
        <v>8.6999999999999994E-3</v>
      </c>
      <c r="T86" s="332">
        <v>1.1299999999999999E-2</v>
      </c>
      <c r="U86" s="333">
        <v>0.1128</v>
      </c>
      <c r="V86" s="337">
        <v>8.3000000000000001E-3</v>
      </c>
      <c r="W86" s="319"/>
    </row>
    <row r="87" spans="1:23" x14ac:dyDescent="0.2">
      <c r="A87" s="316"/>
      <c r="B87" s="328"/>
      <c r="C87" s="328">
        <v>15</v>
      </c>
      <c r="D87" s="335">
        <v>1.8190999999999999</v>
      </c>
      <c r="E87" s="336">
        <v>1353.1686999999999</v>
      </c>
      <c r="F87" s="332">
        <v>3.0661</v>
      </c>
      <c r="G87" s="332">
        <v>4.3999999999999997E-2</v>
      </c>
      <c r="H87" s="332">
        <v>1.29E-2</v>
      </c>
      <c r="I87" s="333">
        <v>0.30830000000000002</v>
      </c>
      <c r="J87" s="337">
        <v>4.2000000000000003E-2</v>
      </c>
      <c r="K87" s="319"/>
      <c r="L87" s="308"/>
      <c r="M87" s="316"/>
      <c r="N87" s="328"/>
      <c r="O87" s="328">
        <v>15</v>
      </c>
      <c r="P87" s="335">
        <v>0.84899999999999998</v>
      </c>
      <c r="Q87" s="336">
        <v>1105.3793000000001</v>
      </c>
      <c r="R87" s="332">
        <v>2.1412</v>
      </c>
      <c r="S87" s="332">
        <v>8.5000000000000006E-3</v>
      </c>
      <c r="T87" s="332">
        <v>1.04E-2</v>
      </c>
      <c r="U87" s="333">
        <v>0.1018</v>
      </c>
      <c r="V87" s="337">
        <v>8.0999999999999996E-3</v>
      </c>
      <c r="W87" s="319"/>
    </row>
    <row r="88" spans="1:23" x14ac:dyDescent="0.2">
      <c r="A88" s="316"/>
      <c r="B88" s="328"/>
      <c r="C88" s="328">
        <v>16</v>
      </c>
      <c r="D88" s="335">
        <v>1.7210000000000001</v>
      </c>
      <c r="E88" s="336">
        <v>1328.7488000000001</v>
      </c>
      <c r="F88" s="332">
        <v>3.0670999999999999</v>
      </c>
      <c r="G88" s="332">
        <v>4.3200000000000002E-2</v>
      </c>
      <c r="H88" s="332">
        <v>1.26E-2</v>
      </c>
      <c r="I88" s="333">
        <v>0.2863</v>
      </c>
      <c r="J88" s="337">
        <v>4.1300000000000003E-2</v>
      </c>
      <c r="K88" s="319"/>
      <c r="L88" s="308"/>
      <c r="M88" s="316"/>
      <c r="N88" s="328"/>
      <c r="O88" s="328">
        <v>16</v>
      </c>
      <c r="P88" s="335">
        <v>0.76729999999999998</v>
      </c>
      <c r="Q88" s="336">
        <v>1083.3924999999999</v>
      </c>
      <c r="R88" s="332">
        <v>2.1164000000000001</v>
      </c>
      <c r="S88" s="332">
        <v>8.0999999999999996E-3</v>
      </c>
      <c r="T88" s="332">
        <v>1.0200000000000001E-2</v>
      </c>
      <c r="U88" s="333">
        <v>8.9899999999999994E-2</v>
      </c>
      <c r="V88" s="337">
        <v>7.7000000000000002E-3</v>
      </c>
      <c r="W88" s="319"/>
    </row>
    <row r="89" spans="1:23" x14ac:dyDescent="0.2">
      <c r="A89" s="316"/>
      <c r="B89" s="328"/>
      <c r="C89" s="328">
        <v>17</v>
      </c>
      <c r="D89" s="335">
        <v>1.6228</v>
      </c>
      <c r="E89" s="336">
        <v>1304.3289</v>
      </c>
      <c r="F89" s="332">
        <v>3.0680999999999998</v>
      </c>
      <c r="G89" s="332">
        <v>4.24E-2</v>
      </c>
      <c r="H89" s="332">
        <v>1.24E-2</v>
      </c>
      <c r="I89" s="333">
        <v>0.26440000000000002</v>
      </c>
      <c r="J89" s="337">
        <v>4.0500000000000001E-2</v>
      </c>
      <c r="K89" s="319"/>
      <c r="L89" s="308"/>
      <c r="M89" s="316"/>
      <c r="N89" s="328"/>
      <c r="O89" s="328">
        <v>17</v>
      </c>
      <c r="P89" s="335">
        <v>0.68559999999999999</v>
      </c>
      <c r="Q89" s="336">
        <v>1061.4058</v>
      </c>
      <c r="R89" s="332">
        <v>2.0916999999999999</v>
      </c>
      <c r="S89" s="332">
        <v>7.7000000000000002E-3</v>
      </c>
      <c r="T89" s="332">
        <v>0.01</v>
      </c>
      <c r="U89" s="333">
        <v>7.8E-2</v>
      </c>
      <c r="V89" s="337">
        <v>7.3000000000000001E-3</v>
      </c>
      <c r="W89" s="319"/>
    </row>
    <row r="90" spans="1:23" x14ac:dyDescent="0.2">
      <c r="A90" s="316"/>
      <c r="B90" s="328"/>
      <c r="C90" s="328">
        <v>18</v>
      </c>
      <c r="D90" s="335">
        <v>1.5246</v>
      </c>
      <c r="E90" s="336">
        <v>1279.9090000000001</v>
      </c>
      <c r="F90" s="332">
        <v>3.0691999999999999</v>
      </c>
      <c r="G90" s="332">
        <v>4.1599999999999998E-2</v>
      </c>
      <c r="H90" s="332">
        <v>1.2200000000000001E-2</v>
      </c>
      <c r="I90" s="333">
        <v>0.2424</v>
      </c>
      <c r="J90" s="337">
        <v>3.9800000000000002E-2</v>
      </c>
      <c r="K90" s="319"/>
      <c r="L90" s="308"/>
      <c r="M90" s="316"/>
      <c r="N90" s="328"/>
      <c r="O90" s="328">
        <v>18</v>
      </c>
      <c r="P90" s="335">
        <v>0.60389999999999999</v>
      </c>
      <c r="Q90" s="336">
        <v>1039.4190000000001</v>
      </c>
      <c r="R90" s="332">
        <v>2.0669</v>
      </c>
      <c r="S90" s="332">
        <v>7.3000000000000001E-3</v>
      </c>
      <c r="T90" s="332">
        <v>9.7999999999999997E-3</v>
      </c>
      <c r="U90" s="333">
        <v>6.6100000000000006E-2</v>
      </c>
      <c r="V90" s="337">
        <v>7.0000000000000001E-3</v>
      </c>
      <c r="W90" s="319"/>
    </row>
    <row r="91" spans="1:23" x14ac:dyDescent="0.2">
      <c r="A91" s="316"/>
      <c r="B91" s="328"/>
      <c r="C91" s="328">
        <v>19</v>
      </c>
      <c r="D91" s="335">
        <v>1.4265000000000001</v>
      </c>
      <c r="E91" s="336">
        <v>1255.4891</v>
      </c>
      <c r="F91" s="332">
        <v>3.0701999999999998</v>
      </c>
      <c r="G91" s="332">
        <v>4.0899999999999999E-2</v>
      </c>
      <c r="H91" s="332">
        <v>1.2E-2</v>
      </c>
      <c r="I91" s="333">
        <v>0.2205</v>
      </c>
      <c r="J91" s="337">
        <v>3.9100000000000003E-2</v>
      </c>
      <c r="K91" s="319"/>
      <c r="L91" s="308"/>
      <c r="M91" s="316"/>
      <c r="N91" s="328"/>
      <c r="O91" s="328">
        <v>19</v>
      </c>
      <c r="P91" s="335">
        <v>0.52210000000000001</v>
      </c>
      <c r="Q91" s="336">
        <v>1017.4323000000001</v>
      </c>
      <c r="R91" s="332">
        <v>2.0421999999999998</v>
      </c>
      <c r="S91" s="332">
        <v>6.8999999999999999E-3</v>
      </c>
      <c r="T91" s="332">
        <v>9.5999999999999992E-3</v>
      </c>
      <c r="U91" s="333">
        <v>5.4199999999999998E-2</v>
      </c>
      <c r="V91" s="337">
        <v>6.6E-3</v>
      </c>
      <c r="W91" s="319"/>
    </row>
    <row r="92" spans="1:23" x14ac:dyDescent="0.2">
      <c r="A92" s="316"/>
      <c r="B92" s="328"/>
      <c r="C92" s="328">
        <v>20</v>
      </c>
      <c r="D92" s="335">
        <v>1.3283</v>
      </c>
      <c r="E92" s="336">
        <v>1231.0691999999999</v>
      </c>
      <c r="F92" s="332">
        <v>3.0712000000000002</v>
      </c>
      <c r="G92" s="332">
        <v>4.0099999999999997E-2</v>
      </c>
      <c r="H92" s="332">
        <v>1.17E-2</v>
      </c>
      <c r="I92" s="333">
        <v>0.1986</v>
      </c>
      <c r="J92" s="337">
        <v>3.8300000000000001E-2</v>
      </c>
      <c r="K92" s="319"/>
      <c r="L92" s="308"/>
      <c r="M92" s="316"/>
      <c r="N92" s="328"/>
      <c r="O92" s="328">
        <v>20</v>
      </c>
      <c r="P92" s="335">
        <v>0.44040000000000001</v>
      </c>
      <c r="Q92" s="336">
        <v>995.44560000000001</v>
      </c>
      <c r="R92" s="332">
        <v>2.0173999999999999</v>
      </c>
      <c r="S92" s="332">
        <v>6.4999999999999997E-3</v>
      </c>
      <c r="T92" s="332">
        <v>9.4000000000000004E-3</v>
      </c>
      <c r="U92" s="333">
        <v>4.2299999999999997E-2</v>
      </c>
      <c r="V92" s="337">
        <v>6.1999999999999998E-3</v>
      </c>
      <c r="W92" s="319"/>
    </row>
    <row r="93" spans="1:23" x14ac:dyDescent="0.2">
      <c r="A93" s="316"/>
      <c r="B93" s="328"/>
      <c r="C93" s="328">
        <v>21</v>
      </c>
      <c r="D93" s="335">
        <v>1.2704</v>
      </c>
      <c r="E93" s="336">
        <v>1198.9332999999999</v>
      </c>
      <c r="F93" s="332">
        <v>3.0121000000000002</v>
      </c>
      <c r="G93" s="332">
        <v>3.8800000000000001E-2</v>
      </c>
      <c r="H93" s="332">
        <v>1.14E-2</v>
      </c>
      <c r="I93" s="333">
        <v>0.188</v>
      </c>
      <c r="J93" s="337">
        <v>3.7100000000000001E-2</v>
      </c>
      <c r="K93" s="319"/>
      <c r="L93" s="308"/>
      <c r="M93" s="316"/>
      <c r="N93" s="328"/>
      <c r="O93" s="328">
        <v>21</v>
      </c>
      <c r="P93" s="335">
        <v>0.41899999999999998</v>
      </c>
      <c r="Q93" s="336">
        <v>964.96029999999996</v>
      </c>
      <c r="R93" s="332">
        <v>1.9303999999999999</v>
      </c>
      <c r="S93" s="332">
        <v>6.4000000000000003E-3</v>
      </c>
      <c r="T93" s="332">
        <v>9.1000000000000004E-3</v>
      </c>
      <c r="U93" s="333">
        <v>3.9699999999999999E-2</v>
      </c>
      <c r="V93" s="337">
        <v>6.1000000000000004E-3</v>
      </c>
      <c r="W93" s="319"/>
    </row>
    <row r="94" spans="1:23" x14ac:dyDescent="0.2">
      <c r="A94" s="316"/>
      <c r="B94" s="328"/>
      <c r="C94" s="328">
        <v>22</v>
      </c>
      <c r="D94" s="335">
        <v>1.2123999999999999</v>
      </c>
      <c r="E94" s="336">
        <v>1166.7974999999999</v>
      </c>
      <c r="F94" s="332">
        <v>2.9531000000000001</v>
      </c>
      <c r="G94" s="332">
        <v>3.7600000000000001E-2</v>
      </c>
      <c r="H94" s="332">
        <v>1.11E-2</v>
      </c>
      <c r="I94" s="333">
        <v>0.17749999999999999</v>
      </c>
      <c r="J94" s="337">
        <v>3.5900000000000001E-2</v>
      </c>
      <c r="K94" s="319"/>
      <c r="L94" s="308"/>
      <c r="M94" s="316"/>
      <c r="N94" s="328"/>
      <c r="O94" s="328">
        <v>22</v>
      </c>
      <c r="P94" s="335">
        <v>0.39750000000000002</v>
      </c>
      <c r="Q94" s="336">
        <v>934.47500000000002</v>
      </c>
      <c r="R94" s="332">
        <v>1.8432999999999999</v>
      </c>
      <c r="S94" s="332">
        <v>6.1999999999999998E-3</v>
      </c>
      <c r="T94" s="332">
        <v>8.8000000000000005E-3</v>
      </c>
      <c r="U94" s="333">
        <v>3.6999999999999998E-2</v>
      </c>
      <c r="V94" s="337">
        <v>5.8999999999999999E-3</v>
      </c>
      <c r="W94" s="319"/>
    </row>
    <row r="95" spans="1:23" x14ac:dyDescent="0.2">
      <c r="A95" s="316"/>
      <c r="B95" s="328"/>
      <c r="C95" s="328">
        <v>23</v>
      </c>
      <c r="D95" s="335">
        <v>1.1545000000000001</v>
      </c>
      <c r="E95" s="336">
        <v>1134.6615999999999</v>
      </c>
      <c r="F95" s="332">
        <v>2.8940000000000001</v>
      </c>
      <c r="G95" s="332">
        <v>3.6299999999999999E-2</v>
      </c>
      <c r="H95" s="332">
        <v>1.0800000000000001E-2</v>
      </c>
      <c r="I95" s="333">
        <v>0.16689999999999999</v>
      </c>
      <c r="J95" s="337">
        <v>3.4700000000000002E-2</v>
      </c>
      <c r="K95" s="319"/>
      <c r="L95" s="308"/>
      <c r="M95" s="316"/>
      <c r="N95" s="328"/>
      <c r="O95" s="328">
        <v>23</v>
      </c>
      <c r="P95" s="335">
        <v>0.37609999999999999</v>
      </c>
      <c r="Q95" s="336">
        <v>903.98969999999997</v>
      </c>
      <c r="R95" s="332">
        <v>1.7562</v>
      </c>
      <c r="S95" s="332">
        <v>6.1000000000000004E-3</v>
      </c>
      <c r="T95" s="332">
        <v>8.5000000000000006E-3</v>
      </c>
      <c r="U95" s="333">
        <v>3.44E-2</v>
      </c>
      <c r="V95" s="337">
        <v>5.7999999999999996E-3</v>
      </c>
      <c r="W95" s="319"/>
    </row>
    <row r="96" spans="1:23" x14ac:dyDescent="0.2">
      <c r="A96" s="316"/>
      <c r="B96" s="328"/>
      <c r="C96" s="328">
        <v>24</v>
      </c>
      <c r="D96" s="335">
        <v>1.0965</v>
      </c>
      <c r="E96" s="336">
        <v>1102.5257999999999</v>
      </c>
      <c r="F96" s="332">
        <v>2.835</v>
      </c>
      <c r="G96" s="332">
        <v>3.5000000000000003E-2</v>
      </c>
      <c r="H96" s="332">
        <v>1.0500000000000001E-2</v>
      </c>
      <c r="I96" s="333">
        <v>0.15640000000000001</v>
      </c>
      <c r="J96" s="337">
        <v>3.3500000000000002E-2</v>
      </c>
      <c r="K96" s="319"/>
      <c r="L96" s="308"/>
      <c r="M96" s="316"/>
      <c r="N96" s="328"/>
      <c r="O96" s="328">
        <v>24</v>
      </c>
      <c r="P96" s="335">
        <v>0.35460000000000003</v>
      </c>
      <c r="Q96" s="336">
        <v>873.50440000000003</v>
      </c>
      <c r="R96" s="332">
        <v>1.6692</v>
      </c>
      <c r="S96" s="332">
        <v>5.8999999999999999E-3</v>
      </c>
      <c r="T96" s="332">
        <v>8.2000000000000007E-3</v>
      </c>
      <c r="U96" s="333">
        <v>3.1699999999999999E-2</v>
      </c>
      <c r="V96" s="337">
        <v>5.7000000000000002E-3</v>
      </c>
      <c r="W96" s="319"/>
    </row>
    <row r="97" spans="1:23" x14ac:dyDescent="0.2">
      <c r="A97" s="316"/>
      <c r="B97" s="328"/>
      <c r="C97" s="328">
        <v>25</v>
      </c>
      <c r="D97" s="335">
        <v>1.0386</v>
      </c>
      <c r="E97" s="336">
        <v>1070.3898999999999</v>
      </c>
      <c r="F97" s="332">
        <v>2.7759</v>
      </c>
      <c r="G97" s="332">
        <v>3.3799999999999997E-2</v>
      </c>
      <c r="H97" s="332">
        <v>1.0200000000000001E-2</v>
      </c>
      <c r="I97" s="333">
        <v>0.14580000000000001</v>
      </c>
      <c r="J97" s="337">
        <v>3.2300000000000002E-2</v>
      </c>
      <c r="K97" s="319"/>
      <c r="L97" s="308"/>
      <c r="M97" s="316"/>
      <c r="N97" s="328"/>
      <c r="O97" s="328">
        <v>25</v>
      </c>
      <c r="P97" s="335">
        <v>0.3332</v>
      </c>
      <c r="Q97" s="336">
        <v>843.01919999999996</v>
      </c>
      <c r="R97" s="332">
        <v>1.5821000000000001</v>
      </c>
      <c r="S97" s="332">
        <v>5.7999999999999996E-3</v>
      </c>
      <c r="T97" s="332">
        <v>7.9000000000000008E-3</v>
      </c>
      <c r="U97" s="333">
        <v>2.9000000000000001E-2</v>
      </c>
      <c r="V97" s="337">
        <v>5.4999999999999997E-3</v>
      </c>
      <c r="W97" s="319"/>
    </row>
    <row r="98" spans="1:23" x14ac:dyDescent="0.2">
      <c r="A98" s="316"/>
      <c r="B98" s="328"/>
      <c r="C98" s="328">
        <v>26</v>
      </c>
      <c r="D98" s="335">
        <v>1.0088999999999999</v>
      </c>
      <c r="E98" s="336">
        <v>1057.3246999999999</v>
      </c>
      <c r="F98" s="332">
        <v>2.7566000000000002</v>
      </c>
      <c r="G98" s="332">
        <v>3.3700000000000001E-2</v>
      </c>
      <c r="H98" s="332">
        <v>0.01</v>
      </c>
      <c r="I98" s="333">
        <v>0.1414</v>
      </c>
      <c r="J98" s="337">
        <v>3.2199999999999999E-2</v>
      </c>
      <c r="K98" s="319"/>
      <c r="L98" s="308"/>
      <c r="M98" s="316"/>
      <c r="N98" s="328"/>
      <c r="O98" s="328">
        <v>26</v>
      </c>
      <c r="P98" s="335">
        <v>0.31859999999999999</v>
      </c>
      <c r="Q98" s="336">
        <v>829.32960000000003</v>
      </c>
      <c r="R98" s="332">
        <v>1.5318000000000001</v>
      </c>
      <c r="S98" s="332">
        <v>5.7000000000000002E-3</v>
      </c>
      <c r="T98" s="332">
        <v>7.7999999999999996E-3</v>
      </c>
      <c r="U98" s="333">
        <v>2.75E-2</v>
      </c>
      <c r="V98" s="337">
        <v>5.4000000000000003E-3</v>
      </c>
      <c r="W98" s="319"/>
    </row>
    <row r="99" spans="1:23" x14ac:dyDescent="0.2">
      <c r="A99" s="316"/>
      <c r="B99" s="328"/>
      <c r="C99" s="328">
        <v>27</v>
      </c>
      <c r="D99" s="335">
        <v>0.97919999999999996</v>
      </c>
      <c r="E99" s="336">
        <v>1044.2594999999999</v>
      </c>
      <c r="F99" s="332">
        <v>2.7372999999999998</v>
      </c>
      <c r="G99" s="332">
        <v>3.3599999999999998E-2</v>
      </c>
      <c r="H99" s="332">
        <v>9.9000000000000008E-3</v>
      </c>
      <c r="I99" s="333">
        <v>0.1371</v>
      </c>
      <c r="J99" s="337">
        <v>3.2099999999999997E-2</v>
      </c>
      <c r="K99" s="319"/>
      <c r="L99" s="308"/>
      <c r="M99" s="316"/>
      <c r="N99" s="328"/>
      <c r="O99" s="328">
        <v>27</v>
      </c>
      <c r="P99" s="335">
        <v>0.3039</v>
      </c>
      <c r="Q99" s="336">
        <v>815.63990000000001</v>
      </c>
      <c r="R99" s="332">
        <v>1.4814000000000001</v>
      </c>
      <c r="S99" s="332">
        <v>5.5999999999999999E-3</v>
      </c>
      <c r="T99" s="332">
        <v>7.7000000000000002E-3</v>
      </c>
      <c r="U99" s="333">
        <v>2.5899999999999999E-2</v>
      </c>
      <c r="V99" s="337">
        <v>5.4000000000000003E-3</v>
      </c>
      <c r="W99" s="319"/>
    </row>
    <row r="100" spans="1:23" x14ac:dyDescent="0.2">
      <c r="A100" s="316"/>
      <c r="B100" s="328"/>
      <c r="C100" s="328">
        <v>28</v>
      </c>
      <c r="D100" s="335">
        <v>0.94950000000000001</v>
      </c>
      <c r="E100" s="336">
        <v>1031.1941999999999</v>
      </c>
      <c r="F100" s="332">
        <v>2.718</v>
      </c>
      <c r="G100" s="332">
        <v>3.3500000000000002E-2</v>
      </c>
      <c r="H100" s="332">
        <v>9.7999999999999997E-3</v>
      </c>
      <c r="I100" s="333">
        <v>0.13270000000000001</v>
      </c>
      <c r="J100" s="337">
        <v>3.2000000000000001E-2</v>
      </c>
      <c r="K100" s="319"/>
      <c r="L100" s="308"/>
      <c r="M100" s="316"/>
      <c r="N100" s="328"/>
      <c r="O100" s="328">
        <v>28</v>
      </c>
      <c r="P100" s="335">
        <v>0.2893</v>
      </c>
      <c r="Q100" s="336">
        <v>801.95029999999997</v>
      </c>
      <c r="R100" s="332">
        <v>1.4311</v>
      </c>
      <c r="S100" s="332">
        <v>5.4999999999999997E-3</v>
      </c>
      <c r="T100" s="332">
        <v>7.4999999999999997E-3</v>
      </c>
      <c r="U100" s="333">
        <v>2.4400000000000002E-2</v>
      </c>
      <c r="V100" s="337">
        <v>5.3E-3</v>
      </c>
      <c r="W100" s="319"/>
    </row>
    <row r="101" spans="1:23" x14ac:dyDescent="0.2">
      <c r="A101" s="316"/>
      <c r="B101" s="328"/>
      <c r="C101" s="328">
        <v>29</v>
      </c>
      <c r="D101" s="335">
        <v>0.91979999999999995</v>
      </c>
      <c r="E101" s="336">
        <v>1018.129</v>
      </c>
      <c r="F101" s="332">
        <v>2.6987999999999999</v>
      </c>
      <c r="G101" s="332">
        <v>3.3399999999999999E-2</v>
      </c>
      <c r="H101" s="332">
        <v>9.7000000000000003E-3</v>
      </c>
      <c r="I101" s="333">
        <v>0.1283</v>
      </c>
      <c r="J101" s="337">
        <v>3.1899999999999998E-2</v>
      </c>
      <c r="K101" s="319"/>
      <c r="L101" s="308"/>
      <c r="M101" s="316"/>
      <c r="N101" s="328"/>
      <c r="O101" s="328">
        <v>29</v>
      </c>
      <c r="P101" s="335">
        <v>0.2747</v>
      </c>
      <c r="Q101" s="336">
        <v>788.26070000000004</v>
      </c>
      <c r="R101" s="332">
        <v>1.3808</v>
      </c>
      <c r="S101" s="332">
        <v>5.4000000000000003E-3</v>
      </c>
      <c r="T101" s="332">
        <v>7.4000000000000003E-3</v>
      </c>
      <c r="U101" s="333">
        <v>2.2800000000000001E-2</v>
      </c>
      <c r="V101" s="337">
        <v>5.1999999999999998E-3</v>
      </c>
      <c r="W101" s="319"/>
    </row>
    <row r="102" spans="1:23" x14ac:dyDescent="0.2">
      <c r="A102" s="316"/>
      <c r="B102" s="328"/>
      <c r="C102" s="328">
        <v>30</v>
      </c>
      <c r="D102" s="335">
        <v>0.89019999999999999</v>
      </c>
      <c r="E102" s="336">
        <v>1005.0638</v>
      </c>
      <c r="F102" s="332">
        <v>2.6795</v>
      </c>
      <c r="G102" s="332">
        <v>3.3300000000000003E-2</v>
      </c>
      <c r="H102" s="332">
        <v>9.4999999999999998E-3</v>
      </c>
      <c r="I102" s="333">
        <v>0.1239</v>
      </c>
      <c r="J102" s="337">
        <v>3.1800000000000002E-2</v>
      </c>
      <c r="K102" s="319"/>
      <c r="L102" s="308"/>
      <c r="M102" s="316"/>
      <c r="N102" s="328"/>
      <c r="O102" s="328">
        <v>30</v>
      </c>
      <c r="P102" s="335">
        <v>0.2601</v>
      </c>
      <c r="Q102" s="336">
        <v>774.5711</v>
      </c>
      <c r="R102" s="332">
        <v>1.3305</v>
      </c>
      <c r="S102" s="332">
        <v>5.3E-3</v>
      </c>
      <c r="T102" s="332">
        <v>7.3000000000000001E-3</v>
      </c>
      <c r="U102" s="333">
        <v>2.1299999999999999E-2</v>
      </c>
      <c r="V102" s="337">
        <v>5.1000000000000004E-3</v>
      </c>
      <c r="W102" s="319"/>
    </row>
    <row r="103" spans="1:23" x14ac:dyDescent="0.2">
      <c r="A103" s="316"/>
      <c r="B103" s="328"/>
      <c r="C103" s="328">
        <v>31</v>
      </c>
      <c r="D103" s="335">
        <v>0.86970000000000003</v>
      </c>
      <c r="E103" s="336">
        <v>1009.5733</v>
      </c>
      <c r="F103" s="332">
        <v>2.6972999999999998</v>
      </c>
      <c r="G103" s="332">
        <v>3.3700000000000001E-2</v>
      </c>
      <c r="H103" s="332">
        <v>9.4999999999999998E-3</v>
      </c>
      <c r="I103" s="333">
        <v>0.121</v>
      </c>
      <c r="J103" s="337">
        <v>3.2199999999999999E-2</v>
      </c>
      <c r="K103" s="319"/>
      <c r="L103" s="308"/>
      <c r="M103" s="316"/>
      <c r="N103" s="328"/>
      <c r="O103" s="328">
        <v>31</v>
      </c>
      <c r="P103" s="335">
        <v>0.26169999999999999</v>
      </c>
      <c r="Q103" s="336">
        <v>772.33389999999997</v>
      </c>
      <c r="R103" s="332">
        <v>1.2969999999999999</v>
      </c>
      <c r="S103" s="332">
        <v>5.4000000000000003E-3</v>
      </c>
      <c r="T103" s="332">
        <v>7.1999999999999998E-3</v>
      </c>
      <c r="U103" s="333">
        <v>2.0400000000000001E-2</v>
      </c>
      <c r="V103" s="337">
        <v>5.1999999999999998E-3</v>
      </c>
      <c r="W103" s="319"/>
    </row>
    <row r="104" spans="1:23" x14ac:dyDescent="0.2">
      <c r="A104" s="316"/>
      <c r="B104" s="328"/>
      <c r="C104" s="328">
        <v>32</v>
      </c>
      <c r="D104" s="335">
        <v>0.84930000000000005</v>
      </c>
      <c r="E104" s="336">
        <v>1014.0828</v>
      </c>
      <c r="F104" s="332">
        <v>2.7151999999999998</v>
      </c>
      <c r="G104" s="332">
        <v>3.4099999999999998E-2</v>
      </c>
      <c r="H104" s="332">
        <v>9.4999999999999998E-3</v>
      </c>
      <c r="I104" s="333">
        <v>0.1181</v>
      </c>
      <c r="J104" s="337">
        <v>3.2599999999999997E-2</v>
      </c>
      <c r="K104" s="319"/>
      <c r="L104" s="308"/>
      <c r="M104" s="316"/>
      <c r="N104" s="328"/>
      <c r="O104" s="328">
        <v>32</v>
      </c>
      <c r="P104" s="335">
        <v>0.26340000000000002</v>
      </c>
      <c r="Q104" s="336">
        <v>770.09659999999997</v>
      </c>
      <c r="R104" s="332">
        <v>1.2636000000000001</v>
      </c>
      <c r="S104" s="332">
        <v>5.4999999999999997E-3</v>
      </c>
      <c r="T104" s="332">
        <v>7.1999999999999998E-3</v>
      </c>
      <c r="U104" s="333">
        <v>1.95E-2</v>
      </c>
      <c r="V104" s="337">
        <v>5.1999999999999998E-3</v>
      </c>
      <c r="W104" s="319"/>
    </row>
    <row r="105" spans="1:23" x14ac:dyDescent="0.2">
      <c r="A105" s="316"/>
      <c r="B105" s="328"/>
      <c r="C105" s="328">
        <v>33</v>
      </c>
      <c r="D105" s="335">
        <v>0.82889999999999997</v>
      </c>
      <c r="E105" s="336">
        <v>1018.5923</v>
      </c>
      <c r="F105" s="332">
        <v>2.7330999999999999</v>
      </c>
      <c r="G105" s="332">
        <v>3.4500000000000003E-2</v>
      </c>
      <c r="H105" s="332">
        <v>9.5999999999999992E-3</v>
      </c>
      <c r="I105" s="333">
        <v>0.1152</v>
      </c>
      <c r="J105" s="337">
        <v>3.3000000000000002E-2</v>
      </c>
      <c r="K105" s="319"/>
      <c r="L105" s="308"/>
      <c r="M105" s="316"/>
      <c r="N105" s="328"/>
      <c r="O105" s="328">
        <v>33</v>
      </c>
      <c r="P105" s="335">
        <v>0.26500000000000001</v>
      </c>
      <c r="Q105" s="336">
        <v>767.85940000000005</v>
      </c>
      <c r="R105" s="332">
        <v>1.2302</v>
      </c>
      <c r="S105" s="332">
        <v>5.5999999999999999E-3</v>
      </c>
      <c r="T105" s="332">
        <v>7.1000000000000004E-3</v>
      </c>
      <c r="U105" s="333">
        <v>1.8599999999999998E-2</v>
      </c>
      <c r="V105" s="337">
        <v>5.3E-3</v>
      </c>
      <c r="W105" s="319"/>
    </row>
    <row r="106" spans="1:23" x14ac:dyDescent="0.2">
      <c r="A106" s="316"/>
      <c r="B106" s="328"/>
      <c r="C106" s="328">
        <v>34</v>
      </c>
      <c r="D106" s="335">
        <v>0.80840000000000001</v>
      </c>
      <c r="E106" s="336">
        <v>1023.1018</v>
      </c>
      <c r="F106" s="332">
        <v>2.7509000000000001</v>
      </c>
      <c r="G106" s="332">
        <v>3.49E-2</v>
      </c>
      <c r="H106" s="332">
        <v>9.5999999999999992E-3</v>
      </c>
      <c r="I106" s="333">
        <v>0.1123</v>
      </c>
      <c r="J106" s="337">
        <v>3.3300000000000003E-2</v>
      </c>
      <c r="K106" s="319"/>
      <c r="L106" s="308"/>
      <c r="M106" s="316"/>
      <c r="N106" s="328"/>
      <c r="O106" s="328">
        <v>34</v>
      </c>
      <c r="P106" s="335">
        <v>0.26669999999999999</v>
      </c>
      <c r="Q106" s="336">
        <v>765.62220000000002</v>
      </c>
      <c r="R106" s="332">
        <v>1.1968000000000001</v>
      </c>
      <c r="S106" s="332">
        <v>5.5999999999999999E-3</v>
      </c>
      <c r="T106" s="332">
        <v>7.0000000000000001E-3</v>
      </c>
      <c r="U106" s="333">
        <v>1.77E-2</v>
      </c>
      <c r="V106" s="337">
        <v>5.4000000000000003E-3</v>
      </c>
      <c r="W106" s="319"/>
    </row>
    <row r="107" spans="1:23" x14ac:dyDescent="0.2">
      <c r="A107" s="316"/>
      <c r="B107" s="328"/>
      <c r="C107" s="328">
        <v>35</v>
      </c>
      <c r="D107" s="335">
        <v>0.78800000000000003</v>
      </c>
      <c r="E107" s="336">
        <v>1027.6114</v>
      </c>
      <c r="F107" s="332">
        <v>2.7688000000000001</v>
      </c>
      <c r="G107" s="332">
        <v>3.5299999999999998E-2</v>
      </c>
      <c r="H107" s="332">
        <v>9.5999999999999992E-3</v>
      </c>
      <c r="I107" s="333">
        <v>0.1094</v>
      </c>
      <c r="J107" s="337">
        <v>3.3700000000000001E-2</v>
      </c>
      <c r="K107" s="319"/>
      <c r="L107" s="308"/>
      <c r="M107" s="316"/>
      <c r="N107" s="328"/>
      <c r="O107" s="328">
        <v>35</v>
      </c>
      <c r="P107" s="335">
        <v>0.26829999999999998</v>
      </c>
      <c r="Q107" s="336">
        <v>763.38499999999999</v>
      </c>
      <c r="R107" s="332">
        <v>1.1634</v>
      </c>
      <c r="S107" s="332">
        <v>5.7000000000000002E-3</v>
      </c>
      <c r="T107" s="332">
        <v>7.0000000000000001E-3</v>
      </c>
      <c r="U107" s="333">
        <v>1.6799999999999999E-2</v>
      </c>
      <c r="V107" s="337">
        <v>5.4000000000000003E-3</v>
      </c>
      <c r="W107" s="319"/>
    </row>
    <row r="108" spans="1:23" x14ac:dyDescent="0.2">
      <c r="A108" s="316"/>
      <c r="B108" s="328"/>
      <c r="C108" s="328">
        <v>36</v>
      </c>
      <c r="D108" s="335">
        <v>0.77070000000000005</v>
      </c>
      <c r="E108" s="336">
        <v>1026.1846</v>
      </c>
      <c r="F108" s="332">
        <v>2.7469999999999999</v>
      </c>
      <c r="G108" s="332">
        <v>3.5499999999999997E-2</v>
      </c>
      <c r="H108" s="332">
        <v>9.5999999999999992E-3</v>
      </c>
      <c r="I108" s="333">
        <v>0.1065</v>
      </c>
      <c r="J108" s="337">
        <v>3.4000000000000002E-2</v>
      </c>
      <c r="K108" s="319"/>
      <c r="L108" s="308"/>
      <c r="M108" s="316"/>
      <c r="N108" s="328"/>
      <c r="O108" s="328">
        <v>36</v>
      </c>
      <c r="P108" s="335">
        <v>0.25559999999999999</v>
      </c>
      <c r="Q108" s="336">
        <v>758.74090000000001</v>
      </c>
      <c r="R108" s="332">
        <v>1.1195999999999999</v>
      </c>
      <c r="S108" s="332">
        <v>5.8999999999999999E-3</v>
      </c>
      <c r="T108" s="332">
        <v>7.0000000000000001E-3</v>
      </c>
      <c r="U108" s="333">
        <v>1.6199999999999999E-2</v>
      </c>
      <c r="V108" s="337">
        <v>5.7000000000000002E-3</v>
      </c>
      <c r="W108" s="319"/>
    </row>
    <row r="109" spans="1:23" x14ac:dyDescent="0.2">
      <c r="A109" s="316"/>
      <c r="B109" s="328"/>
      <c r="C109" s="328">
        <v>37</v>
      </c>
      <c r="D109" s="335">
        <v>0.75339999999999996</v>
      </c>
      <c r="E109" s="336">
        <v>1024.7579000000001</v>
      </c>
      <c r="F109" s="332">
        <v>2.7252999999999998</v>
      </c>
      <c r="G109" s="332">
        <v>3.5799999999999998E-2</v>
      </c>
      <c r="H109" s="332">
        <v>9.5999999999999992E-3</v>
      </c>
      <c r="I109" s="333">
        <v>0.10349999999999999</v>
      </c>
      <c r="J109" s="337">
        <v>3.4200000000000001E-2</v>
      </c>
      <c r="K109" s="319"/>
      <c r="L109" s="308"/>
      <c r="M109" s="316"/>
      <c r="N109" s="328"/>
      <c r="O109" s="328">
        <v>37</v>
      </c>
      <c r="P109" s="335">
        <v>0.2429</v>
      </c>
      <c r="Q109" s="336">
        <v>754.09680000000003</v>
      </c>
      <c r="R109" s="332">
        <v>1.0759000000000001</v>
      </c>
      <c r="S109" s="332">
        <v>6.1999999999999998E-3</v>
      </c>
      <c r="T109" s="332">
        <v>6.8999999999999999E-3</v>
      </c>
      <c r="U109" s="333">
        <v>1.5599999999999999E-2</v>
      </c>
      <c r="V109" s="337">
        <v>5.8999999999999999E-3</v>
      </c>
      <c r="W109" s="319"/>
    </row>
    <row r="110" spans="1:23" x14ac:dyDescent="0.2">
      <c r="A110" s="316"/>
      <c r="B110" s="328"/>
      <c r="C110" s="328">
        <v>38</v>
      </c>
      <c r="D110" s="335">
        <v>0.73619999999999997</v>
      </c>
      <c r="E110" s="336">
        <v>1023.3312</v>
      </c>
      <c r="F110" s="332">
        <v>2.7035999999999998</v>
      </c>
      <c r="G110" s="332">
        <v>3.5999999999999997E-2</v>
      </c>
      <c r="H110" s="332">
        <v>9.4999999999999998E-3</v>
      </c>
      <c r="I110" s="333">
        <v>0.10059999999999999</v>
      </c>
      <c r="J110" s="337">
        <v>3.4500000000000003E-2</v>
      </c>
      <c r="K110" s="319"/>
      <c r="L110" s="308"/>
      <c r="M110" s="316"/>
      <c r="N110" s="328"/>
      <c r="O110" s="328">
        <v>38</v>
      </c>
      <c r="P110" s="335">
        <v>0.2301</v>
      </c>
      <c r="Q110" s="336">
        <v>749.45270000000005</v>
      </c>
      <c r="R110" s="332">
        <v>1.0322</v>
      </c>
      <c r="S110" s="332">
        <v>6.4000000000000003E-3</v>
      </c>
      <c r="T110" s="332">
        <v>6.8999999999999999E-3</v>
      </c>
      <c r="U110" s="333">
        <v>1.4999999999999999E-2</v>
      </c>
      <c r="V110" s="337">
        <v>6.1000000000000004E-3</v>
      </c>
      <c r="W110" s="319"/>
    </row>
    <row r="111" spans="1:23" x14ac:dyDescent="0.2">
      <c r="A111" s="316"/>
      <c r="B111" s="328"/>
      <c r="C111" s="328">
        <v>39</v>
      </c>
      <c r="D111" s="335">
        <v>0.71889999999999998</v>
      </c>
      <c r="E111" s="336">
        <v>1021.9044</v>
      </c>
      <c r="F111" s="332">
        <v>2.6818</v>
      </c>
      <c r="G111" s="332">
        <v>3.6299999999999999E-2</v>
      </c>
      <c r="H111" s="332">
        <v>9.4999999999999998E-3</v>
      </c>
      <c r="I111" s="333">
        <v>9.7699999999999995E-2</v>
      </c>
      <c r="J111" s="337">
        <v>3.4700000000000002E-2</v>
      </c>
      <c r="K111" s="319"/>
      <c r="L111" s="308"/>
      <c r="M111" s="316"/>
      <c r="N111" s="328"/>
      <c r="O111" s="328">
        <v>39</v>
      </c>
      <c r="P111" s="335">
        <v>0.21740000000000001</v>
      </c>
      <c r="Q111" s="336">
        <v>744.80859999999996</v>
      </c>
      <c r="R111" s="332">
        <v>0.98850000000000005</v>
      </c>
      <c r="S111" s="332">
        <v>6.6E-3</v>
      </c>
      <c r="T111" s="332">
        <v>6.7999999999999996E-3</v>
      </c>
      <c r="U111" s="333">
        <v>1.43E-2</v>
      </c>
      <c r="V111" s="337">
        <v>6.3E-3</v>
      </c>
      <c r="W111" s="319"/>
    </row>
    <row r="112" spans="1:23" x14ac:dyDescent="0.2">
      <c r="A112" s="316"/>
      <c r="B112" s="328"/>
      <c r="C112" s="328">
        <v>40</v>
      </c>
      <c r="D112" s="335">
        <v>0.7016</v>
      </c>
      <c r="E112" s="336">
        <v>1020.4777</v>
      </c>
      <c r="F112" s="332">
        <v>2.6600999999999999</v>
      </c>
      <c r="G112" s="332">
        <v>3.6600000000000001E-2</v>
      </c>
      <c r="H112" s="332">
        <v>9.4999999999999998E-3</v>
      </c>
      <c r="I112" s="333">
        <v>9.4700000000000006E-2</v>
      </c>
      <c r="J112" s="337">
        <v>3.5000000000000003E-2</v>
      </c>
      <c r="K112" s="319"/>
      <c r="L112" s="308"/>
      <c r="M112" s="316"/>
      <c r="N112" s="328"/>
      <c r="O112" s="328">
        <v>40</v>
      </c>
      <c r="P112" s="335">
        <v>0.20469999999999999</v>
      </c>
      <c r="Q112" s="336">
        <v>740.16449999999998</v>
      </c>
      <c r="R112" s="332">
        <v>0.94469999999999998</v>
      </c>
      <c r="S112" s="332">
        <v>6.7999999999999996E-3</v>
      </c>
      <c r="T112" s="332">
        <v>6.7999999999999996E-3</v>
      </c>
      <c r="U112" s="333">
        <v>1.37E-2</v>
      </c>
      <c r="V112" s="337">
        <v>6.4999999999999997E-3</v>
      </c>
      <c r="W112" s="319"/>
    </row>
    <row r="113" spans="1:23" x14ac:dyDescent="0.2">
      <c r="A113" s="316"/>
      <c r="B113" s="328"/>
      <c r="C113" s="328">
        <v>41</v>
      </c>
      <c r="D113" s="335">
        <v>0.68700000000000006</v>
      </c>
      <c r="E113" s="336">
        <v>1013.9423</v>
      </c>
      <c r="F113" s="332">
        <v>2.6305000000000001</v>
      </c>
      <c r="G113" s="332">
        <v>3.6900000000000002E-2</v>
      </c>
      <c r="H113" s="332">
        <v>9.4999999999999998E-3</v>
      </c>
      <c r="I113" s="333">
        <v>9.2299999999999993E-2</v>
      </c>
      <c r="J113" s="337">
        <v>3.5299999999999998E-2</v>
      </c>
      <c r="K113" s="319"/>
      <c r="L113" s="308"/>
      <c r="M113" s="316"/>
      <c r="N113" s="328"/>
      <c r="O113" s="328">
        <v>41</v>
      </c>
      <c r="P113" s="335">
        <v>0.19539999999999999</v>
      </c>
      <c r="Q113" s="336">
        <v>734.58619999999996</v>
      </c>
      <c r="R113" s="332">
        <v>0.90249999999999997</v>
      </c>
      <c r="S113" s="332">
        <v>7.1999999999999998E-3</v>
      </c>
      <c r="T113" s="332">
        <v>6.7999999999999996E-3</v>
      </c>
      <c r="U113" s="333">
        <v>1.34E-2</v>
      </c>
      <c r="V113" s="337">
        <v>6.8999999999999999E-3</v>
      </c>
      <c r="W113" s="319"/>
    </row>
    <row r="114" spans="1:23" x14ac:dyDescent="0.2">
      <c r="A114" s="316"/>
      <c r="B114" s="328"/>
      <c r="C114" s="328">
        <v>42</v>
      </c>
      <c r="D114" s="335">
        <v>0.67249999999999999</v>
      </c>
      <c r="E114" s="336">
        <v>1007.4069</v>
      </c>
      <c r="F114" s="332">
        <v>2.601</v>
      </c>
      <c r="G114" s="332">
        <v>3.7199999999999997E-2</v>
      </c>
      <c r="H114" s="332">
        <v>9.4000000000000004E-3</v>
      </c>
      <c r="I114" s="333">
        <v>8.9800000000000005E-2</v>
      </c>
      <c r="J114" s="337">
        <v>3.56E-2</v>
      </c>
      <c r="K114" s="319"/>
      <c r="L114" s="308"/>
      <c r="M114" s="316"/>
      <c r="N114" s="328"/>
      <c r="O114" s="328">
        <v>42</v>
      </c>
      <c r="P114" s="335">
        <v>0.18609999999999999</v>
      </c>
      <c r="Q114" s="336">
        <v>729.00800000000004</v>
      </c>
      <c r="R114" s="332">
        <v>0.86029999999999995</v>
      </c>
      <c r="S114" s="332">
        <v>7.4999999999999997E-3</v>
      </c>
      <c r="T114" s="332">
        <v>6.7000000000000002E-3</v>
      </c>
      <c r="U114" s="333">
        <v>1.3100000000000001E-2</v>
      </c>
      <c r="V114" s="337">
        <v>7.1999999999999998E-3</v>
      </c>
      <c r="W114" s="319"/>
    </row>
    <row r="115" spans="1:23" x14ac:dyDescent="0.2">
      <c r="A115" s="316"/>
      <c r="B115" s="328"/>
      <c r="C115" s="328">
        <v>43</v>
      </c>
      <c r="D115" s="335">
        <v>0.65790000000000004</v>
      </c>
      <c r="E115" s="336">
        <v>1000.8715999999999</v>
      </c>
      <c r="F115" s="332">
        <v>2.5714999999999999</v>
      </c>
      <c r="G115" s="332">
        <v>3.7600000000000001E-2</v>
      </c>
      <c r="H115" s="332">
        <v>9.4000000000000004E-3</v>
      </c>
      <c r="I115" s="333">
        <v>8.7300000000000003E-2</v>
      </c>
      <c r="J115" s="337">
        <v>3.5900000000000001E-2</v>
      </c>
      <c r="K115" s="319"/>
      <c r="L115" s="308"/>
      <c r="M115" s="316"/>
      <c r="N115" s="328"/>
      <c r="O115" s="328">
        <v>43</v>
      </c>
      <c r="P115" s="335">
        <v>0.17680000000000001</v>
      </c>
      <c r="Q115" s="336">
        <v>723.4298</v>
      </c>
      <c r="R115" s="332">
        <v>0.81820000000000004</v>
      </c>
      <c r="S115" s="332">
        <v>7.7999999999999996E-3</v>
      </c>
      <c r="T115" s="332">
        <v>6.7000000000000002E-3</v>
      </c>
      <c r="U115" s="333">
        <v>1.2800000000000001E-2</v>
      </c>
      <c r="V115" s="337">
        <v>7.4999999999999997E-3</v>
      </c>
      <c r="W115" s="319"/>
    </row>
    <row r="116" spans="1:23" x14ac:dyDescent="0.2">
      <c r="A116" s="316"/>
      <c r="B116" s="328"/>
      <c r="C116" s="328">
        <v>44</v>
      </c>
      <c r="D116" s="335">
        <v>0.64339999999999997</v>
      </c>
      <c r="E116" s="336">
        <v>994.33619999999996</v>
      </c>
      <c r="F116" s="332">
        <v>2.5419</v>
      </c>
      <c r="G116" s="332">
        <v>3.7900000000000003E-2</v>
      </c>
      <c r="H116" s="332">
        <v>9.2999999999999992E-3</v>
      </c>
      <c r="I116" s="333">
        <v>8.4900000000000003E-2</v>
      </c>
      <c r="J116" s="337">
        <v>3.6299999999999999E-2</v>
      </c>
      <c r="K116" s="319"/>
      <c r="L116" s="308"/>
      <c r="M116" s="316"/>
      <c r="N116" s="328"/>
      <c r="O116" s="328">
        <v>44</v>
      </c>
      <c r="P116" s="335">
        <v>0.16750000000000001</v>
      </c>
      <c r="Q116" s="336">
        <v>717.85159999999996</v>
      </c>
      <c r="R116" s="332">
        <v>0.77600000000000002</v>
      </c>
      <c r="S116" s="332">
        <v>8.2000000000000007E-3</v>
      </c>
      <c r="T116" s="332">
        <v>6.6E-3</v>
      </c>
      <c r="U116" s="333">
        <v>1.2500000000000001E-2</v>
      </c>
      <c r="V116" s="337">
        <v>7.7999999999999996E-3</v>
      </c>
      <c r="W116" s="319"/>
    </row>
    <row r="117" spans="1:23" x14ac:dyDescent="0.2">
      <c r="A117" s="316"/>
      <c r="B117" s="328"/>
      <c r="C117" s="328">
        <v>45</v>
      </c>
      <c r="D117" s="335">
        <v>0.62880000000000003</v>
      </c>
      <c r="E117" s="336">
        <v>987.80079999999998</v>
      </c>
      <c r="F117" s="332">
        <v>2.5124</v>
      </c>
      <c r="G117" s="332">
        <v>3.8199999999999998E-2</v>
      </c>
      <c r="H117" s="332">
        <v>9.2999999999999992E-3</v>
      </c>
      <c r="I117" s="333">
        <v>8.2400000000000001E-2</v>
      </c>
      <c r="J117" s="337">
        <v>3.6600000000000001E-2</v>
      </c>
      <c r="K117" s="319"/>
      <c r="L117" s="308"/>
      <c r="M117" s="316"/>
      <c r="N117" s="328"/>
      <c r="O117" s="328">
        <v>45</v>
      </c>
      <c r="P117" s="335">
        <v>0.15820000000000001</v>
      </c>
      <c r="Q117" s="336">
        <v>712.27329999999995</v>
      </c>
      <c r="R117" s="332">
        <v>0.73380000000000001</v>
      </c>
      <c r="S117" s="332">
        <v>8.5000000000000006E-3</v>
      </c>
      <c r="T117" s="332">
        <v>6.6E-3</v>
      </c>
      <c r="U117" s="333">
        <v>1.2200000000000001E-2</v>
      </c>
      <c r="V117" s="337">
        <v>8.0999999999999996E-3</v>
      </c>
      <c r="W117" s="319"/>
    </row>
    <row r="118" spans="1:23" x14ac:dyDescent="0.2">
      <c r="A118" s="316"/>
      <c r="B118" s="328"/>
      <c r="C118" s="328">
        <v>46</v>
      </c>
      <c r="D118" s="335">
        <v>0.63139999999999996</v>
      </c>
      <c r="E118" s="336">
        <v>964.38559999999995</v>
      </c>
      <c r="F118" s="332">
        <v>2.4771000000000001</v>
      </c>
      <c r="G118" s="332">
        <v>3.78E-2</v>
      </c>
      <c r="H118" s="332">
        <v>9.1000000000000004E-3</v>
      </c>
      <c r="I118" s="333">
        <v>8.1000000000000003E-2</v>
      </c>
      <c r="J118" s="337">
        <v>3.6200000000000003E-2</v>
      </c>
      <c r="K118" s="319"/>
      <c r="L118" s="308"/>
      <c r="M118" s="316"/>
      <c r="N118" s="328"/>
      <c r="O118" s="328">
        <v>46</v>
      </c>
      <c r="P118" s="335">
        <v>0.15010000000000001</v>
      </c>
      <c r="Q118" s="336">
        <v>701.77160000000003</v>
      </c>
      <c r="R118" s="332">
        <v>0.69469999999999998</v>
      </c>
      <c r="S118" s="332">
        <v>8.6999999999999994E-3</v>
      </c>
      <c r="T118" s="332">
        <v>6.4999999999999997E-3</v>
      </c>
      <c r="U118" s="333">
        <v>1.23E-2</v>
      </c>
      <c r="V118" s="337">
        <v>8.3000000000000001E-3</v>
      </c>
      <c r="W118" s="319"/>
    </row>
    <row r="119" spans="1:23" x14ac:dyDescent="0.2">
      <c r="A119" s="316"/>
      <c r="B119" s="328"/>
      <c r="C119" s="328">
        <v>47</v>
      </c>
      <c r="D119" s="335">
        <v>0.63400000000000001</v>
      </c>
      <c r="E119" s="336">
        <v>940.97040000000004</v>
      </c>
      <c r="F119" s="332">
        <v>2.4418000000000002</v>
      </c>
      <c r="G119" s="332">
        <v>3.7400000000000003E-2</v>
      </c>
      <c r="H119" s="332">
        <v>8.8999999999999999E-3</v>
      </c>
      <c r="I119" s="333">
        <v>7.9500000000000001E-2</v>
      </c>
      <c r="J119" s="337">
        <v>3.5799999999999998E-2</v>
      </c>
      <c r="K119" s="319"/>
      <c r="L119" s="308"/>
      <c r="M119" s="316"/>
      <c r="N119" s="328"/>
      <c r="O119" s="328">
        <v>47</v>
      </c>
      <c r="P119" s="335">
        <v>0.14199999999999999</v>
      </c>
      <c r="Q119" s="336">
        <v>691.27</v>
      </c>
      <c r="R119" s="332">
        <v>0.65569999999999995</v>
      </c>
      <c r="S119" s="332">
        <v>8.8999999999999999E-3</v>
      </c>
      <c r="T119" s="332">
        <v>6.4000000000000003E-3</v>
      </c>
      <c r="U119" s="333">
        <v>1.23E-2</v>
      </c>
      <c r="V119" s="337">
        <v>8.5000000000000006E-3</v>
      </c>
      <c r="W119" s="319"/>
    </row>
    <row r="120" spans="1:23" x14ac:dyDescent="0.2">
      <c r="A120" s="316"/>
      <c r="B120" s="328"/>
      <c r="C120" s="328">
        <v>48</v>
      </c>
      <c r="D120" s="335">
        <v>0.63660000000000005</v>
      </c>
      <c r="E120" s="336">
        <v>917.55520000000001</v>
      </c>
      <c r="F120" s="332">
        <v>2.4064999999999999</v>
      </c>
      <c r="G120" s="332">
        <v>3.6999999999999998E-2</v>
      </c>
      <c r="H120" s="332">
        <v>8.6999999999999994E-3</v>
      </c>
      <c r="I120" s="333">
        <v>7.8100000000000003E-2</v>
      </c>
      <c r="J120" s="337">
        <v>3.5400000000000001E-2</v>
      </c>
      <c r="K120" s="319"/>
      <c r="L120" s="308"/>
      <c r="M120" s="316"/>
      <c r="N120" s="328"/>
      <c r="O120" s="328">
        <v>48</v>
      </c>
      <c r="P120" s="335">
        <v>0.13389999999999999</v>
      </c>
      <c r="Q120" s="336">
        <v>680.76829999999995</v>
      </c>
      <c r="R120" s="332">
        <v>0.61660000000000004</v>
      </c>
      <c r="S120" s="332">
        <v>9.1000000000000004E-3</v>
      </c>
      <c r="T120" s="332">
        <v>6.4000000000000003E-3</v>
      </c>
      <c r="U120" s="333">
        <v>1.24E-2</v>
      </c>
      <c r="V120" s="337">
        <v>8.6999999999999994E-3</v>
      </c>
      <c r="W120" s="319"/>
    </row>
    <row r="121" spans="1:23" x14ac:dyDescent="0.2">
      <c r="A121" s="316"/>
      <c r="B121" s="328"/>
      <c r="C121" s="328">
        <v>49</v>
      </c>
      <c r="D121" s="335">
        <v>0.63919999999999999</v>
      </c>
      <c r="E121" s="336">
        <v>894.14</v>
      </c>
      <c r="F121" s="332">
        <v>2.3712</v>
      </c>
      <c r="G121" s="332">
        <v>3.6600000000000001E-2</v>
      </c>
      <c r="H121" s="332">
        <v>8.5000000000000006E-3</v>
      </c>
      <c r="I121" s="333">
        <v>7.6600000000000001E-2</v>
      </c>
      <c r="J121" s="337">
        <v>3.5000000000000003E-2</v>
      </c>
      <c r="K121" s="319"/>
      <c r="L121" s="308"/>
      <c r="M121" s="316"/>
      <c r="N121" s="328"/>
      <c r="O121" s="328">
        <v>49</v>
      </c>
      <c r="P121" s="335">
        <v>0.1258</v>
      </c>
      <c r="Q121" s="336">
        <v>670.26660000000004</v>
      </c>
      <c r="R121" s="332">
        <v>0.5776</v>
      </c>
      <c r="S121" s="332">
        <v>9.2999999999999992E-3</v>
      </c>
      <c r="T121" s="332">
        <v>6.3E-3</v>
      </c>
      <c r="U121" s="333">
        <v>1.24E-2</v>
      </c>
      <c r="V121" s="337">
        <v>8.8999999999999999E-3</v>
      </c>
      <c r="W121" s="319"/>
    </row>
    <row r="122" spans="1:23" x14ac:dyDescent="0.2">
      <c r="A122" s="316"/>
      <c r="B122" s="328"/>
      <c r="C122" s="328">
        <v>50</v>
      </c>
      <c r="D122" s="335">
        <v>0.64190000000000003</v>
      </c>
      <c r="E122" s="336">
        <v>870.72479999999996</v>
      </c>
      <c r="F122" s="332">
        <v>2.3359000000000001</v>
      </c>
      <c r="G122" s="332">
        <v>3.6200000000000003E-2</v>
      </c>
      <c r="H122" s="332">
        <v>8.3000000000000001E-3</v>
      </c>
      <c r="I122" s="333">
        <v>7.5200000000000003E-2</v>
      </c>
      <c r="J122" s="337">
        <v>3.4599999999999999E-2</v>
      </c>
      <c r="K122" s="319"/>
      <c r="L122" s="308"/>
      <c r="M122" s="316"/>
      <c r="N122" s="328"/>
      <c r="O122" s="328">
        <v>50</v>
      </c>
      <c r="P122" s="335">
        <v>0.1177</v>
      </c>
      <c r="Q122" s="336">
        <v>659.76490000000001</v>
      </c>
      <c r="R122" s="332">
        <v>0.53849999999999998</v>
      </c>
      <c r="S122" s="332">
        <v>9.4999999999999998E-3</v>
      </c>
      <c r="T122" s="332">
        <v>6.1999999999999998E-3</v>
      </c>
      <c r="U122" s="333">
        <v>1.2500000000000001E-2</v>
      </c>
      <c r="V122" s="337">
        <v>9.1000000000000004E-3</v>
      </c>
      <c r="W122" s="319"/>
    </row>
    <row r="123" spans="1:23" x14ac:dyDescent="0.2">
      <c r="A123" s="316"/>
      <c r="B123" s="328"/>
      <c r="C123" s="328">
        <v>51</v>
      </c>
      <c r="D123" s="335">
        <v>0.622</v>
      </c>
      <c r="E123" s="336">
        <v>892.72490000000005</v>
      </c>
      <c r="F123" s="332">
        <v>2.4039999999999999</v>
      </c>
      <c r="G123" s="332">
        <v>4.0099999999999997E-2</v>
      </c>
      <c r="H123" s="332">
        <v>8.5000000000000006E-3</v>
      </c>
      <c r="I123" s="333">
        <v>7.6499999999999999E-2</v>
      </c>
      <c r="J123" s="337">
        <v>3.8399999999999997E-2</v>
      </c>
      <c r="K123" s="319"/>
      <c r="L123" s="308"/>
      <c r="M123" s="316"/>
      <c r="N123" s="328"/>
      <c r="O123" s="328">
        <v>51</v>
      </c>
      <c r="P123" s="335">
        <v>0.1134</v>
      </c>
      <c r="Q123" s="336">
        <v>670.71159999999998</v>
      </c>
      <c r="R123" s="332">
        <v>0.56299999999999994</v>
      </c>
      <c r="S123" s="332">
        <v>1.04E-2</v>
      </c>
      <c r="T123" s="332">
        <v>6.3E-3</v>
      </c>
      <c r="U123" s="333">
        <v>1.24E-2</v>
      </c>
      <c r="V123" s="337">
        <v>9.9000000000000008E-3</v>
      </c>
      <c r="W123" s="319"/>
    </row>
    <row r="124" spans="1:23" x14ac:dyDescent="0.2">
      <c r="A124" s="316"/>
      <c r="B124" s="328"/>
      <c r="C124" s="328">
        <v>52</v>
      </c>
      <c r="D124" s="335">
        <v>0.60219999999999996</v>
      </c>
      <c r="E124" s="336">
        <v>914.72500000000002</v>
      </c>
      <c r="F124" s="332">
        <v>2.4722</v>
      </c>
      <c r="G124" s="332">
        <v>4.41E-2</v>
      </c>
      <c r="H124" s="332">
        <v>8.6999999999999994E-3</v>
      </c>
      <c r="I124" s="333">
        <v>7.7899999999999997E-2</v>
      </c>
      <c r="J124" s="337">
        <v>4.2200000000000001E-2</v>
      </c>
      <c r="K124" s="319"/>
      <c r="L124" s="308"/>
      <c r="M124" s="316"/>
      <c r="N124" s="328"/>
      <c r="O124" s="328">
        <v>52</v>
      </c>
      <c r="P124" s="335">
        <v>0.1091</v>
      </c>
      <c r="Q124" s="336">
        <v>681.65840000000003</v>
      </c>
      <c r="R124" s="332">
        <v>0.58740000000000003</v>
      </c>
      <c r="S124" s="332">
        <v>1.1299999999999999E-2</v>
      </c>
      <c r="T124" s="332">
        <v>6.4000000000000003E-3</v>
      </c>
      <c r="U124" s="333">
        <v>1.23E-2</v>
      </c>
      <c r="V124" s="337">
        <v>1.0800000000000001E-2</v>
      </c>
      <c r="W124" s="319"/>
    </row>
    <row r="125" spans="1:23" x14ac:dyDescent="0.2">
      <c r="A125" s="316"/>
      <c r="B125" s="328"/>
      <c r="C125" s="328">
        <v>53</v>
      </c>
      <c r="D125" s="335">
        <v>0.58240000000000003</v>
      </c>
      <c r="E125" s="336">
        <v>936.72519999999997</v>
      </c>
      <c r="F125" s="332">
        <v>2.5404</v>
      </c>
      <c r="G125" s="332">
        <v>4.8000000000000001E-2</v>
      </c>
      <c r="H125" s="332">
        <v>8.8999999999999999E-3</v>
      </c>
      <c r="I125" s="333">
        <v>7.9200000000000007E-2</v>
      </c>
      <c r="J125" s="337">
        <v>4.5900000000000003E-2</v>
      </c>
      <c r="K125" s="319"/>
      <c r="L125" s="308"/>
      <c r="M125" s="316"/>
      <c r="N125" s="328"/>
      <c r="O125" s="328">
        <v>53</v>
      </c>
      <c r="P125" s="335">
        <v>0.1048</v>
      </c>
      <c r="Q125" s="336">
        <v>692.60519999999997</v>
      </c>
      <c r="R125" s="332">
        <v>0.6119</v>
      </c>
      <c r="S125" s="332">
        <v>1.2200000000000001E-2</v>
      </c>
      <c r="T125" s="332">
        <v>6.6E-3</v>
      </c>
      <c r="U125" s="333">
        <v>1.2200000000000001E-2</v>
      </c>
      <c r="V125" s="337">
        <v>1.17E-2</v>
      </c>
      <c r="W125" s="319"/>
    </row>
    <row r="126" spans="1:23" x14ac:dyDescent="0.2">
      <c r="A126" s="316"/>
      <c r="B126" s="328"/>
      <c r="C126" s="328">
        <v>54</v>
      </c>
      <c r="D126" s="335">
        <v>0.56259999999999999</v>
      </c>
      <c r="E126" s="336">
        <v>958.72529999999995</v>
      </c>
      <c r="F126" s="332">
        <v>2.6086</v>
      </c>
      <c r="G126" s="332">
        <v>5.1999999999999998E-2</v>
      </c>
      <c r="H126" s="332">
        <v>9.1000000000000004E-3</v>
      </c>
      <c r="I126" s="333">
        <v>8.0500000000000002E-2</v>
      </c>
      <c r="J126" s="337">
        <v>4.9700000000000001E-2</v>
      </c>
      <c r="K126" s="319"/>
      <c r="L126" s="308"/>
      <c r="M126" s="316"/>
      <c r="N126" s="328"/>
      <c r="O126" s="328">
        <v>54</v>
      </c>
      <c r="P126" s="335">
        <v>0.10050000000000001</v>
      </c>
      <c r="Q126" s="336">
        <v>703.55200000000002</v>
      </c>
      <c r="R126" s="332">
        <v>0.63639999999999997</v>
      </c>
      <c r="S126" s="332">
        <v>1.3100000000000001E-2</v>
      </c>
      <c r="T126" s="332">
        <v>6.7000000000000002E-3</v>
      </c>
      <c r="U126" s="333">
        <v>1.21E-2</v>
      </c>
      <c r="V126" s="337">
        <v>1.2500000000000001E-2</v>
      </c>
      <c r="W126" s="319"/>
    </row>
    <row r="127" spans="1:23" x14ac:dyDescent="0.2">
      <c r="A127" s="316"/>
      <c r="B127" s="328"/>
      <c r="C127" s="328">
        <v>55</v>
      </c>
      <c r="D127" s="335">
        <v>0.54279999999999995</v>
      </c>
      <c r="E127" s="336">
        <v>980.72550000000001</v>
      </c>
      <c r="F127" s="332">
        <v>2.6768000000000001</v>
      </c>
      <c r="G127" s="332">
        <v>5.5899999999999998E-2</v>
      </c>
      <c r="H127" s="332">
        <v>9.2999999999999992E-3</v>
      </c>
      <c r="I127" s="333">
        <v>8.1900000000000001E-2</v>
      </c>
      <c r="J127" s="337">
        <v>5.3499999999999999E-2</v>
      </c>
      <c r="K127" s="319"/>
      <c r="L127" s="308"/>
      <c r="M127" s="316"/>
      <c r="N127" s="328"/>
      <c r="O127" s="328">
        <v>55</v>
      </c>
      <c r="P127" s="335">
        <v>9.6199999999999994E-2</v>
      </c>
      <c r="Q127" s="336">
        <v>714.49869999999999</v>
      </c>
      <c r="R127" s="332">
        <v>0.66090000000000004</v>
      </c>
      <c r="S127" s="332">
        <v>1.4E-2</v>
      </c>
      <c r="T127" s="332">
        <v>6.7999999999999996E-3</v>
      </c>
      <c r="U127" s="333">
        <v>1.2E-2</v>
      </c>
      <c r="V127" s="337">
        <v>1.34E-2</v>
      </c>
      <c r="W127" s="319"/>
    </row>
    <row r="128" spans="1:23" x14ac:dyDescent="0.2">
      <c r="A128" s="316"/>
      <c r="B128" s="328"/>
      <c r="C128" s="328">
        <v>56</v>
      </c>
      <c r="D128" s="335">
        <v>0.52710000000000001</v>
      </c>
      <c r="E128" s="336">
        <v>1009.3233</v>
      </c>
      <c r="F128" s="332">
        <v>2.7048000000000001</v>
      </c>
      <c r="G128" s="332">
        <v>5.8000000000000003E-2</v>
      </c>
      <c r="H128" s="332">
        <v>9.5999999999999992E-3</v>
      </c>
      <c r="I128" s="333">
        <v>8.1699999999999995E-2</v>
      </c>
      <c r="J128" s="337">
        <v>5.5500000000000001E-2</v>
      </c>
      <c r="K128" s="319"/>
      <c r="L128" s="308"/>
      <c r="M128" s="316"/>
      <c r="N128" s="328"/>
      <c r="O128" s="328">
        <v>56</v>
      </c>
      <c r="P128" s="335">
        <v>9.64E-2</v>
      </c>
      <c r="Q128" s="336">
        <v>730.38350000000003</v>
      </c>
      <c r="R128" s="332">
        <v>0.71360000000000001</v>
      </c>
      <c r="S128" s="332">
        <v>1.5299999999999999E-2</v>
      </c>
      <c r="T128" s="332">
        <v>6.8999999999999999E-3</v>
      </c>
      <c r="U128" s="333">
        <v>1.24E-2</v>
      </c>
      <c r="V128" s="337">
        <v>1.46E-2</v>
      </c>
      <c r="W128" s="319"/>
    </row>
    <row r="129" spans="1:23" x14ac:dyDescent="0.2">
      <c r="A129" s="316"/>
      <c r="B129" s="328"/>
      <c r="C129" s="328">
        <v>57</v>
      </c>
      <c r="D129" s="335">
        <v>0.51149999999999995</v>
      </c>
      <c r="E129" s="336">
        <v>1037.9211</v>
      </c>
      <c r="F129" s="332">
        <v>2.7328999999999999</v>
      </c>
      <c r="G129" s="332">
        <v>0.06</v>
      </c>
      <c r="H129" s="332">
        <v>9.7999999999999997E-3</v>
      </c>
      <c r="I129" s="333">
        <v>8.1600000000000006E-2</v>
      </c>
      <c r="J129" s="337">
        <v>5.74E-2</v>
      </c>
      <c r="K129" s="319"/>
      <c r="L129" s="308"/>
      <c r="M129" s="316"/>
      <c r="N129" s="328"/>
      <c r="O129" s="328">
        <v>57</v>
      </c>
      <c r="P129" s="335">
        <v>9.6600000000000005E-2</v>
      </c>
      <c r="Q129" s="336">
        <v>746.26819999999998</v>
      </c>
      <c r="R129" s="332">
        <v>0.76629999999999998</v>
      </c>
      <c r="S129" s="332">
        <v>1.66E-2</v>
      </c>
      <c r="T129" s="332">
        <v>7.1000000000000004E-3</v>
      </c>
      <c r="U129" s="333">
        <v>1.2699999999999999E-2</v>
      </c>
      <c r="V129" s="337">
        <v>1.5800000000000002E-2</v>
      </c>
      <c r="W129" s="319"/>
    </row>
    <row r="130" spans="1:23" x14ac:dyDescent="0.2">
      <c r="A130" s="316"/>
      <c r="B130" s="328"/>
      <c r="C130" s="328">
        <v>58</v>
      </c>
      <c r="D130" s="335">
        <v>0.49580000000000002</v>
      </c>
      <c r="E130" s="336">
        <v>1066.5189</v>
      </c>
      <c r="F130" s="332">
        <v>2.7610000000000001</v>
      </c>
      <c r="G130" s="332">
        <v>6.2100000000000002E-2</v>
      </c>
      <c r="H130" s="332">
        <v>1.01E-2</v>
      </c>
      <c r="I130" s="333">
        <v>8.14E-2</v>
      </c>
      <c r="J130" s="337">
        <v>5.9400000000000001E-2</v>
      </c>
      <c r="K130" s="319"/>
      <c r="L130" s="308"/>
      <c r="M130" s="316"/>
      <c r="N130" s="328"/>
      <c r="O130" s="328">
        <v>58</v>
      </c>
      <c r="P130" s="335">
        <v>9.69E-2</v>
      </c>
      <c r="Q130" s="336">
        <v>762.15300000000002</v>
      </c>
      <c r="R130" s="332">
        <v>0.81910000000000005</v>
      </c>
      <c r="S130" s="332">
        <v>1.78E-2</v>
      </c>
      <c r="T130" s="332">
        <v>7.1999999999999998E-3</v>
      </c>
      <c r="U130" s="333">
        <v>1.2999999999999999E-2</v>
      </c>
      <c r="V130" s="337">
        <v>1.7100000000000001E-2</v>
      </c>
      <c r="W130" s="319"/>
    </row>
    <row r="131" spans="1:23" x14ac:dyDescent="0.2">
      <c r="A131" s="316"/>
      <c r="B131" s="328"/>
      <c r="C131" s="328">
        <v>59</v>
      </c>
      <c r="D131" s="335">
        <v>0.48020000000000002</v>
      </c>
      <c r="E131" s="336">
        <v>1095.1167</v>
      </c>
      <c r="F131" s="332">
        <v>2.7890999999999999</v>
      </c>
      <c r="G131" s="332">
        <v>6.4100000000000004E-2</v>
      </c>
      <c r="H131" s="332">
        <v>1.04E-2</v>
      </c>
      <c r="I131" s="333">
        <v>8.1299999999999997E-2</v>
      </c>
      <c r="J131" s="337">
        <v>6.13E-2</v>
      </c>
      <c r="K131" s="319"/>
      <c r="L131" s="308"/>
      <c r="M131" s="316"/>
      <c r="N131" s="328"/>
      <c r="O131" s="328">
        <v>59</v>
      </c>
      <c r="P131" s="335">
        <v>9.7100000000000006E-2</v>
      </c>
      <c r="Q131" s="336">
        <v>778.03779999999995</v>
      </c>
      <c r="R131" s="332">
        <v>0.87180000000000002</v>
      </c>
      <c r="S131" s="332">
        <v>1.9099999999999999E-2</v>
      </c>
      <c r="T131" s="332">
        <v>7.4000000000000003E-3</v>
      </c>
      <c r="U131" s="333">
        <v>1.34E-2</v>
      </c>
      <c r="V131" s="337">
        <v>1.83E-2</v>
      </c>
      <c r="W131" s="319"/>
    </row>
    <row r="132" spans="1:23" x14ac:dyDescent="0.2">
      <c r="A132" s="316"/>
      <c r="B132" s="328"/>
      <c r="C132" s="328">
        <v>60</v>
      </c>
      <c r="D132" s="335">
        <v>0.46450000000000002</v>
      </c>
      <c r="E132" s="336">
        <v>1123.7146</v>
      </c>
      <c r="F132" s="332">
        <v>2.8172000000000001</v>
      </c>
      <c r="G132" s="332">
        <v>6.6100000000000006E-2</v>
      </c>
      <c r="H132" s="332">
        <v>1.06E-2</v>
      </c>
      <c r="I132" s="333">
        <v>8.1100000000000005E-2</v>
      </c>
      <c r="J132" s="337">
        <v>6.3299999999999995E-2</v>
      </c>
      <c r="K132" s="319"/>
      <c r="L132" s="308"/>
      <c r="M132" s="316"/>
      <c r="N132" s="328"/>
      <c r="O132" s="328">
        <v>60</v>
      </c>
      <c r="P132" s="335">
        <v>9.7299999999999998E-2</v>
      </c>
      <c r="Q132" s="336">
        <v>793.92250000000001</v>
      </c>
      <c r="R132" s="332">
        <v>0.92449999999999999</v>
      </c>
      <c r="S132" s="332">
        <v>2.0400000000000001E-2</v>
      </c>
      <c r="T132" s="332">
        <v>7.4999999999999997E-3</v>
      </c>
      <c r="U132" s="333">
        <v>1.37E-2</v>
      </c>
      <c r="V132" s="337">
        <v>1.95E-2</v>
      </c>
      <c r="W132" s="319"/>
    </row>
    <row r="133" spans="1:23" x14ac:dyDescent="0.2">
      <c r="A133" s="316"/>
      <c r="B133" s="328"/>
      <c r="C133" s="328">
        <v>61</v>
      </c>
      <c r="D133" s="335">
        <v>0.45910000000000001</v>
      </c>
      <c r="E133" s="336">
        <v>1143.6797999999999</v>
      </c>
      <c r="F133" s="332">
        <v>2.8456000000000001</v>
      </c>
      <c r="G133" s="332">
        <v>6.59E-2</v>
      </c>
      <c r="H133" s="332">
        <v>1.0800000000000001E-2</v>
      </c>
      <c r="I133" s="333">
        <v>7.9799999999999996E-2</v>
      </c>
      <c r="J133" s="337">
        <v>6.3100000000000003E-2</v>
      </c>
      <c r="K133" s="319"/>
      <c r="L133" s="308"/>
      <c r="M133" s="316"/>
      <c r="N133" s="328"/>
      <c r="O133" s="328">
        <v>61</v>
      </c>
      <c r="P133" s="335">
        <v>0.1018</v>
      </c>
      <c r="Q133" s="336">
        <v>810.70579999999995</v>
      </c>
      <c r="R133" s="332">
        <v>1.0125999999999999</v>
      </c>
      <c r="S133" s="332">
        <v>2.18E-2</v>
      </c>
      <c r="T133" s="332">
        <v>7.7000000000000002E-3</v>
      </c>
      <c r="U133" s="333">
        <v>1.44E-2</v>
      </c>
      <c r="V133" s="337">
        <v>2.0899999999999998E-2</v>
      </c>
      <c r="W133" s="319"/>
    </row>
    <row r="134" spans="1:23" x14ac:dyDescent="0.2">
      <c r="A134" s="316"/>
      <c r="B134" s="328"/>
      <c r="C134" s="328">
        <v>62</v>
      </c>
      <c r="D134" s="335">
        <v>0.45369999999999999</v>
      </c>
      <c r="E134" s="336">
        <v>1163.645</v>
      </c>
      <c r="F134" s="332">
        <v>2.8740999999999999</v>
      </c>
      <c r="G134" s="332">
        <v>6.5699999999999995E-2</v>
      </c>
      <c r="H134" s="332">
        <v>1.0999999999999999E-2</v>
      </c>
      <c r="I134" s="333">
        <v>7.85E-2</v>
      </c>
      <c r="J134" s="337">
        <v>6.2899999999999998E-2</v>
      </c>
      <c r="K134" s="319"/>
      <c r="L134" s="308"/>
      <c r="M134" s="316"/>
      <c r="N134" s="328"/>
      <c r="O134" s="328">
        <v>62</v>
      </c>
      <c r="P134" s="335">
        <v>0.10639999999999999</v>
      </c>
      <c r="Q134" s="336">
        <v>827.48900000000003</v>
      </c>
      <c r="R134" s="332">
        <v>1.1007</v>
      </c>
      <c r="S134" s="332">
        <v>2.3300000000000001E-2</v>
      </c>
      <c r="T134" s="332">
        <v>7.7999999999999996E-3</v>
      </c>
      <c r="U134" s="333">
        <v>1.5100000000000001E-2</v>
      </c>
      <c r="V134" s="337">
        <v>2.2200000000000001E-2</v>
      </c>
      <c r="W134" s="319"/>
    </row>
    <row r="135" spans="1:23" x14ac:dyDescent="0.2">
      <c r="A135" s="316"/>
      <c r="B135" s="328"/>
      <c r="C135" s="328">
        <v>63</v>
      </c>
      <c r="D135" s="335">
        <v>0.44829999999999998</v>
      </c>
      <c r="E135" s="336">
        <v>1183.6103000000001</v>
      </c>
      <c r="F135" s="332">
        <v>2.9024999999999999</v>
      </c>
      <c r="G135" s="332">
        <v>6.5500000000000003E-2</v>
      </c>
      <c r="H135" s="332">
        <v>1.12E-2</v>
      </c>
      <c r="I135" s="333">
        <v>7.7200000000000005E-2</v>
      </c>
      <c r="J135" s="337">
        <v>6.2700000000000006E-2</v>
      </c>
      <c r="K135" s="319"/>
      <c r="L135" s="308"/>
      <c r="M135" s="316"/>
      <c r="N135" s="328"/>
      <c r="O135" s="328">
        <v>63</v>
      </c>
      <c r="P135" s="335">
        <v>0.1109</v>
      </c>
      <c r="Q135" s="336">
        <v>844.2722</v>
      </c>
      <c r="R135" s="332">
        <v>1.1888000000000001</v>
      </c>
      <c r="S135" s="332">
        <v>2.47E-2</v>
      </c>
      <c r="T135" s="332">
        <v>8.0000000000000002E-3</v>
      </c>
      <c r="U135" s="333">
        <v>1.5699999999999999E-2</v>
      </c>
      <c r="V135" s="337">
        <v>2.3599999999999999E-2</v>
      </c>
      <c r="W135" s="319"/>
    </row>
    <row r="136" spans="1:23" x14ac:dyDescent="0.2">
      <c r="A136" s="316"/>
      <c r="B136" s="328"/>
      <c r="C136" s="328">
        <v>64</v>
      </c>
      <c r="D136" s="335">
        <v>0.44290000000000002</v>
      </c>
      <c r="E136" s="336">
        <v>1203.5754999999999</v>
      </c>
      <c r="F136" s="332">
        <v>2.9308999999999998</v>
      </c>
      <c r="G136" s="332">
        <v>6.5299999999999997E-2</v>
      </c>
      <c r="H136" s="332">
        <v>1.14E-2</v>
      </c>
      <c r="I136" s="333">
        <v>7.5899999999999995E-2</v>
      </c>
      <c r="J136" s="337">
        <v>6.25E-2</v>
      </c>
      <c r="K136" s="319"/>
      <c r="L136" s="308"/>
      <c r="M136" s="316"/>
      <c r="N136" s="328"/>
      <c r="O136" s="328">
        <v>64</v>
      </c>
      <c r="P136" s="335">
        <v>0.1154</v>
      </c>
      <c r="Q136" s="336">
        <v>861.05550000000005</v>
      </c>
      <c r="R136" s="332">
        <v>1.2768999999999999</v>
      </c>
      <c r="S136" s="332">
        <v>2.6100000000000002E-2</v>
      </c>
      <c r="T136" s="332">
        <v>8.0999999999999996E-3</v>
      </c>
      <c r="U136" s="333">
        <v>1.6400000000000001E-2</v>
      </c>
      <c r="V136" s="337">
        <v>2.5000000000000001E-2</v>
      </c>
      <c r="W136" s="319"/>
    </row>
    <row r="137" spans="1:23" x14ac:dyDescent="0.2">
      <c r="A137" s="316"/>
      <c r="B137" s="328"/>
      <c r="C137" s="328">
        <v>65</v>
      </c>
      <c r="D137" s="335">
        <v>0.43740000000000001</v>
      </c>
      <c r="E137" s="336">
        <v>1223.5407</v>
      </c>
      <c r="F137" s="332">
        <v>2.9594</v>
      </c>
      <c r="G137" s="332">
        <v>6.5100000000000005E-2</v>
      </c>
      <c r="H137" s="332">
        <v>1.1599999999999999E-2</v>
      </c>
      <c r="I137" s="333">
        <v>7.4499999999999997E-2</v>
      </c>
      <c r="J137" s="337">
        <v>6.2300000000000001E-2</v>
      </c>
      <c r="K137" s="319"/>
      <c r="L137" s="308"/>
      <c r="M137" s="316"/>
      <c r="N137" s="328"/>
      <c r="O137" s="328">
        <v>65</v>
      </c>
      <c r="P137" s="335">
        <v>0.12</v>
      </c>
      <c r="Q137" s="336">
        <v>877.83870000000002</v>
      </c>
      <c r="R137" s="332">
        <v>1.365</v>
      </c>
      <c r="S137" s="332">
        <v>2.75E-2</v>
      </c>
      <c r="T137" s="332">
        <v>8.3000000000000001E-3</v>
      </c>
      <c r="U137" s="333">
        <v>1.7100000000000001E-2</v>
      </c>
      <c r="V137" s="337">
        <v>2.63E-2</v>
      </c>
      <c r="W137" s="319"/>
    </row>
    <row r="138" spans="1:23" x14ac:dyDescent="0.2">
      <c r="A138" s="316"/>
      <c r="B138" s="328"/>
      <c r="C138" s="328">
        <v>66</v>
      </c>
      <c r="D138" s="335">
        <v>0.45789999999999997</v>
      </c>
      <c r="E138" s="336">
        <v>1221.174</v>
      </c>
      <c r="F138" s="332">
        <v>2.9982000000000002</v>
      </c>
      <c r="G138" s="332">
        <v>6.4799999999999996E-2</v>
      </c>
      <c r="H138" s="332">
        <v>1.1599999999999999E-2</v>
      </c>
      <c r="I138" s="333">
        <v>7.6200000000000004E-2</v>
      </c>
      <c r="J138" s="337">
        <v>6.2E-2</v>
      </c>
      <c r="K138" s="319"/>
      <c r="L138" s="308"/>
      <c r="M138" s="316"/>
      <c r="N138" s="328"/>
      <c r="O138" s="328">
        <v>66</v>
      </c>
      <c r="P138" s="335">
        <v>0.128</v>
      </c>
      <c r="Q138" s="336">
        <v>880.42229999999995</v>
      </c>
      <c r="R138" s="332">
        <v>1.3756999999999999</v>
      </c>
      <c r="S138" s="332">
        <v>2.7699999999999999E-2</v>
      </c>
      <c r="T138" s="332">
        <v>8.3000000000000001E-3</v>
      </c>
      <c r="U138" s="333">
        <v>1.7999999999999999E-2</v>
      </c>
      <c r="V138" s="337">
        <v>2.6499999999999999E-2</v>
      </c>
      <c r="W138" s="319"/>
    </row>
    <row r="139" spans="1:23" x14ac:dyDescent="0.2">
      <c r="A139" s="316"/>
      <c r="B139" s="328"/>
      <c r="C139" s="328">
        <v>67</v>
      </c>
      <c r="D139" s="335">
        <v>0.47839999999999999</v>
      </c>
      <c r="E139" s="336">
        <v>1218.8072999999999</v>
      </c>
      <c r="F139" s="332">
        <v>3.0369999999999999</v>
      </c>
      <c r="G139" s="332">
        <v>6.4600000000000005E-2</v>
      </c>
      <c r="H139" s="332">
        <v>1.15E-2</v>
      </c>
      <c r="I139" s="333">
        <v>7.7799999999999994E-2</v>
      </c>
      <c r="J139" s="337">
        <v>6.1800000000000001E-2</v>
      </c>
      <c r="K139" s="319"/>
      <c r="L139" s="308"/>
      <c r="M139" s="316"/>
      <c r="N139" s="328"/>
      <c r="O139" s="328">
        <v>67</v>
      </c>
      <c r="P139" s="335">
        <v>0.1361</v>
      </c>
      <c r="Q139" s="336">
        <v>883.00599999999997</v>
      </c>
      <c r="R139" s="332">
        <v>1.3865000000000001</v>
      </c>
      <c r="S139" s="332">
        <v>2.7900000000000001E-2</v>
      </c>
      <c r="T139" s="332">
        <v>8.3999999999999995E-3</v>
      </c>
      <c r="U139" s="333">
        <v>1.89E-2</v>
      </c>
      <c r="V139" s="337">
        <v>2.6700000000000002E-2</v>
      </c>
      <c r="W139" s="319"/>
    </row>
    <row r="140" spans="1:23" x14ac:dyDescent="0.2">
      <c r="A140" s="316"/>
      <c r="B140" s="328"/>
      <c r="C140" s="328">
        <v>68</v>
      </c>
      <c r="D140" s="335">
        <v>0.49890000000000001</v>
      </c>
      <c r="E140" s="336">
        <v>1216.4405999999999</v>
      </c>
      <c r="F140" s="332">
        <v>3.0758000000000001</v>
      </c>
      <c r="G140" s="332">
        <v>6.4299999999999996E-2</v>
      </c>
      <c r="H140" s="332">
        <v>1.15E-2</v>
      </c>
      <c r="I140" s="333">
        <v>7.9500000000000001E-2</v>
      </c>
      <c r="J140" s="337">
        <v>6.1499999999999999E-2</v>
      </c>
      <c r="K140" s="319"/>
      <c r="L140" s="308"/>
      <c r="M140" s="316"/>
      <c r="N140" s="328"/>
      <c r="O140" s="328">
        <v>68</v>
      </c>
      <c r="P140" s="335">
        <v>0.14419999999999999</v>
      </c>
      <c r="Q140" s="336">
        <v>885.58960000000002</v>
      </c>
      <c r="R140" s="332">
        <v>1.3972</v>
      </c>
      <c r="S140" s="332">
        <v>2.81E-2</v>
      </c>
      <c r="T140" s="332">
        <v>8.3999999999999995E-3</v>
      </c>
      <c r="U140" s="333">
        <v>1.9800000000000002E-2</v>
      </c>
      <c r="V140" s="337">
        <v>2.69E-2</v>
      </c>
      <c r="W140" s="319"/>
    </row>
    <row r="141" spans="1:23" x14ac:dyDescent="0.2">
      <c r="A141" s="316"/>
      <c r="B141" s="328"/>
      <c r="C141" s="328">
        <v>69</v>
      </c>
      <c r="D141" s="335">
        <v>0.51929999999999998</v>
      </c>
      <c r="E141" s="336">
        <v>1214.0739000000001</v>
      </c>
      <c r="F141" s="332">
        <v>3.1145999999999998</v>
      </c>
      <c r="G141" s="332">
        <v>6.4100000000000004E-2</v>
      </c>
      <c r="H141" s="332">
        <v>1.15E-2</v>
      </c>
      <c r="I141" s="333">
        <v>8.1100000000000005E-2</v>
      </c>
      <c r="J141" s="337">
        <v>6.13E-2</v>
      </c>
      <c r="K141" s="319"/>
      <c r="L141" s="308"/>
      <c r="M141" s="316"/>
      <c r="N141" s="328"/>
      <c r="O141" s="328">
        <v>69</v>
      </c>
      <c r="P141" s="335">
        <v>0.1522</v>
      </c>
      <c r="Q141" s="336">
        <v>888.17319999999995</v>
      </c>
      <c r="R141" s="332">
        <v>1.4079999999999999</v>
      </c>
      <c r="S141" s="332">
        <v>2.8299999999999999E-2</v>
      </c>
      <c r="T141" s="332">
        <v>8.3999999999999995E-3</v>
      </c>
      <c r="U141" s="333">
        <v>2.07E-2</v>
      </c>
      <c r="V141" s="337">
        <v>2.7099999999999999E-2</v>
      </c>
      <c r="W141" s="319"/>
    </row>
    <row r="142" spans="1:23" x14ac:dyDescent="0.2">
      <c r="A142" s="316"/>
      <c r="B142" s="328"/>
      <c r="C142" s="328">
        <v>70</v>
      </c>
      <c r="D142" s="335">
        <v>0.53979999999999995</v>
      </c>
      <c r="E142" s="336">
        <v>1211.7072000000001</v>
      </c>
      <c r="F142" s="332">
        <v>3.1534</v>
      </c>
      <c r="G142" s="332">
        <v>6.3799999999999996E-2</v>
      </c>
      <c r="H142" s="332">
        <v>1.15E-2</v>
      </c>
      <c r="I142" s="333">
        <v>8.2799999999999999E-2</v>
      </c>
      <c r="J142" s="337">
        <v>6.0999999999999999E-2</v>
      </c>
      <c r="K142" s="319"/>
      <c r="L142" s="308"/>
      <c r="M142" s="316"/>
      <c r="N142" s="328"/>
      <c r="O142" s="328">
        <v>70</v>
      </c>
      <c r="P142" s="335">
        <v>0.1603</v>
      </c>
      <c r="Q142" s="336">
        <v>890.75689999999997</v>
      </c>
      <c r="R142" s="332">
        <v>1.4187000000000001</v>
      </c>
      <c r="S142" s="332">
        <v>2.8500000000000001E-2</v>
      </c>
      <c r="T142" s="332">
        <v>8.3999999999999995E-3</v>
      </c>
      <c r="U142" s="333">
        <v>2.1600000000000001E-2</v>
      </c>
      <c r="V142" s="337">
        <v>2.7199999999999998E-2</v>
      </c>
      <c r="W142" s="319"/>
    </row>
    <row r="143" spans="1:23" x14ac:dyDescent="0.2">
      <c r="A143" s="316"/>
      <c r="B143" s="328"/>
      <c r="C143" s="338"/>
      <c r="D143" s="335"/>
      <c r="E143" s="336"/>
      <c r="F143" s="332"/>
      <c r="G143" s="332"/>
      <c r="H143" s="332"/>
      <c r="I143" s="333"/>
      <c r="J143" s="337"/>
      <c r="K143" s="319"/>
      <c r="L143" s="308"/>
      <c r="M143" s="316"/>
      <c r="N143" s="328"/>
      <c r="O143" s="338"/>
      <c r="P143" s="335"/>
      <c r="Q143" s="336"/>
      <c r="R143" s="332"/>
      <c r="S143" s="332"/>
      <c r="T143" s="332"/>
      <c r="U143" s="333"/>
      <c r="V143" s="337"/>
      <c r="W143" s="319"/>
    </row>
    <row r="144" spans="1:23" x14ac:dyDescent="0.2">
      <c r="A144" s="316"/>
      <c r="B144" s="328" t="s">
        <v>119</v>
      </c>
      <c r="C144" s="328">
        <v>0</v>
      </c>
      <c r="D144" s="335">
        <v>1.7052</v>
      </c>
      <c r="E144" s="336">
        <v>12.7834</v>
      </c>
      <c r="F144" s="332">
        <v>0.60619999999999996</v>
      </c>
      <c r="G144" s="332">
        <v>1E-4</v>
      </c>
      <c r="H144" s="332">
        <v>1E-4</v>
      </c>
      <c r="I144" s="333">
        <v>8.0699999999999994E-2</v>
      </c>
      <c r="J144" s="337">
        <v>1E-4</v>
      </c>
      <c r="K144" s="319"/>
      <c r="L144" s="308"/>
      <c r="M144" s="316"/>
      <c r="N144" s="328" t="s">
        <v>119</v>
      </c>
      <c r="O144" s="328">
        <v>0</v>
      </c>
      <c r="P144" s="335">
        <v>1.3037000000000001</v>
      </c>
      <c r="Q144" s="336">
        <v>10.4247</v>
      </c>
      <c r="R144" s="332">
        <v>1.2376</v>
      </c>
      <c r="S144" s="332">
        <v>1E-4</v>
      </c>
      <c r="T144" s="332">
        <v>1E-4</v>
      </c>
      <c r="U144" s="333">
        <v>6.3899999999999998E-2</v>
      </c>
      <c r="V144" s="337">
        <v>1E-4</v>
      </c>
      <c r="W144" s="319"/>
    </row>
    <row r="145" spans="1:23" x14ac:dyDescent="0.2">
      <c r="A145" s="316"/>
      <c r="B145" s="328"/>
      <c r="C145" s="328">
        <v>5</v>
      </c>
      <c r="D145" s="335">
        <v>20.755299999999998</v>
      </c>
      <c r="E145" s="336">
        <v>2860.2247000000002</v>
      </c>
      <c r="F145" s="332">
        <v>6.9104999999999999</v>
      </c>
      <c r="G145" s="332">
        <v>5.9700000000000003E-2</v>
      </c>
      <c r="H145" s="332">
        <v>1.8599999999999998E-2</v>
      </c>
      <c r="I145" s="333">
        <v>0.49930000000000002</v>
      </c>
      <c r="J145" s="337">
        <v>5.7000000000000002E-2</v>
      </c>
      <c r="K145" s="319"/>
      <c r="L145" s="308"/>
      <c r="M145" s="316"/>
      <c r="N145" s="328"/>
      <c r="O145" s="328">
        <v>5</v>
      </c>
      <c r="P145" s="335">
        <v>23.997599999999998</v>
      </c>
      <c r="Q145" s="336">
        <v>2501.4117999999999</v>
      </c>
      <c r="R145" s="332">
        <v>2.6217999999999999</v>
      </c>
      <c r="S145" s="332">
        <v>7.4000000000000003E-3</v>
      </c>
      <c r="T145" s="332">
        <v>1.41E-2</v>
      </c>
      <c r="U145" s="333">
        <v>0.10440000000000001</v>
      </c>
      <c r="V145" s="337">
        <v>7.0000000000000001E-3</v>
      </c>
      <c r="W145" s="319"/>
    </row>
    <row r="146" spans="1:23" x14ac:dyDescent="0.2">
      <c r="A146" s="316"/>
      <c r="B146" s="328"/>
      <c r="C146" s="328">
        <v>6</v>
      </c>
      <c r="D146" s="335">
        <v>20.2836</v>
      </c>
      <c r="E146" s="336">
        <v>2782.8802999999998</v>
      </c>
      <c r="F146" s="332">
        <v>6.5263999999999998</v>
      </c>
      <c r="G146" s="332">
        <v>5.6000000000000001E-2</v>
      </c>
      <c r="H146" s="332">
        <v>1.8200000000000001E-2</v>
      </c>
      <c r="I146" s="333">
        <v>0.46899999999999997</v>
      </c>
      <c r="J146" s="337">
        <v>5.3499999999999999E-2</v>
      </c>
      <c r="K146" s="319"/>
      <c r="L146" s="308"/>
      <c r="M146" s="316"/>
      <c r="N146" s="328"/>
      <c r="O146" s="328">
        <v>6</v>
      </c>
      <c r="P146" s="335">
        <v>23.463699999999999</v>
      </c>
      <c r="Q146" s="336">
        <v>2424.4382000000001</v>
      </c>
      <c r="R146" s="332">
        <v>2.4491999999999998</v>
      </c>
      <c r="S146" s="332">
        <v>7.1000000000000004E-3</v>
      </c>
      <c r="T146" s="332">
        <v>1.3599999999999999E-2</v>
      </c>
      <c r="U146" s="333">
        <v>9.9000000000000005E-2</v>
      </c>
      <c r="V146" s="337">
        <v>6.7000000000000002E-3</v>
      </c>
      <c r="W146" s="319"/>
    </row>
    <row r="147" spans="1:23" x14ac:dyDescent="0.2">
      <c r="A147" s="316"/>
      <c r="B147" s="328"/>
      <c r="C147" s="328">
        <v>7</v>
      </c>
      <c r="D147" s="335">
        <v>19.812000000000001</v>
      </c>
      <c r="E147" s="336">
        <v>2705.5358000000001</v>
      </c>
      <c r="F147" s="332">
        <v>6.1421999999999999</v>
      </c>
      <c r="G147" s="332">
        <v>5.2299999999999999E-2</v>
      </c>
      <c r="H147" s="332">
        <v>1.77E-2</v>
      </c>
      <c r="I147" s="333">
        <v>0.43869999999999998</v>
      </c>
      <c r="J147" s="337">
        <v>0.05</v>
      </c>
      <c r="K147" s="319"/>
      <c r="L147" s="308"/>
      <c r="M147" s="316"/>
      <c r="N147" s="328"/>
      <c r="O147" s="328">
        <v>7</v>
      </c>
      <c r="P147" s="335">
        <v>22.9297</v>
      </c>
      <c r="Q147" s="336">
        <v>2347.4645999999998</v>
      </c>
      <c r="R147" s="332">
        <v>2.2765</v>
      </c>
      <c r="S147" s="332">
        <v>6.7999999999999996E-3</v>
      </c>
      <c r="T147" s="332">
        <v>1.3100000000000001E-2</v>
      </c>
      <c r="U147" s="333">
        <v>9.3600000000000003E-2</v>
      </c>
      <c r="V147" s="337">
        <v>6.4000000000000003E-3</v>
      </c>
      <c r="W147" s="319"/>
    </row>
    <row r="148" spans="1:23" x14ac:dyDescent="0.2">
      <c r="A148" s="316"/>
      <c r="B148" s="328"/>
      <c r="C148" s="328">
        <v>8</v>
      </c>
      <c r="D148" s="335">
        <v>19.340299999999999</v>
      </c>
      <c r="E148" s="336">
        <v>2628.1913</v>
      </c>
      <c r="F148" s="332">
        <v>5.758</v>
      </c>
      <c r="G148" s="332">
        <v>4.8599999999999997E-2</v>
      </c>
      <c r="H148" s="332">
        <v>1.72E-2</v>
      </c>
      <c r="I148" s="333">
        <v>0.40839999999999999</v>
      </c>
      <c r="J148" s="337">
        <v>4.65E-2</v>
      </c>
      <c r="K148" s="319"/>
      <c r="L148" s="308"/>
      <c r="M148" s="316"/>
      <c r="N148" s="328"/>
      <c r="O148" s="328">
        <v>8</v>
      </c>
      <c r="P148" s="335">
        <v>22.395700000000001</v>
      </c>
      <c r="Q148" s="336">
        <v>2270.491</v>
      </c>
      <c r="R148" s="332">
        <v>2.1038000000000001</v>
      </c>
      <c r="S148" s="332">
        <v>6.4000000000000003E-3</v>
      </c>
      <c r="T148" s="332">
        <v>1.2699999999999999E-2</v>
      </c>
      <c r="U148" s="333">
        <v>8.8099999999999998E-2</v>
      </c>
      <c r="V148" s="337">
        <v>6.1000000000000004E-3</v>
      </c>
      <c r="W148" s="319"/>
    </row>
    <row r="149" spans="1:23" x14ac:dyDescent="0.2">
      <c r="A149" s="316"/>
      <c r="B149" s="328"/>
      <c r="C149" s="328">
        <v>9</v>
      </c>
      <c r="D149" s="335">
        <v>18.868600000000001</v>
      </c>
      <c r="E149" s="336">
        <v>2550.8469</v>
      </c>
      <c r="F149" s="332">
        <v>5.3738999999999999</v>
      </c>
      <c r="G149" s="332">
        <v>4.4900000000000002E-2</v>
      </c>
      <c r="H149" s="332">
        <v>1.67E-2</v>
      </c>
      <c r="I149" s="333">
        <v>0.37809999999999999</v>
      </c>
      <c r="J149" s="337">
        <v>4.2900000000000001E-2</v>
      </c>
      <c r="K149" s="319"/>
      <c r="L149" s="308"/>
      <c r="M149" s="316"/>
      <c r="N149" s="328"/>
      <c r="O149" s="328">
        <v>9</v>
      </c>
      <c r="P149" s="335">
        <v>21.861699999999999</v>
      </c>
      <c r="Q149" s="336">
        <v>2193.5174999999999</v>
      </c>
      <c r="R149" s="332">
        <v>1.9311</v>
      </c>
      <c r="S149" s="332">
        <v>6.1000000000000004E-3</v>
      </c>
      <c r="T149" s="332">
        <v>1.2200000000000001E-2</v>
      </c>
      <c r="U149" s="333">
        <v>8.2699999999999996E-2</v>
      </c>
      <c r="V149" s="337">
        <v>5.7999999999999996E-3</v>
      </c>
      <c r="W149" s="319"/>
    </row>
    <row r="150" spans="1:23" x14ac:dyDescent="0.2">
      <c r="A150" s="316"/>
      <c r="B150" s="328"/>
      <c r="C150" s="328">
        <v>10</v>
      </c>
      <c r="D150" s="335">
        <v>18.396999999999998</v>
      </c>
      <c r="E150" s="336">
        <v>2473.5023999999999</v>
      </c>
      <c r="F150" s="332">
        <v>4.9897</v>
      </c>
      <c r="G150" s="332">
        <v>4.1200000000000001E-2</v>
      </c>
      <c r="H150" s="332">
        <v>1.6199999999999999E-2</v>
      </c>
      <c r="I150" s="333">
        <v>0.3478</v>
      </c>
      <c r="J150" s="337">
        <v>3.9399999999999998E-2</v>
      </c>
      <c r="K150" s="319"/>
      <c r="L150" s="308"/>
      <c r="M150" s="316"/>
      <c r="N150" s="328"/>
      <c r="O150" s="328">
        <v>10</v>
      </c>
      <c r="P150" s="335">
        <v>21.3278</v>
      </c>
      <c r="Q150" s="336">
        <v>2116.5439000000001</v>
      </c>
      <c r="R150" s="332">
        <v>1.7584</v>
      </c>
      <c r="S150" s="332">
        <v>5.7999999999999996E-3</v>
      </c>
      <c r="T150" s="332">
        <v>1.18E-2</v>
      </c>
      <c r="U150" s="333">
        <v>7.7299999999999994E-2</v>
      </c>
      <c r="V150" s="337">
        <v>5.4999999999999997E-3</v>
      </c>
      <c r="W150" s="319"/>
    </row>
    <row r="151" spans="1:23" x14ac:dyDescent="0.2">
      <c r="A151" s="316"/>
      <c r="B151" s="328"/>
      <c r="C151" s="328">
        <v>11</v>
      </c>
      <c r="D151" s="335">
        <v>18.262599999999999</v>
      </c>
      <c r="E151" s="336">
        <v>2387.8332999999998</v>
      </c>
      <c r="F151" s="332">
        <v>4.6778000000000004</v>
      </c>
      <c r="G151" s="332">
        <v>3.8100000000000002E-2</v>
      </c>
      <c r="H151" s="332">
        <v>1.55E-2</v>
      </c>
      <c r="I151" s="333">
        <v>0.31890000000000002</v>
      </c>
      <c r="J151" s="337">
        <v>3.6400000000000002E-2</v>
      </c>
      <c r="K151" s="319"/>
      <c r="L151" s="308"/>
      <c r="M151" s="316"/>
      <c r="N151" s="328"/>
      <c r="O151" s="328">
        <v>11</v>
      </c>
      <c r="P151" s="335">
        <v>21.107299999999999</v>
      </c>
      <c r="Q151" s="336">
        <v>2047.5775000000001</v>
      </c>
      <c r="R151" s="332">
        <v>1.6419999999999999</v>
      </c>
      <c r="S151" s="332">
        <v>5.4999999999999997E-3</v>
      </c>
      <c r="T151" s="332">
        <v>1.12E-2</v>
      </c>
      <c r="U151" s="333">
        <v>7.3599999999999999E-2</v>
      </c>
      <c r="V151" s="337">
        <v>5.1999999999999998E-3</v>
      </c>
      <c r="W151" s="319"/>
    </row>
    <row r="152" spans="1:23" x14ac:dyDescent="0.2">
      <c r="A152" s="316"/>
      <c r="B152" s="328"/>
      <c r="C152" s="328">
        <v>12</v>
      </c>
      <c r="D152" s="335">
        <v>18.1282</v>
      </c>
      <c r="E152" s="336">
        <v>2302.1641</v>
      </c>
      <c r="F152" s="332">
        <v>4.3658999999999999</v>
      </c>
      <c r="G152" s="332">
        <v>3.49E-2</v>
      </c>
      <c r="H152" s="332">
        <v>1.47E-2</v>
      </c>
      <c r="I152" s="333">
        <v>0.29010000000000002</v>
      </c>
      <c r="J152" s="337">
        <v>3.3399999999999999E-2</v>
      </c>
      <c r="K152" s="319"/>
      <c r="L152" s="308"/>
      <c r="M152" s="316"/>
      <c r="N152" s="328"/>
      <c r="O152" s="328">
        <v>12</v>
      </c>
      <c r="P152" s="335">
        <v>20.886800000000001</v>
      </c>
      <c r="Q152" s="336">
        <v>1978.6110000000001</v>
      </c>
      <c r="R152" s="332">
        <v>1.5255000000000001</v>
      </c>
      <c r="S152" s="332">
        <v>5.1999999999999998E-3</v>
      </c>
      <c r="T152" s="332">
        <v>1.0699999999999999E-2</v>
      </c>
      <c r="U152" s="333">
        <v>6.9900000000000004E-2</v>
      </c>
      <c r="V152" s="337">
        <v>5.0000000000000001E-3</v>
      </c>
      <c r="W152" s="319"/>
    </row>
    <row r="153" spans="1:23" x14ac:dyDescent="0.2">
      <c r="A153" s="316"/>
      <c r="B153" s="328"/>
      <c r="C153" s="328">
        <v>13</v>
      </c>
      <c r="D153" s="335">
        <v>17.9938</v>
      </c>
      <c r="E153" s="336">
        <v>2216.4949999999999</v>
      </c>
      <c r="F153" s="332">
        <v>4.0538999999999996</v>
      </c>
      <c r="G153" s="332">
        <v>3.1800000000000002E-2</v>
      </c>
      <c r="H153" s="332">
        <v>1.4E-2</v>
      </c>
      <c r="I153" s="333">
        <v>0.26119999999999999</v>
      </c>
      <c r="J153" s="337">
        <v>3.04E-2</v>
      </c>
      <c r="K153" s="319"/>
      <c r="L153" s="308"/>
      <c r="M153" s="316"/>
      <c r="N153" s="328"/>
      <c r="O153" s="328">
        <v>13</v>
      </c>
      <c r="P153" s="335">
        <v>20.6662</v>
      </c>
      <c r="Q153" s="336">
        <v>1909.6446000000001</v>
      </c>
      <c r="R153" s="332">
        <v>1.4091</v>
      </c>
      <c r="S153" s="332">
        <v>5.0000000000000001E-3</v>
      </c>
      <c r="T153" s="332">
        <v>1.01E-2</v>
      </c>
      <c r="U153" s="333">
        <v>6.6199999999999995E-2</v>
      </c>
      <c r="V153" s="337">
        <v>4.7000000000000002E-3</v>
      </c>
      <c r="W153" s="319"/>
    </row>
    <row r="154" spans="1:23" x14ac:dyDescent="0.2">
      <c r="A154" s="316"/>
      <c r="B154" s="328"/>
      <c r="C154" s="328">
        <v>14</v>
      </c>
      <c r="D154" s="335">
        <v>17.859500000000001</v>
      </c>
      <c r="E154" s="336">
        <v>2130.8258999999998</v>
      </c>
      <c r="F154" s="332">
        <v>3.742</v>
      </c>
      <c r="G154" s="332">
        <v>2.86E-2</v>
      </c>
      <c r="H154" s="332">
        <v>1.32E-2</v>
      </c>
      <c r="I154" s="333">
        <v>0.2324</v>
      </c>
      <c r="J154" s="337">
        <v>2.7400000000000001E-2</v>
      </c>
      <c r="K154" s="319"/>
      <c r="L154" s="308"/>
      <c r="M154" s="316"/>
      <c r="N154" s="328"/>
      <c r="O154" s="328">
        <v>14</v>
      </c>
      <c r="P154" s="335">
        <v>20.445699999999999</v>
      </c>
      <c r="Q154" s="336">
        <v>1840.6782000000001</v>
      </c>
      <c r="R154" s="332">
        <v>1.2926</v>
      </c>
      <c r="S154" s="332">
        <v>4.7000000000000002E-3</v>
      </c>
      <c r="T154" s="332">
        <v>9.5999999999999992E-3</v>
      </c>
      <c r="U154" s="333">
        <v>6.25E-2</v>
      </c>
      <c r="V154" s="337">
        <v>4.4999999999999997E-3</v>
      </c>
      <c r="W154" s="319"/>
    </row>
    <row r="155" spans="1:23" x14ac:dyDescent="0.2">
      <c r="A155" s="316"/>
      <c r="B155" s="328"/>
      <c r="C155" s="328">
        <v>15</v>
      </c>
      <c r="D155" s="335">
        <v>17.725100000000001</v>
      </c>
      <c r="E155" s="336">
        <v>2045.1567</v>
      </c>
      <c r="F155" s="332">
        <v>3.43</v>
      </c>
      <c r="G155" s="332">
        <v>2.5499999999999998E-2</v>
      </c>
      <c r="H155" s="332">
        <v>1.2500000000000001E-2</v>
      </c>
      <c r="I155" s="333">
        <v>0.20349999999999999</v>
      </c>
      <c r="J155" s="337">
        <v>2.4299999999999999E-2</v>
      </c>
      <c r="K155" s="319"/>
      <c r="L155" s="308"/>
      <c r="M155" s="316"/>
      <c r="N155" s="328"/>
      <c r="O155" s="328">
        <v>15</v>
      </c>
      <c r="P155" s="335">
        <v>20.225200000000001</v>
      </c>
      <c r="Q155" s="336">
        <v>1771.7118</v>
      </c>
      <c r="R155" s="332">
        <v>1.1761999999999999</v>
      </c>
      <c r="S155" s="332">
        <v>4.4999999999999997E-3</v>
      </c>
      <c r="T155" s="332">
        <v>8.9999999999999993E-3</v>
      </c>
      <c r="U155" s="333">
        <v>5.8799999999999998E-2</v>
      </c>
      <c r="V155" s="337">
        <v>4.1999999999999997E-3</v>
      </c>
      <c r="W155" s="319"/>
    </row>
    <row r="156" spans="1:23" x14ac:dyDescent="0.2">
      <c r="A156" s="316"/>
      <c r="B156" s="328"/>
      <c r="C156" s="328">
        <v>16</v>
      </c>
      <c r="D156" s="335">
        <v>19.502800000000001</v>
      </c>
      <c r="E156" s="336">
        <v>2013.8706</v>
      </c>
      <c r="F156" s="332">
        <v>3.1042000000000001</v>
      </c>
      <c r="G156" s="332">
        <v>2.1899999999999999E-2</v>
      </c>
      <c r="H156" s="332">
        <v>1.14E-2</v>
      </c>
      <c r="I156" s="333">
        <v>0.18540000000000001</v>
      </c>
      <c r="J156" s="337">
        <v>2.0899999999999998E-2</v>
      </c>
      <c r="K156" s="319"/>
      <c r="L156" s="308"/>
      <c r="M156" s="316"/>
      <c r="N156" s="328"/>
      <c r="O156" s="328">
        <v>16</v>
      </c>
      <c r="P156" s="335">
        <v>22.323699999999999</v>
      </c>
      <c r="Q156" s="336">
        <v>1775.9214999999999</v>
      </c>
      <c r="R156" s="332">
        <v>1.0665</v>
      </c>
      <c r="S156" s="332">
        <v>4.3E-3</v>
      </c>
      <c r="T156" s="332">
        <v>8.3000000000000001E-3</v>
      </c>
      <c r="U156" s="333">
        <v>5.9400000000000001E-2</v>
      </c>
      <c r="V156" s="337">
        <v>4.0000000000000001E-3</v>
      </c>
      <c r="W156" s="319"/>
    </row>
    <row r="157" spans="1:23" x14ac:dyDescent="0.2">
      <c r="A157" s="316"/>
      <c r="B157" s="328"/>
      <c r="C157" s="328">
        <v>17</v>
      </c>
      <c r="D157" s="335">
        <v>21.2804</v>
      </c>
      <c r="E157" s="336">
        <v>1982.5845999999999</v>
      </c>
      <c r="F157" s="332">
        <v>2.7783000000000002</v>
      </c>
      <c r="G157" s="332">
        <v>1.84E-2</v>
      </c>
      <c r="H157" s="332">
        <v>1.03E-2</v>
      </c>
      <c r="I157" s="333">
        <v>0.16719999999999999</v>
      </c>
      <c r="J157" s="337">
        <v>1.7500000000000002E-2</v>
      </c>
      <c r="K157" s="319"/>
      <c r="L157" s="308"/>
      <c r="M157" s="316"/>
      <c r="N157" s="328"/>
      <c r="O157" s="328">
        <v>17</v>
      </c>
      <c r="P157" s="335">
        <v>24.4222</v>
      </c>
      <c r="Q157" s="336">
        <v>1780.1312</v>
      </c>
      <c r="R157" s="332">
        <v>0.95689999999999997</v>
      </c>
      <c r="S157" s="332">
        <v>4.1000000000000003E-3</v>
      </c>
      <c r="T157" s="332">
        <v>7.4999999999999997E-3</v>
      </c>
      <c r="U157" s="333">
        <v>6.0100000000000001E-2</v>
      </c>
      <c r="V157" s="337">
        <v>3.8999999999999998E-3</v>
      </c>
      <c r="W157" s="319"/>
    </row>
    <row r="158" spans="1:23" x14ac:dyDescent="0.2">
      <c r="A158" s="316"/>
      <c r="B158" s="328"/>
      <c r="C158" s="328">
        <v>18</v>
      </c>
      <c r="D158" s="335">
        <v>23.0581</v>
      </c>
      <c r="E158" s="336">
        <v>1951.2985000000001</v>
      </c>
      <c r="F158" s="332">
        <v>2.4523999999999999</v>
      </c>
      <c r="G158" s="332">
        <v>1.4800000000000001E-2</v>
      </c>
      <c r="H158" s="332">
        <v>9.1999999999999998E-3</v>
      </c>
      <c r="I158" s="333">
        <v>0.14899999999999999</v>
      </c>
      <c r="J158" s="337">
        <v>1.41E-2</v>
      </c>
      <c r="K158" s="319"/>
      <c r="L158" s="308"/>
      <c r="M158" s="316"/>
      <c r="N158" s="328"/>
      <c r="O158" s="328">
        <v>18</v>
      </c>
      <c r="P158" s="335">
        <v>26.520700000000001</v>
      </c>
      <c r="Q158" s="336">
        <v>1784.3408999999999</v>
      </c>
      <c r="R158" s="332">
        <v>0.84730000000000005</v>
      </c>
      <c r="S158" s="332">
        <v>3.8999999999999998E-3</v>
      </c>
      <c r="T158" s="332">
        <v>6.7000000000000002E-3</v>
      </c>
      <c r="U158" s="333">
        <v>6.0699999999999997E-2</v>
      </c>
      <c r="V158" s="337">
        <v>3.7000000000000002E-3</v>
      </c>
      <c r="W158" s="319"/>
    </row>
    <row r="159" spans="1:23" x14ac:dyDescent="0.2">
      <c r="A159" s="316"/>
      <c r="B159" s="328"/>
      <c r="C159" s="328">
        <v>19</v>
      </c>
      <c r="D159" s="335">
        <v>24.835799999999999</v>
      </c>
      <c r="E159" s="336">
        <v>1920.0124000000001</v>
      </c>
      <c r="F159" s="332">
        <v>2.1265000000000001</v>
      </c>
      <c r="G159" s="332">
        <v>1.12E-2</v>
      </c>
      <c r="H159" s="332">
        <v>8.0999999999999996E-3</v>
      </c>
      <c r="I159" s="333">
        <v>0.1308</v>
      </c>
      <c r="J159" s="337">
        <v>1.0800000000000001E-2</v>
      </c>
      <c r="K159" s="319"/>
      <c r="L159" s="308"/>
      <c r="M159" s="316"/>
      <c r="N159" s="328"/>
      <c r="O159" s="328">
        <v>19</v>
      </c>
      <c r="P159" s="335">
        <v>28.619199999999999</v>
      </c>
      <c r="Q159" s="336">
        <v>1788.5505000000001</v>
      </c>
      <c r="R159" s="332">
        <v>0.73770000000000002</v>
      </c>
      <c r="S159" s="332">
        <v>3.7000000000000002E-3</v>
      </c>
      <c r="T159" s="332">
        <v>6.0000000000000001E-3</v>
      </c>
      <c r="U159" s="333">
        <v>6.13E-2</v>
      </c>
      <c r="V159" s="337">
        <v>3.5000000000000001E-3</v>
      </c>
      <c r="W159" s="319"/>
    </row>
    <row r="160" spans="1:23" x14ac:dyDescent="0.2">
      <c r="A160" s="316"/>
      <c r="B160" s="328"/>
      <c r="C160" s="328">
        <v>20</v>
      </c>
      <c r="D160" s="335">
        <v>26.613399999999999</v>
      </c>
      <c r="E160" s="336">
        <v>1888.7263</v>
      </c>
      <c r="F160" s="332">
        <v>1.8007</v>
      </c>
      <c r="G160" s="332">
        <v>7.7000000000000002E-3</v>
      </c>
      <c r="H160" s="332">
        <v>7.0000000000000001E-3</v>
      </c>
      <c r="I160" s="333">
        <v>0.11260000000000001</v>
      </c>
      <c r="J160" s="337">
        <v>7.4000000000000003E-3</v>
      </c>
      <c r="K160" s="319"/>
      <c r="L160" s="308"/>
      <c r="M160" s="316"/>
      <c r="N160" s="328"/>
      <c r="O160" s="328">
        <v>20</v>
      </c>
      <c r="P160" s="335">
        <v>30.717700000000001</v>
      </c>
      <c r="Q160" s="336">
        <v>1792.7601999999999</v>
      </c>
      <c r="R160" s="332">
        <v>0.628</v>
      </c>
      <c r="S160" s="332">
        <v>3.5000000000000001E-3</v>
      </c>
      <c r="T160" s="332">
        <v>5.1999999999999998E-3</v>
      </c>
      <c r="U160" s="333">
        <v>6.2E-2</v>
      </c>
      <c r="V160" s="337">
        <v>3.3E-3</v>
      </c>
      <c r="W160" s="319"/>
    </row>
    <row r="161" spans="1:23" x14ac:dyDescent="0.2">
      <c r="A161" s="316"/>
      <c r="B161" s="328"/>
      <c r="C161" s="328">
        <v>21</v>
      </c>
      <c r="D161" s="335">
        <v>22.053699999999999</v>
      </c>
      <c r="E161" s="336">
        <v>1802.6822</v>
      </c>
      <c r="F161" s="332">
        <v>2.1964000000000001</v>
      </c>
      <c r="G161" s="332">
        <v>1.14E-2</v>
      </c>
      <c r="H161" s="332">
        <v>8.2000000000000007E-3</v>
      </c>
      <c r="I161" s="333">
        <v>0.1152</v>
      </c>
      <c r="J161" s="337">
        <v>1.09E-2</v>
      </c>
      <c r="K161" s="319"/>
      <c r="L161" s="308"/>
      <c r="M161" s="316"/>
      <c r="N161" s="328"/>
      <c r="O161" s="328">
        <v>21</v>
      </c>
      <c r="P161" s="335">
        <v>25.204899999999999</v>
      </c>
      <c r="Q161" s="336">
        <v>1655.9514999999999</v>
      </c>
      <c r="R161" s="332">
        <v>0.74619999999999997</v>
      </c>
      <c r="S161" s="332">
        <v>3.3999999999999998E-3</v>
      </c>
      <c r="T161" s="332">
        <v>6.1000000000000004E-3</v>
      </c>
      <c r="U161" s="333">
        <v>5.4199999999999998E-2</v>
      </c>
      <c r="V161" s="337">
        <v>3.3E-3</v>
      </c>
      <c r="W161" s="319"/>
    </row>
    <row r="162" spans="1:23" x14ac:dyDescent="0.2">
      <c r="A162" s="316"/>
      <c r="B162" s="328"/>
      <c r="C162" s="328">
        <v>22</v>
      </c>
      <c r="D162" s="335">
        <v>17.494</v>
      </c>
      <c r="E162" s="336">
        <v>1716.6379999999999</v>
      </c>
      <c r="F162" s="332">
        <v>2.5920999999999998</v>
      </c>
      <c r="G162" s="332">
        <v>1.5100000000000001E-2</v>
      </c>
      <c r="H162" s="332">
        <v>9.4999999999999998E-3</v>
      </c>
      <c r="I162" s="333">
        <v>0.1178</v>
      </c>
      <c r="J162" s="337">
        <v>1.44E-2</v>
      </c>
      <c r="K162" s="319"/>
      <c r="L162" s="308"/>
      <c r="M162" s="316"/>
      <c r="N162" s="328"/>
      <c r="O162" s="328">
        <v>22</v>
      </c>
      <c r="P162" s="335">
        <v>19.6922</v>
      </c>
      <c r="Q162" s="336">
        <v>1519.1428000000001</v>
      </c>
      <c r="R162" s="332">
        <v>0.86429999999999996</v>
      </c>
      <c r="S162" s="332">
        <v>3.3999999999999998E-3</v>
      </c>
      <c r="T162" s="332">
        <v>7.0000000000000001E-3</v>
      </c>
      <c r="U162" s="333">
        <v>4.65E-2</v>
      </c>
      <c r="V162" s="337">
        <v>3.2000000000000002E-3</v>
      </c>
      <c r="W162" s="319"/>
    </row>
    <row r="163" spans="1:23" x14ac:dyDescent="0.2">
      <c r="A163" s="316"/>
      <c r="B163" s="328"/>
      <c r="C163" s="328">
        <v>23</v>
      </c>
      <c r="D163" s="335">
        <v>12.934200000000001</v>
      </c>
      <c r="E163" s="336">
        <v>1630.5938000000001</v>
      </c>
      <c r="F163" s="332">
        <v>2.9878</v>
      </c>
      <c r="G163" s="332">
        <v>1.8800000000000001E-2</v>
      </c>
      <c r="H163" s="332">
        <v>1.0699999999999999E-2</v>
      </c>
      <c r="I163" s="333">
        <v>0.1203</v>
      </c>
      <c r="J163" s="337">
        <v>1.7999999999999999E-2</v>
      </c>
      <c r="K163" s="319"/>
      <c r="L163" s="308"/>
      <c r="M163" s="316"/>
      <c r="N163" s="328"/>
      <c r="O163" s="328">
        <v>23</v>
      </c>
      <c r="P163" s="335">
        <v>14.179399999999999</v>
      </c>
      <c r="Q163" s="336">
        <v>1382.3341</v>
      </c>
      <c r="R163" s="332">
        <v>0.98250000000000004</v>
      </c>
      <c r="S163" s="332">
        <v>3.3E-3</v>
      </c>
      <c r="T163" s="332">
        <v>7.7999999999999996E-3</v>
      </c>
      <c r="U163" s="333">
        <v>3.8800000000000001E-2</v>
      </c>
      <c r="V163" s="337">
        <v>3.2000000000000002E-3</v>
      </c>
      <c r="W163" s="319"/>
    </row>
    <row r="164" spans="1:23" x14ac:dyDescent="0.2">
      <c r="A164" s="316"/>
      <c r="B164" s="328"/>
      <c r="C164" s="328">
        <v>24</v>
      </c>
      <c r="D164" s="335">
        <v>8.3744999999999994</v>
      </c>
      <c r="E164" s="336">
        <v>1544.5496000000001</v>
      </c>
      <c r="F164" s="332">
        <v>3.3835000000000002</v>
      </c>
      <c r="G164" s="332">
        <v>2.2499999999999999E-2</v>
      </c>
      <c r="H164" s="332">
        <v>1.1900000000000001E-2</v>
      </c>
      <c r="I164" s="333">
        <v>0.1229</v>
      </c>
      <c r="J164" s="337">
        <v>2.1499999999999998E-2</v>
      </c>
      <c r="K164" s="319"/>
      <c r="L164" s="308"/>
      <c r="M164" s="316"/>
      <c r="N164" s="328"/>
      <c r="O164" s="328">
        <v>24</v>
      </c>
      <c r="P164" s="335">
        <v>8.6666000000000007</v>
      </c>
      <c r="Q164" s="336">
        <v>1245.5254</v>
      </c>
      <c r="R164" s="332">
        <v>1.1006</v>
      </c>
      <c r="S164" s="332">
        <v>3.3E-3</v>
      </c>
      <c r="T164" s="332">
        <v>8.6999999999999994E-3</v>
      </c>
      <c r="U164" s="333">
        <v>3.1099999999999999E-2</v>
      </c>
      <c r="V164" s="337">
        <v>3.0999999999999999E-3</v>
      </c>
      <c r="W164" s="319"/>
    </row>
    <row r="165" spans="1:23" x14ac:dyDescent="0.2">
      <c r="A165" s="316"/>
      <c r="B165" s="328"/>
      <c r="C165" s="328">
        <v>25</v>
      </c>
      <c r="D165" s="335">
        <v>3.8147000000000002</v>
      </c>
      <c r="E165" s="336">
        <v>1458.5055</v>
      </c>
      <c r="F165" s="332">
        <v>3.7791999999999999</v>
      </c>
      <c r="G165" s="332">
        <v>2.6200000000000001E-2</v>
      </c>
      <c r="H165" s="332">
        <v>1.3100000000000001E-2</v>
      </c>
      <c r="I165" s="333">
        <v>0.1255</v>
      </c>
      <c r="J165" s="337">
        <v>2.5100000000000001E-2</v>
      </c>
      <c r="K165" s="319"/>
      <c r="L165" s="308"/>
      <c r="M165" s="316"/>
      <c r="N165" s="328"/>
      <c r="O165" s="328">
        <v>25</v>
      </c>
      <c r="P165" s="335">
        <v>3.1537999999999999</v>
      </c>
      <c r="Q165" s="336">
        <v>1108.7166999999999</v>
      </c>
      <c r="R165" s="332">
        <v>1.2188000000000001</v>
      </c>
      <c r="S165" s="332">
        <v>3.2000000000000002E-3</v>
      </c>
      <c r="T165" s="332">
        <v>9.5999999999999992E-3</v>
      </c>
      <c r="U165" s="333">
        <v>2.3400000000000001E-2</v>
      </c>
      <c r="V165" s="337">
        <v>3.0999999999999999E-3</v>
      </c>
      <c r="W165" s="319"/>
    </row>
    <row r="166" spans="1:23" x14ac:dyDescent="0.2">
      <c r="A166" s="316"/>
      <c r="B166" s="328"/>
      <c r="C166" s="328">
        <v>26</v>
      </c>
      <c r="D166" s="335">
        <v>3.7713999999999999</v>
      </c>
      <c r="E166" s="336">
        <v>1430.8137999999999</v>
      </c>
      <c r="F166" s="332">
        <v>3.7303999999999999</v>
      </c>
      <c r="G166" s="332">
        <v>2.5499999999999998E-2</v>
      </c>
      <c r="H166" s="332">
        <v>1.2800000000000001E-2</v>
      </c>
      <c r="I166" s="333">
        <v>0.12039999999999999</v>
      </c>
      <c r="J166" s="337">
        <v>2.4299999999999999E-2</v>
      </c>
      <c r="K166" s="319"/>
      <c r="L166" s="308"/>
      <c r="M166" s="316"/>
      <c r="N166" s="328"/>
      <c r="O166" s="328">
        <v>26</v>
      </c>
      <c r="P166" s="335">
        <v>3.1149</v>
      </c>
      <c r="Q166" s="336">
        <v>1084.9049</v>
      </c>
      <c r="R166" s="332">
        <v>1.1651</v>
      </c>
      <c r="S166" s="332">
        <v>3.2000000000000002E-3</v>
      </c>
      <c r="T166" s="332">
        <v>9.4000000000000004E-3</v>
      </c>
      <c r="U166" s="333">
        <v>2.2499999999999999E-2</v>
      </c>
      <c r="V166" s="337">
        <v>3.0000000000000001E-3</v>
      </c>
      <c r="W166" s="319"/>
    </row>
    <row r="167" spans="1:23" x14ac:dyDescent="0.2">
      <c r="A167" s="316"/>
      <c r="B167" s="328"/>
      <c r="C167" s="328">
        <v>27</v>
      </c>
      <c r="D167" s="335">
        <v>3.7280000000000002</v>
      </c>
      <c r="E167" s="336">
        <v>1403.1221</v>
      </c>
      <c r="F167" s="332">
        <v>3.6817000000000002</v>
      </c>
      <c r="G167" s="332">
        <v>2.47E-2</v>
      </c>
      <c r="H167" s="332">
        <v>1.26E-2</v>
      </c>
      <c r="I167" s="333">
        <v>0.1153</v>
      </c>
      <c r="J167" s="337">
        <v>2.3599999999999999E-2</v>
      </c>
      <c r="K167" s="319"/>
      <c r="L167" s="308"/>
      <c r="M167" s="316"/>
      <c r="N167" s="328"/>
      <c r="O167" s="328">
        <v>27</v>
      </c>
      <c r="P167" s="335">
        <v>3.0758999999999999</v>
      </c>
      <c r="Q167" s="336">
        <v>1061.0931</v>
      </c>
      <c r="R167" s="332">
        <v>1.1113999999999999</v>
      </c>
      <c r="S167" s="332">
        <v>3.2000000000000002E-3</v>
      </c>
      <c r="T167" s="332">
        <v>9.1999999999999998E-3</v>
      </c>
      <c r="U167" s="333">
        <v>2.1600000000000001E-2</v>
      </c>
      <c r="V167" s="337">
        <v>3.0000000000000001E-3</v>
      </c>
      <c r="W167" s="319"/>
    </row>
    <row r="168" spans="1:23" x14ac:dyDescent="0.2">
      <c r="A168" s="316"/>
      <c r="B168" s="328"/>
      <c r="C168" s="328">
        <v>28</v>
      </c>
      <c r="D168" s="335">
        <v>3.6846000000000001</v>
      </c>
      <c r="E168" s="336">
        <v>1375.4304</v>
      </c>
      <c r="F168" s="332">
        <v>3.633</v>
      </c>
      <c r="G168" s="332">
        <v>2.3900000000000001E-2</v>
      </c>
      <c r="H168" s="332">
        <v>1.23E-2</v>
      </c>
      <c r="I168" s="333">
        <v>0.11020000000000001</v>
      </c>
      <c r="J168" s="337">
        <v>2.29E-2</v>
      </c>
      <c r="K168" s="319"/>
      <c r="L168" s="308"/>
      <c r="M168" s="316"/>
      <c r="N168" s="328"/>
      <c r="O168" s="328">
        <v>28</v>
      </c>
      <c r="P168" s="335">
        <v>3.0369999999999999</v>
      </c>
      <c r="Q168" s="336">
        <v>1037.2814000000001</v>
      </c>
      <c r="R168" s="332">
        <v>1.0577000000000001</v>
      </c>
      <c r="S168" s="332">
        <v>3.0999999999999999E-3</v>
      </c>
      <c r="T168" s="332">
        <v>8.8999999999999999E-3</v>
      </c>
      <c r="U168" s="333">
        <v>2.07E-2</v>
      </c>
      <c r="V168" s="337">
        <v>3.0000000000000001E-3</v>
      </c>
      <c r="W168" s="319"/>
    </row>
    <row r="169" spans="1:23" x14ac:dyDescent="0.2">
      <c r="A169" s="316"/>
      <c r="B169" s="328"/>
      <c r="C169" s="328">
        <v>29</v>
      </c>
      <c r="D169" s="335">
        <v>3.6413000000000002</v>
      </c>
      <c r="E169" s="336">
        <v>1347.7387000000001</v>
      </c>
      <c r="F169" s="332">
        <v>3.5842000000000001</v>
      </c>
      <c r="G169" s="332">
        <v>2.3199999999999998E-2</v>
      </c>
      <c r="H169" s="332">
        <v>1.2E-2</v>
      </c>
      <c r="I169" s="333">
        <v>0.1051</v>
      </c>
      <c r="J169" s="337">
        <v>2.2200000000000001E-2</v>
      </c>
      <c r="K169" s="319"/>
      <c r="L169" s="308"/>
      <c r="M169" s="316"/>
      <c r="N169" s="328"/>
      <c r="O169" s="328">
        <v>29</v>
      </c>
      <c r="P169" s="335">
        <v>2.9981</v>
      </c>
      <c r="Q169" s="336">
        <v>1013.4696</v>
      </c>
      <c r="R169" s="332">
        <v>1.004</v>
      </c>
      <c r="S169" s="332">
        <v>3.0999999999999999E-3</v>
      </c>
      <c r="T169" s="332">
        <v>8.6999999999999994E-3</v>
      </c>
      <c r="U169" s="333">
        <v>1.9900000000000001E-2</v>
      </c>
      <c r="V169" s="337">
        <v>2.8999999999999998E-3</v>
      </c>
      <c r="W169" s="319"/>
    </row>
    <row r="170" spans="1:23" x14ac:dyDescent="0.2">
      <c r="A170" s="316"/>
      <c r="B170" s="328"/>
      <c r="C170" s="328">
        <v>30</v>
      </c>
      <c r="D170" s="335">
        <v>3.5979000000000001</v>
      </c>
      <c r="E170" s="336">
        <v>1320.047</v>
      </c>
      <c r="F170" s="332">
        <v>3.5354999999999999</v>
      </c>
      <c r="G170" s="332">
        <v>2.24E-2</v>
      </c>
      <c r="H170" s="332">
        <v>1.18E-2</v>
      </c>
      <c r="I170" s="333">
        <v>0.1</v>
      </c>
      <c r="J170" s="337">
        <v>2.1399999999999999E-2</v>
      </c>
      <c r="K170" s="319"/>
      <c r="L170" s="308"/>
      <c r="M170" s="316"/>
      <c r="N170" s="328"/>
      <c r="O170" s="328">
        <v>30</v>
      </c>
      <c r="P170" s="335">
        <v>2.9590999999999998</v>
      </c>
      <c r="Q170" s="336">
        <v>989.65779999999995</v>
      </c>
      <c r="R170" s="332">
        <v>0.95030000000000003</v>
      </c>
      <c r="S170" s="332">
        <v>3.0999999999999999E-3</v>
      </c>
      <c r="T170" s="332">
        <v>8.5000000000000006E-3</v>
      </c>
      <c r="U170" s="333">
        <v>1.9E-2</v>
      </c>
      <c r="V170" s="337">
        <v>2.8999999999999998E-3</v>
      </c>
      <c r="W170" s="319"/>
    </row>
    <row r="171" spans="1:23" x14ac:dyDescent="0.2">
      <c r="A171" s="316"/>
      <c r="B171" s="328"/>
      <c r="C171" s="328">
        <v>31</v>
      </c>
      <c r="D171" s="335">
        <v>3.5388999999999999</v>
      </c>
      <c r="E171" s="336">
        <v>1302.9919</v>
      </c>
      <c r="F171" s="332">
        <v>3.4889999999999999</v>
      </c>
      <c r="G171" s="332">
        <v>2.18E-2</v>
      </c>
      <c r="H171" s="332">
        <v>1.1599999999999999E-2</v>
      </c>
      <c r="I171" s="333">
        <v>9.6500000000000002E-2</v>
      </c>
      <c r="J171" s="337">
        <v>2.0899999999999998E-2</v>
      </c>
      <c r="K171" s="319"/>
      <c r="L171" s="308"/>
      <c r="M171" s="316"/>
      <c r="N171" s="328"/>
      <c r="O171" s="328">
        <v>31</v>
      </c>
      <c r="P171" s="335">
        <v>2.9188999999999998</v>
      </c>
      <c r="Q171" s="336">
        <v>974.60619999999994</v>
      </c>
      <c r="R171" s="332">
        <v>0.90429999999999999</v>
      </c>
      <c r="S171" s="332">
        <v>3.0999999999999999E-3</v>
      </c>
      <c r="T171" s="332">
        <v>8.3999999999999995E-3</v>
      </c>
      <c r="U171" s="333">
        <v>1.84E-2</v>
      </c>
      <c r="V171" s="337">
        <v>2.8999999999999998E-3</v>
      </c>
      <c r="W171" s="319"/>
    </row>
    <row r="172" spans="1:23" x14ac:dyDescent="0.2">
      <c r="A172" s="316"/>
      <c r="B172" s="328"/>
      <c r="C172" s="328">
        <v>32</v>
      </c>
      <c r="D172" s="335">
        <v>3.48</v>
      </c>
      <c r="E172" s="336">
        <v>1285.9367999999999</v>
      </c>
      <c r="F172" s="332">
        <v>3.4424999999999999</v>
      </c>
      <c r="G172" s="332">
        <v>2.12E-2</v>
      </c>
      <c r="H172" s="332">
        <v>1.15E-2</v>
      </c>
      <c r="I172" s="333">
        <v>9.2999999999999999E-2</v>
      </c>
      <c r="J172" s="337">
        <v>2.0299999999999999E-2</v>
      </c>
      <c r="K172" s="319"/>
      <c r="L172" s="308"/>
      <c r="M172" s="316"/>
      <c r="N172" s="328"/>
      <c r="O172" s="328">
        <v>32</v>
      </c>
      <c r="P172" s="335">
        <v>2.8788</v>
      </c>
      <c r="Q172" s="336">
        <v>959.55449999999996</v>
      </c>
      <c r="R172" s="332">
        <v>0.85840000000000005</v>
      </c>
      <c r="S172" s="332">
        <v>3.0999999999999999E-3</v>
      </c>
      <c r="T172" s="332">
        <v>8.3000000000000001E-3</v>
      </c>
      <c r="U172" s="333">
        <v>1.77E-2</v>
      </c>
      <c r="V172" s="337">
        <v>2.8999999999999998E-3</v>
      </c>
      <c r="W172" s="319"/>
    </row>
    <row r="173" spans="1:23" x14ac:dyDescent="0.2">
      <c r="A173" s="316"/>
      <c r="B173" s="328"/>
      <c r="C173" s="328">
        <v>33</v>
      </c>
      <c r="D173" s="335">
        <v>3.4209999999999998</v>
      </c>
      <c r="E173" s="336">
        <v>1268.8816999999999</v>
      </c>
      <c r="F173" s="332">
        <v>3.3959999999999999</v>
      </c>
      <c r="G173" s="332">
        <v>2.06E-2</v>
      </c>
      <c r="H173" s="332">
        <v>1.14E-2</v>
      </c>
      <c r="I173" s="333">
        <v>8.9399999999999993E-2</v>
      </c>
      <c r="J173" s="337">
        <v>1.9699999999999999E-2</v>
      </c>
      <c r="K173" s="319"/>
      <c r="L173" s="308"/>
      <c r="M173" s="316"/>
      <c r="N173" s="328"/>
      <c r="O173" s="328">
        <v>33</v>
      </c>
      <c r="P173" s="335">
        <v>2.8386</v>
      </c>
      <c r="Q173" s="336">
        <v>944.50289999999995</v>
      </c>
      <c r="R173" s="332">
        <v>0.8125</v>
      </c>
      <c r="S173" s="332">
        <v>3.0999999999999999E-3</v>
      </c>
      <c r="T173" s="332">
        <v>8.0999999999999996E-3</v>
      </c>
      <c r="U173" s="333">
        <v>1.7100000000000001E-2</v>
      </c>
      <c r="V173" s="337">
        <v>2.8999999999999998E-3</v>
      </c>
      <c r="W173" s="319"/>
    </row>
    <row r="174" spans="1:23" x14ac:dyDescent="0.2">
      <c r="A174" s="316"/>
      <c r="B174" s="328"/>
      <c r="C174" s="328">
        <v>34</v>
      </c>
      <c r="D174" s="335">
        <v>3.3620999999999999</v>
      </c>
      <c r="E174" s="336">
        <v>1251.8266000000001</v>
      </c>
      <c r="F174" s="332">
        <v>3.3494999999999999</v>
      </c>
      <c r="G174" s="332">
        <v>0.02</v>
      </c>
      <c r="H174" s="332">
        <v>1.12E-2</v>
      </c>
      <c r="I174" s="333">
        <v>8.5900000000000004E-2</v>
      </c>
      <c r="J174" s="337">
        <v>1.9199999999999998E-2</v>
      </c>
      <c r="K174" s="319"/>
      <c r="L174" s="308"/>
      <c r="M174" s="316"/>
      <c r="N174" s="328"/>
      <c r="O174" s="328">
        <v>34</v>
      </c>
      <c r="P174" s="335">
        <v>2.7984</v>
      </c>
      <c r="Q174" s="336">
        <v>929.45129999999995</v>
      </c>
      <c r="R174" s="332">
        <v>0.76659999999999995</v>
      </c>
      <c r="S174" s="332">
        <v>3.0999999999999999E-3</v>
      </c>
      <c r="T174" s="332">
        <v>8.0000000000000002E-3</v>
      </c>
      <c r="U174" s="333">
        <v>1.6400000000000001E-2</v>
      </c>
      <c r="V174" s="337">
        <v>2.8999999999999998E-3</v>
      </c>
      <c r="W174" s="319"/>
    </row>
    <row r="175" spans="1:23" x14ac:dyDescent="0.2">
      <c r="A175" s="316"/>
      <c r="B175" s="328"/>
      <c r="C175" s="328">
        <v>35</v>
      </c>
      <c r="D175" s="335">
        <v>3.3031000000000001</v>
      </c>
      <c r="E175" s="336">
        <v>1234.7715000000001</v>
      </c>
      <c r="F175" s="332">
        <v>3.3029999999999999</v>
      </c>
      <c r="G175" s="332">
        <v>1.9400000000000001E-2</v>
      </c>
      <c r="H175" s="332">
        <v>1.11E-2</v>
      </c>
      <c r="I175" s="333">
        <v>8.2400000000000001E-2</v>
      </c>
      <c r="J175" s="337">
        <v>1.8599999999999998E-2</v>
      </c>
      <c r="K175" s="319"/>
      <c r="L175" s="308"/>
      <c r="M175" s="316"/>
      <c r="N175" s="328"/>
      <c r="O175" s="328">
        <v>35</v>
      </c>
      <c r="P175" s="335">
        <v>2.7582</v>
      </c>
      <c r="Q175" s="336">
        <v>914.39959999999996</v>
      </c>
      <c r="R175" s="332">
        <v>0.72070000000000001</v>
      </c>
      <c r="S175" s="332">
        <v>3.0999999999999999E-3</v>
      </c>
      <c r="T175" s="332">
        <v>7.9000000000000008E-3</v>
      </c>
      <c r="U175" s="333">
        <v>1.5800000000000002E-2</v>
      </c>
      <c r="V175" s="337">
        <v>3.0000000000000001E-3</v>
      </c>
      <c r="W175" s="319"/>
    </row>
    <row r="176" spans="1:23" x14ac:dyDescent="0.2">
      <c r="A176" s="316"/>
      <c r="B176" s="328"/>
      <c r="C176" s="328">
        <v>36</v>
      </c>
      <c r="D176" s="335">
        <v>3.3885000000000001</v>
      </c>
      <c r="E176" s="336">
        <v>1237.8678</v>
      </c>
      <c r="F176" s="332">
        <v>3.1905000000000001</v>
      </c>
      <c r="G176" s="332">
        <v>1.8800000000000001E-2</v>
      </c>
      <c r="H176" s="332">
        <v>1.11E-2</v>
      </c>
      <c r="I176" s="333">
        <v>8.0199999999999994E-2</v>
      </c>
      <c r="J176" s="337">
        <v>1.7999999999999999E-2</v>
      </c>
      <c r="K176" s="319"/>
      <c r="L176" s="308"/>
      <c r="M176" s="316"/>
      <c r="N176" s="328"/>
      <c r="O176" s="328">
        <v>36</v>
      </c>
      <c r="P176" s="335">
        <v>2.8908999999999998</v>
      </c>
      <c r="Q176" s="336">
        <v>917.80250000000001</v>
      </c>
      <c r="R176" s="332">
        <v>0.68240000000000001</v>
      </c>
      <c r="S176" s="332">
        <v>3.2000000000000002E-3</v>
      </c>
      <c r="T176" s="332">
        <v>7.9000000000000008E-3</v>
      </c>
      <c r="U176" s="333">
        <v>1.5599999999999999E-2</v>
      </c>
      <c r="V176" s="337">
        <v>3.0000000000000001E-3</v>
      </c>
      <c r="W176" s="319"/>
    </row>
    <row r="177" spans="1:23" x14ac:dyDescent="0.2">
      <c r="A177" s="316"/>
      <c r="B177" s="328"/>
      <c r="C177" s="328">
        <v>37</v>
      </c>
      <c r="D177" s="335">
        <v>3.4738000000000002</v>
      </c>
      <c r="E177" s="336">
        <v>1240.9641999999999</v>
      </c>
      <c r="F177" s="332">
        <v>3.0779999999999998</v>
      </c>
      <c r="G177" s="332">
        <v>1.8100000000000002E-2</v>
      </c>
      <c r="H177" s="332">
        <v>1.11E-2</v>
      </c>
      <c r="I177" s="333">
        <v>7.8E-2</v>
      </c>
      <c r="J177" s="337">
        <v>1.7299999999999999E-2</v>
      </c>
      <c r="K177" s="319"/>
      <c r="L177" s="308"/>
      <c r="M177" s="316"/>
      <c r="N177" s="328"/>
      <c r="O177" s="328">
        <v>37</v>
      </c>
      <c r="P177" s="335">
        <v>3.0236999999999998</v>
      </c>
      <c r="Q177" s="336">
        <v>921.20550000000003</v>
      </c>
      <c r="R177" s="332">
        <v>0.64410000000000001</v>
      </c>
      <c r="S177" s="332">
        <v>3.2000000000000002E-3</v>
      </c>
      <c r="T177" s="332">
        <v>7.9000000000000008E-3</v>
      </c>
      <c r="U177" s="333">
        <v>1.55E-2</v>
      </c>
      <c r="V177" s="337">
        <v>3.0000000000000001E-3</v>
      </c>
      <c r="W177" s="319"/>
    </row>
    <row r="178" spans="1:23" x14ac:dyDescent="0.2">
      <c r="A178" s="316"/>
      <c r="B178" s="328"/>
      <c r="C178" s="328">
        <v>38</v>
      </c>
      <c r="D178" s="335">
        <v>3.5592000000000001</v>
      </c>
      <c r="E178" s="336">
        <v>1244.0606</v>
      </c>
      <c r="F178" s="332">
        <v>2.9655</v>
      </c>
      <c r="G178" s="332">
        <v>1.7500000000000002E-2</v>
      </c>
      <c r="H178" s="332">
        <v>1.11E-2</v>
      </c>
      <c r="I178" s="333">
        <v>7.5700000000000003E-2</v>
      </c>
      <c r="J178" s="337">
        <v>1.67E-2</v>
      </c>
      <c r="K178" s="319"/>
      <c r="L178" s="308"/>
      <c r="M178" s="316"/>
      <c r="N178" s="328"/>
      <c r="O178" s="328">
        <v>38</v>
      </c>
      <c r="P178" s="335">
        <v>3.1564999999999999</v>
      </c>
      <c r="Q178" s="336">
        <v>924.60839999999996</v>
      </c>
      <c r="R178" s="332">
        <v>0.60580000000000001</v>
      </c>
      <c r="S178" s="332">
        <v>3.3E-3</v>
      </c>
      <c r="T178" s="332">
        <v>7.7999999999999996E-3</v>
      </c>
      <c r="U178" s="333">
        <v>1.5299999999999999E-2</v>
      </c>
      <c r="V178" s="337">
        <v>3.0999999999999999E-3</v>
      </c>
      <c r="W178" s="319"/>
    </row>
    <row r="179" spans="1:23" x14ac:dyDescent="0.2">
      <c r="A179" s="316"/>
      <c r="B179" s="328"/>
      <c r="C179" s="328">
        <v>39</v>
      </c>
      <c r="D179" s="335">
        <v>3.6446000000000001</v>
      </c>
      <c r="E179" s="336">
        <v>1247.1569</v>
      </c>
      <c r="F179" s="332">
        <v>2.8529</v>
      </c>
      <c r="G179" s="332">
        <v>1.6799999999999999E-2</v>
      </c>
      <c r="H179" s="332">
        <v>1.11E-2</v>
      </c>
      <c r="I179" s="333">
        <v>7.3499999999999996E-2</v>
      </c>
      <c r="J179" s="337">
        <v>1.61E-2</v>
      </c>
      <c r="K179" s="319"/>
      <c r="L179" s="308"/>
      <c r="M179" s="316"/>
      <c r="N179" s="328"/>
      <c r="O179" s="328">
        <v>39</v>
      </c>
      <c r="P179" s="335">
        <v>3.2892000000000001</v>
      </c>
      <c r="Q179" s="336">
        <v>928.01130000000001</v>
      </c>
      <c r="R179" s="332">
        <v>0.56759999999999999</v>
      </c>
      <c r="S179" s="332">
        <v>3.3E-3</v>
      </c>
      <c r="T179" s="332">
        <v>7.7999999999999996E-3</v>
      </c>
      <c r="U179" s="333">
        <v>1.52E-2</v>
      </c>
      <c r="V179" s="337">
        <v>3.0999999999999999E-3</v>
      </c>
      <c r="W179" s="319"/>
    </row>
    <row r="180" spans="1:23" x14ac:dyDescent="0.2">
      <c r="A180" s="316"/>
      <c r="B180" s="328"/>
      <c r="C180" s="328">
        <v>40</v>
      </c>
      <c r="D180" s="335">
        <v>3.73</v>
      </c>
      <c r="E180" s="336">
        <v>1250.2533000000001</v>
      </c>
      <c r="F180" s="332">
        <v>2.7404000000000002</v>
      </c>
      <c r="G180" s="332">
        <v>1.6199999999999999E-2</v>
      </c>
      <c r="H180" s="332">
        <v>1.11E-2</v>
      </c>
      <c r="I180" s="333">
        <v>7.1300000000000002E-2</v>
      </c>
      <c r="J180" s="337">
        <v>1.55E-2</v>
      </c>
      <c r="K180" s="319"/>
      <c r="L180" s="308"/>
      <c r="M180" s="316"/>
      <c r="N180" s="328"/>
      <c r="O180" s="328">
        <v>40</v>
      </c>
      <c r="P180" s="335">
        <v>3.4220000000000002</v>
      </c>
      <c r="Q180" s="336">
        <v>931.41420000000005</v>
      </c>
      <c r="R180" s="332">
        <v>0.52929999999999999</v>
      </c>
      <c r="S180" s="332">
        <v>3.3E-3</v>
      </c>
      <c r="T180" s="332">
        <v>7.7999999999999996E-3</v>
      </c>
      <c r="U180" s="333">
        <v>1.4999999999999999E-2</v>
      </c>
      <c r="V180" s="337">
        <v>3.2000000000000002E-3</v>
      </c>
      <c r="W180" s="319"/>
    </row>
    <row r="181" spans="1:23" x14ac:dyDescent="0.2">
      <c r="A181" s="316"/>
      <c r="B181" s="328"/>
      <c r="C181" s="328">
        <v>41</v>
      </c>
      <c r="D181" s="335">
        <v>3.7749999999999999</v>
      </c>
      <c r="E181" s="336">
        <v>1258.8090999999999</v>
      </c>
      <c r="F181" s="332">
        <v>2.6699000000000002</v>
      </c>
      <c r="G181" s="332">
        <v>1.61E-2</v>
      </c>
      <c r="H181" s="332">
        <v>1.12E-2</v>
      </c>
      <c r="I181" s="333">
        <v>7.0199999999999999E-2</v>
      </c>
      <c r="J181" s="337">
        <v>1.54E-2</v>
      </c>
      <c r="K181" s="319"/>
      <c r="L181" s="308"/>
      <c r="M181" s="316"/>
      <c r="N181" s="328"/>
      <c r="O181" s="328">
        <v>41</v>
      </c>
      <c r="P181" s="335">
        <v>3.5398000000000001</v>
      </c>
      <c r="Q181" s="336">
        <v>941.322</v>
      </c>
      <c r="R181" s="332">
        <v>0.50919999999999999</v>
      </c>
      <c r="S181" s="332">
        <v>3.5000000000000001E-3</v>
      </c>
      <c r="T181" s="332">
        <v>7.9000000000000008E-3</v>
      </c>
      <c r="U181" s="333">
        <v>1.4999999999999999E-2</v>
      </c>
      <c r="V181" s="337">
        <v>3.3E-3</v>
      </c>
      <c r="W181" s="319"/>
    </row>
    <row r="182" spans="1:23" x14ac:dyDescent="0.2">
      <c r="A182" s="316"/>
      <c r="B182" s="328"/>
      <c r="C182" s="328">
        <v>42</v>
      </c>
      <c r="D182" s="335">
        <v>3.82</v>
      </c>
      <c r="E182" s="336">
        <v>1267.365</v>
      </c>
      <c r="F182" s="332">
        <v>2.5994999999999999</v>
      </c>
      <c r="G182" s="332">
        <v>1.61E-2</v>
      </c>
      <c r="H182" s="332">
        <v>1.1299999999999999E-2</v>
      </c>
      <c r="I182" s="333">
        <v>6.9099999999999995E-2</v>
      </c>
      <c r="J182" s="337">
        <v>1.54E-2</v>
      </c>
      <c r="K182" s="319"/>
      <c r="L182" s="308"/>
      <c r="M182" s="316"/>
      <c r="N182" s="328"/>
      <c r="O182" s="328">
        <v>42</v>
      </c>
      <c r="P182" s="335">
        <v>3.6575000000000002</v>
      </c>
      <c r="Q182" s="336">
        <v>951.22979999999995</v>
      </c>
      <c r="R182" s="332">
        <v>0.48899999999999999</v>
      </c>
      <c r="S182" s="332">
        <v>3.5999999999999999E-3</v>
      </c>
      <c r="T182" s="332">
        <v>7.9000000000000008E-3</v>
      </c>
      <c r="U182" s="333">
        <v>1.4999999999999999E-2</v>
      </c>
      <c r="V182" s="337">
        <v>3.3999999999999998E-3</v>
      </c>
      <c r="W182" s="319"/>
    </row>
    <row r="183" spans="1:23" x14ac:dyDescent="0.2">
      <c r="A183" s="316"/>
      <c r="B183" s="328"/>
      <c r="C183" s="328">
        <v>43</v>
      </c>
      <c r="D183" s="335">
        <v>3.8651</v>
      </c>
      <c r="E183" s="336">
        <v>1275.9208000000001</v>
      </c>
      <c r="F183" s="332">
        <v>2.5289999999999999</v>
      </c>
      <c r="G183" s="332">
        <v>1.6E-2</v>
      </c>
      <c r="H183" s="332">
        <v>1.1299999999999999E-2</v>
      </c>
      <c r="I183" s="333">
        <v>6.8000000000000005E-2</v>
      </c>
      <c r="J183" s="337">
        <v>1.5299999999999999E-2</v>
      </c>
      <c r="K183" s="319"/>
      <c r="L183" s="308"/>
      <c r="M183" s="316"/>
      <c r="N183" s="328"/>
      <c r="O183" s="328">
        <v>43</v>
      </c>
      <c r="P183" s="335">
        <v>3.7753000000000001</v>
      </c>
      <c r="Q183" s="336">
        <v>961.1377</v>
      </c>
      <c r="R183" s="332">
        <v>0.46889999999999998</v>
      </c>
      <c r="S183" s="332">
        <v>3.7000000000000002E-3</v>
      </c>
      <c r="T183" s="332">
        <v>8.0000000000000002E-3</v>
      </c>
      <c r="U183" s="333">
        <v>1.4999999999999999E-2</v>
      </c>
      <c r="V183" s="337">
        <v>3.5000000000000001E-3</v>
      </c>
      <c r="W183" s="319"/>
    </row>
    <row r="184" spans="1:23" x14ac:dyDescent="0.2">
      <c r="A184" s="316"/>
      <c r="B184" s="328"/>
      <c r="C184" s="328">
        <v>44</v>
      </c>
      <c r="D184" s="335">
        <v>3.9100999999999999</v>
      </c>
      <c r="E184" s="336">
        <v>1284.4766</v>
      </c>
      <c r="F184" s="332">
        <v>2.4584999999999999</v>
      </c>
      <c r="G184" s="332">
        <v>1.6E-2</v>
      </c>
      <c r="H184" s="332">
        <v>1.14E-2</v>
      </c>
      <c r="I184" s="333">
        <v>6.6900000000000001E-2</v>
      </c>
      <c r="J184" s="337">
        <v>1.5299999999999999E-2</v>
      </c>
      <c r="K184" s="319"/>
      <c r="L184" s="308"/>
      <c r="M184" s="316"/>
      <c r="N184" s="328"/>
      <c r="O184" s="328">
        <v>44</v>
      </c>
      <c r="P184" s="335">
        <v>3.8931</v>
      </c>
      <c r="Q184" s="336">
        <v>971.04549999999995</v>
      </c>
      <c r="R184" s="332">
        <v>0.44879999999999998</v>
      </c>
      <c r="S184" s="332">
        <v>3.8E-3</v>
      </c>
      <c r="T184" s="332">
        <v>8.0999999999999996E-3</v>
      </c>
      <c r="U184" s="333">
        <v>1.4999999999999999E-2</v>
      </c>
      <c r="V184" s="337">
        <v>3.5999999999999999E-3</v>
      </c>
      <c r="W184" s="319"/>
    </row>
    <row r="185" spans="1:23" x14ac:dyDescent="0.2">
      <c r="A185" s="316"/>
      <c r="B185" s="328"/>
      <c r="C185" s="328">
        <v>45</v>
      </c>
      <c r="D185" s="335">
        <v>3.9550999999999998</v>
      </c>
      <c r="E185" s="336">
        <v>1293.0324000000001</v>
      </c>
      <c r="F185" s="332">
        <v>2.3879999999999999</v>
      </c>
      <c r="G185" s="332">
        <v>1.5900000000000001E-2</v>
      </c>
      <c r="H185" s="332">
        <v>1.15E-2</v>
      </c>
      <c r="I185" s="333">
        <v>6.5799999999999997E-2</v>
      </c>
      <c r="J185" s="337">
        <v>1.52E-2</v>
      </c>
      <c r="K185" s="319"/>
      <c r="L185" s="308"/>
      <c r="M185" s="316"/>
      <c r="N185" s="328"/>
      <c r="O185" s="328">
        <v>45</v>
      </c>
      <c r="P185" s="335">
        <v>4.0107999999999997</v>
      </c>
      <c r="Q185" s="336">
        <v>980.95330000000001</v>
      </c>
      <c r="R185" s="332">
        <v>0.42870000000000003</v>
      </c>
      <c r="S185" s="332">
        <v>3.8999999999999998E-3</v>
      </c>
      <c r="T185" s="332">
        <v>8.0999999999999996E-3</v>
      </c>
      <c r="U185" s="333">
        <v>1.4999999999999999E-2</v>
      </c>
      <c r="V185" s="337">
        <v>3.8E-3</v>
      </c>
      <c r="W185" s="319"/>
    </row>
    <row r="186" spans="1:23" x14ac:dyDescent="0.2">
      <c r="A186" s="316"/>
      <c r="B186" s="328"/>
      <c r="C186" s="328">
        <v>46</v>
      </c>
      <c r="D186" s="335">
        <v>3.8713000000000002</v>
      </c>
      <c r="E186" s="336">
        <v>1292.4992</v>
      </c>
      <c r="F186" s="332">
        <v>2.4237000000000002</v>
      </c>
      <c r="G186" s="332">
        <v>1.6500000000000001E-2</v>
      </c>
      <c r="H186" s="332">
        <v>1.15E-2</v>
      </c>
      <c r="I186" s="333">
        <v>6.4799999999999996E-2</v>
      </c>
      <c r="J186" s="337">
        <v>1.5800000000000002E-2</v>
      </c>
      <c r="K186" s="319"/>
      <c r="L186" s="308"/>
      <c r="M186" s="316"/>
      <c r="N186" s="328"/>
      <c r="O186" s="328">
        <v>46</v>
      </c>
      <c r="P186" s="335">
        <v>3.9266000000000001</v>
      </c>
      <c r="Q186" s="336">
        <v>980.80619999999999</v>
      </c>
      <c r="R186" s="332">
        <v>0.42580000000000001</v>
      </c>
      <c r="S186" s="332">
        <v>4.1999999999999997E-3</v>
      </c>
      <c r="T186" s="332">
        <v>8.0999999999999996E-3</v>
      </c>
      <c r="U186" s="333">
        <v>1.4800000000000001E-2</v>
      </c>
      <c r="V186" s="337">
        <v>4.0000000000000001E-3</v>
      </c>
      <c r="W186" s="319"/>
    </row>
    <row r="187" spans="1:23" x14ac:dyDescent="0.2">
      <c r="A187" s="316"/>
      <c r="B187" s="328"/>
      <c r="C187" s="328">
        <v>47</v>
      </c>
      <c r="D187" s="335">
        <v>3.7875000000000001</v>
      </c>
      <c r="E187" s="336">
        <v>1291.9658999999999</v>
      </c>
      <c r="F187" s="332">
        <v>2.4594999999999998</v>
      </c>
      <c r="G187" s="332">
        <v>1.7100000000000001E-2</v>
      </c>
      <c r="H187" s="332">
        <v>1.15E-2</v>
      </c>
      <c r="I187" s="333">
        <v>6.3899999999999998E-2</v>
      </c>
      <c r="J187" s="337">
        <v>1.6400000000000001E-2</v>
      </c>
      <c r="K187" s="319"/>
      <c r="L187" s="308"/>
      <c r="M187" s="316"/>
      <c r="N187" s="328"/>
      <c r="O187" s="328">
        <v>47</v>
      </c>
      <c r="P187" s="335">
        <v>3.8424</v>
      </c>
      <c r="Q187" s="336">
        <v>980.65899999999999</v>
      </c>
      <c r="R187" s="332">
        <v>0.42299999999999999</v>
      </c>
      <c r="S187" s="332">
        <v>4.4999999999999997E-3</v>
      </c>
      <c r="T187" s="332">
        <v>8.2000000000000007E-3</v>
      </c>
      <c r="U187" s="333">
        <v>1.46E-2</v>
      </c>
      <c r="V187" s="337">
        <v>4.3E-3</v>
      </c>
      <c r="W187" s="319"/>
    </row>
    <row r="188" spans="1:23" x14ac:dyDescent="0.2">
      <c r="A188" s="316"/>
      <c r="B188" s="328"/>
      <c r="C188" s="328">
        <v>48</v>
      </c>
      <c r="D188" s="335">
        <v>3.7037</v>
      </c>
      <c r="E188" s="336">
        <v>1291.4326000000001</v>
      </c>
      <c r="F188" s="332">
        <v>2.4952000000000001</v>
      </c>
      <c r="G188" s="332">
        <v>1.77E-2</v>
      </c>
      <c r="H188" s="332">
        <v>1.15E-2</v>
      </c>
      <c r="I188" s="333">
        <v>6.2899999999999998E-2</v>
      </c>
      <c r="J188" s="337">
        <v>1.7000000000000001E-2</v>
      </c>
      <c r="K188" s="319"/>
      <c r="L188" s="308"/>
      <c r="M188" s="316"/>
      <c r="N188" s="328"/>
      <c r="O188" s="328">
        <v>48</v>
      </c>
      <c r="P188" s="335">
        <v>3.7582</v>
      </c>
      <c r="Q188" s="336">
        <v>980.51189999999997</v>
      </c>
      <c r="R188" s="332">
        <v>0.42020000000000002</v>
      </c>
      <c r="S188" s="332">
        <v>4.7000000000000002E-3</v>
      </c>
      <c r="T188" s="332">
        <v>8.2000000000000007E-3</v>
      </c>
      <c r="U188" s="333">
        <v>1.44E-2</v>
      </c>
      <c r="V188" s="337">
        <v>4.4999999999999997E-3</v>
      </c>
      <c r="W188" s="319"/>
    </row>
    <row r="189" spans="1:23" x14ac:dyDescent="0.2">
      <c r="A189" s="316"/>
      <c r="B189" s="328"/>
      <c r="C189" s="328">
        <v>49</v>
      </c>
      <c r="D189" s="335">
        <v>3.6198999999999999</v>
      </c>
      <c r="E189" s="336">
        <v>1290.8994</v>
      </c>
      <c r="F189" s="332">
        <v>2.5308999999999999</v>
      </c>
      <c r="G189" s="332">
        <v>1.84E-2</v>
      </c>
      <c r="H189" s="332">
        <v>1.15E-2</v>
      </c>
      <c r="I189" s="333">
        <v>6.2E-2</v>
      </c>
      <c r="J189" s="337">
        <v>1.7500000000000002E-2</v>
      </c>
      <c r="K189" s="319"/>
      <c r="L189" s="308"/>
      <c r="M189" s="316"/>
      <c r="N189" s="328"/>
      <c r="O189" s="328">
        <v>49</v>
      </c>
      <c r="P189" s="335">
        <v>3.6739000000000002</v>
      </c>
      <c r="Q189" s="336">
        <v>980.36469999999997</v>
      </c>
      <c r="R189" s="332">
        <v>0.4173</v>
      </c>
      <c r="S189" s="332">
        <v>5.0000000000000001E-3</v>
      </c>
      <c r="T189" s="332">
        <v>8.2000000000000007E-3</v>
      </c>
      <c r="U189" s="333">
        <v>1.4200000000000001E-2</v>
      </c>
      <c r="V189" s="337">
        <v>4.7999999999999996E-3</v>
      </c>
      <c r="W189" s="319"/>
    </row>
    <row r="190" spans="1:23" x14ac:dyDescent="0.2">
      <c r="A190" s="316"/>
      <c r="B190" s="328"/>
      <c r="C190" s="328">
        <v>50</v>
      </c>
      <c r="D190" s="335">
        <v>3.5360999999999998</v>
      </c>
      <c r="E190" s="336">
        <v>1290.3661</v>
      </c>
      <c r="F190" s="332">
        <v>2.5666000000000002</v>
      </c>
      <c r="G190" s="332">
        <v>1.9E-2</v>
      </c>
      <c r="H190" s="332">
        <v>1.15E-2</v>
      </c>
      <c r="I190" s="333">
        <v>6.0999999999999999E-2</v>
      </c>
      <c r="J190" s="337">
        <v>1.8100000000000002E-2</v>
      </c>
      <c r="K190" s="319"/>
      <c r="L190" s="308"/>
      <c r="M190" s="316"/>
      <c r="N190" s="328"/>
      <c r="O190" s="328">
        <v>50</v>
      </c>
      <c r="P190" s="335">
        <v>3.5897000000000001</v>
      </c>
      <c r="Q190" s="336">
        <v>980.21759999999995</v>
      </c>
      <c r="R190" s="332">
        <v>0.41449999999999998</v>
      </c>
      <c r="S190" s="332">
        <v>5.3E-3</v>
      </c>
      <c r="T190" s="332">
        <v>8.2000000000000007E-3</v>
      </c>
      <c r="U190" s="333">
        <v>1.4E-2</v>
      </c>
      <c r="V190" s="337">
        <v>5.0000000000000001E-3</v>
      </c>
      <c r="W190" s="319"/>
    </row>
    <row r="191" spans="1:23" x14ac:dyDescent="0.2">
      <c r="A191" s="316"/>
      <c r="B191" s="328"/>
      <c r="C191" s="328">
        <v>51</v>
      </c>
      <c r="D191" s="335">
        <v>3.3965999999999998</v>
      </c>
      <c r="E191" s="336">
        <v>1282.7008000000001</v>
      </c>
      <c r="F191" s="332">
        <v>2.7690000000000001</v>
      </c>
      <c r="G191" s="332">
        <v>2.0799999999999999E-2</v>
      </c>
      <c r="H191" s="332">
        <v>1.15E-2</v>
      </c>
      <c r="I191" s="333">
        <v>6.1499999999999999E-2</v>
      </c>
      <c r="J191" s="337">
        <v>1.9800000000000002E-2</v>
      </c>
      <c r="K191" s="319"/>
      <c r="L191" s="308"/>
      <c r="M191" s="316"/>
      <c r="N191" s="328"/>
      <c r="O191" s="328">
        <v>51</v>
      </c>
      <c r="P191" s="335">
        <v>3.5005000000000002</v>
      </c>
      <c r="Q191" s="336">
        <v>975.8673</v>
      </c>
      <c r="R191" s="332">
        <v>0.43809999999999999</v>
      </c>
      <c r="S191" s="332">
        <v>5.8999999999999999E-3</v>
      </c>
      <c r="T191" s="332">
        <v>8.2000000000000007E-3</v>
      </c>
      <c r="U191" s="333">
        <v>1.3899999999999999E-2</v>
      </c>
      <c r="V191" s="337">
        <v>5.5999999999999999E-3</v>
      </c>
      <c r="W191" s="319"/>
    </row>
    <row r="192" spans="1:23" x14ac:dyDescent="0.2">
      <c r="A192" s="316"/>
      <c r="B192" s="328"/>
      <c r="C192" s="328">
        <v>52</v>
      </c>
      <c r="D192" s="335">
        <v>3.2572000000000001</v>
      </c>
      <c r="E192" s="336">
        <v>1275.0355</v>
      </c>
      <c r="F192" s="332">
        <v>2.9712999999999998</v>
      </c>
      <c r="G192" s="332">
        <v>2.2599999999999999E-2</v>
      </c>
      <c r="H192" s="332">
        <v>1.14E-2</v>
      </c>
      <c r="I192" s="333">
        <v>6.2E-2</v>
      </c>
      <c r="J192" s="337">
        <v>2.1600000000000001E-2</v>
      </c>
      <c r="K192" s="319"/>
      <c r="L192" s="308"/>
      <c r="M192" s="316"/>
      <c r="N192" s="328"/>
      <c r="O192" s="328">
        <v>52</v>
      </c>
      <c r="P192" s="335">
        <v>3.4112</v>
      </c>
      <c r="Q192" s="336">
        <v>971.51710000000003</v>
      </c>
      <c r="R192" s="332">
        <v>0.4617</v>
      </c>
      <c r="S192" s="332">
        <v>6.4999999999999997E-3</v>
      </c>
      <c r="T192" s="332">
        <v>8.2000000000000007E-3</v>
      </c>
      <c r="U192" s="333">
        <v>1.38E-2</v>
      </c>
      <c r="V192" s="337">
        <v>6.1999999999999998E-3</v>
      </c>
      <c r="W192" s="319"/>
    </row>
    <row r="193" spans="1:23" x14ac:dyDescent="0.2">
      <c r="A193" s="316"/>
      <c r="B193" s="328"/>
      <c r="C193" s="328">
        <v>53</v>
      </c>
      <c r="D193" s="335">
        <v>3.1177000000000001</v>
      </c>
      <c r="E193" s="336">
        <v>1267.3703</v>
      </c>
      <c r="F193" s="332">
        <v>3.1736</v>
      </c>
      <c r="G193" s="332">
        <v>2.4400000000000002E-2</v>
      </c>
      <c r="H193" s="332">
        <v>1.14E-2</v>
      </c>
      <c r="I193" s="333">
        <v>6.25E-2</v>
      </c>
      <c r="J193" s="337">
        <v>2.3300000000000001E-2</v>
      </c>
      <c r="K193" s="319"/>
      <c r="L193" s="308"/>
      <c r="M193" s="316"/>
      <c r="N193" s="328"/>
      <c r="O193" s="328">
        <v>53</v>
      </c>
      <c r="P193" s="335">
        <v>3.3220000000000001</v>
      </c>
      <c r="Q193" s="336">
        <v>967.16679999999997</v>
      </c>
      <c r="R193" s="332">
        <v>0.48520000000000002</v>
      </c>
      <c r="S193" s="332">
        <v>7.0000000000000001E-3</v>
      </c>
      <c r="T193" s="332">
        <v>8.2000000000000007E-3</v>
      </c>
      <c r="U193" s="333">
        <v>1.38E-2</v>
      </c>
      <c r="V193" s="337">
        <v>6.7000000000000002E-3</v>
      </c>
      <c r="W193" s="319"/>
    </row>
    <row r="194" spans="1:23" x14ac:dyDescent="0.2">
      <c r="A194" s="316"/>
      <c r="B194" s="328"/>
      <c r="C194" s="328">
        <v>54</v>
      </c>
      <c r="D194" s="335">
        <v>2.9782000000000002</v>
      </c>
      <c r="E194" s="336">
        <v>1259.7049999999999</v>
      </c>
      <c r="F194" s="332">
        <v>3.3759000000000001</v>
      </c>
      <c r="G194" s="332">
        <v>2.6100000000000002E-2</v>
      </c>
      <c r="H194" s="332">
        <v>1.14E-2</v>
      </c>
      <c r="I194" s="333">
        <v>6.2899999999999998E-2</v>
      </c>
      <c r="J194" s="337">
        <v>2.5000000000000001E-2</v>
      </c>
      <c r="K194" s="319"/>
      <c r="L194" s="308"/>
      <c r="M194" s="316"/>
      <c r="N194" s="328"/>
      <c r="O194" s="328">
        <v>54</v>
      </c>
      <c r="P194" s="335">
        <v>3.2326999999999999</v>
      </c>
      <c r="Q194" s="336">
        <v>962.81659999999999</v>
      </c>
      <c r="R194" s="332">
        <v>0.50880000000000003</v>
      </c>
      <c r="S194" s="332">
        <v>7.6E-3</v>
      </c>
      <c r="T194" s="332">
        <v>8.2000000000000007E-3</v>
      </c>
      <c r="U194" s="333">
        <v>1.37E-2</v>
      </c>
      <c r="V194" s="337">
        <v>7.3000000000000001E-3</v>
      </c>
      <c r="W194" s="319"/>
    </row>
    <row r="195" spans="1:23" x14ac:dyDescent="0.2">
      <c r="A195" s="316"/>
      <c r="B195" s="328"/>
      <c r="C195" s="328">
        <v>55</v>
      </c>
      <c r="D195" s="335">
        <v>2.8388</v>
      </c>
      <c r="E195" s="336">
        <v>1252.0397</v>
      </c>
      <c r="F195" s="332">
        <v>3.5783</v>
      </c>
      <c r="G195" s="332">
        <v>2.7900000000000001E-2</v>
      </c>
      <c r="H195" s="332">
        <v>1.1299999999999999E-2</v>
      </c>
      <c r="I195" s="333">
        <v>6.3399999999999998E-2</v>
      </c>
      <c r="J195" s="337">
        <v>2.6700000000000002E-2</v>
      </c>
      <c r="K195" s="319"/>
      <c r="L195" s="308"/>
      <c r="M195" s="316"/>
      <c r="N195" s="328"/>
      <c r="O195" s="328">
        <v>55</v>
      </c>
      <c r="P195" s="335">
        <v>3.1435</v>
      </c>
      <c r="Q195" s="336">
        <v>958.46630000000005</v>
      </c>
      <c r="R195" s="332">
        <v>0.53239999999999998</v>
      </c>
      <c r="S195" s="332">
        <v>8.2000000000000007E-3</v>
      </c>
      <c r="T195" s="332">
        <v>8.2000000000000007E-3</v>
      </c>
      <c r="U195" s="333">
        <v>1.37E-2</v>
      </c>
      <c r="V195" s="337">
        <v>7.7999999999999996E-3</v>
      </c>
      <c r="W195" s="319"/>
    </row>
    <row r="196" spans="1:23" x14ac:dyDescent="0.2">
      <c r="A196" s="316"/>
      <c r="B196" s="328"/>
      <c r="C196" s="328">
        <v>56</v>
      </c>
      <c r="D196" s="335">
        <v>2.9207999999999998</v>
      </c>
      <c r="E196" s="336">
        <v>1268.5531000000001</v>
      </c>
      <c r="F196" s="332">
        <v>3.5566</v>
      </c>
      <c r="G196" s="332">
        <v>3.0300000000000001E-2</v>
      </c>
      <c r="H196" s="332">
        <v>1.14E-2</v>
      </c>
      <c r="I196" s="333">
        <v>6.6400000000000001E-2</v>
      </c>
      <c r="J196" s="337">
        <v>2.9000000000000001E-2</v>
      </c>
      <c r="K196" s="319"/>
      <c r="L196" s="308"/>
      <c r="M196" s="316"/>
      <c r="N196" s="328"/>
      <c r="O196" s="328">
        <v>56</v>
      </c>
      <c r="P196" s="335">
        <v>3.2439</v>
      </c>
      <c r="Q196" s="336">
        <v>976.24559999999997</v>
      </c>
      <c r="R196" s="332">
        <v>0.55940000000000001</v>
      </c>
      <c r="S196" s="332">
        <v>8.8999999999999999E-3</v>
      </c>
      <c r="T196" s="332">
        <v>8.3000000000000001E-3</v>
      </c>
      <c r="U196" s="333">
        <v>1.41E-2</v>
      </c>
      <c r="V196" s="337">
        <v>8.5000000000000006E-3</v>
      </c>
      <c r="W196" s="319"/>
    </row>
    <row r="197" spans="1:23" x14ac:dyDescent="0.2">
      <c r="A197" s="316"/>
      <c r="B197" s="328"/>
      <c r="C197" s="328">
        <v>57</v>
      </c>
      <c r="D197" s="335">
        <v>3.0028999999999999</v>
      </c>
      <c r="E197" s="336">
        <v>1285.0663999999999</v>
      </c>
      <c r="F197" s="332">
        <v>3.5348999999999999</v>
      </c>
      <c r="G197" s="332">
        <v>3.2599999999999997E-2</v>
      </c>
      <c r="H197" s="332">
        <v>1.1599999999999999E-2</v>
      </c>
      <c r="I197" s="333">
        <v>6.93E-2</v>
      </c>
      <c r="J197" s="337">
        <v>3.1199999999999999E-2</v>
      </c>
      <c r="K197" s="319"/>
      <c r="L197" s="308"/>
      <c r="M197" s="316"/>
      <c r="N197" s="328"/>
      <c r="O197" s="328">
        <v>57</v>
      </c>
      <c r="P197" s="335">
        <v>3.3441999999999998</v>
      </c>
      <c r="Q197" s="336">
        <v>994.02499999999998</v>
      </c>
      <c r="R197" s="332">
        <v>0.58640000000000003</v>
      </c>
      <c r="S197" s="332">
        <v>9.5999999999999992E-3</v>
      </c>
      <c r="T197" s="332">
        <v>8.3999999999999995E-3</v>
      </c>
      <c r="U197" s="333">
        <v>1.44E-2</v>
      </c>
      <c r="V197" s="337">
        <v>9.1999999999999998E-3</v>
      </c>
      <c r="W197" s="319"/>
    </row>
    <row r="198" spans="1:23" x14ac:dyDescent="0.2">
      <c r="A198" s="316"/>
      <c r="B198" s="328"/>
      <c r="C198" s="328">
        <v>58</v>
      </c>
      <c r="D198" s="335">
        <v>3.085</v>
      </c>
      <c r="E198" s="336">
        <v>1301.5798</v>
      </c>
      <c r="F198" s="332">
        <v>3.5131999999999999</v>
      </c>
      <c r="G198" s="332">
        <v>3.49E-2</v>
      </c>
      <c r="H198" s="332">
        <v>1.17E-2</v>
      </c>
      <c r="I198" s="333">
        <v>7.2300000000000003E-2</v>
      </c>
      <c r="J198" s="337">
        <v>3.3399999999999999E-2</v>
      </c>
      <c r="K198" s="319"/>
      <c r="L198" s="308"/>
      <c r="M198" s="316"/>
      <c r="N198" s="328"/>
      <c r="O198" s="328">
        <v>58</v>
      </c>
      <c r="P198" s="335">
        <v>3.4445999999999999</v>
      </c>
      <c r="Q198" s="336">
        <v>1011.8043</v>
      </c>
      <c r="R198" s="332">
        <v>0.61329999999999996</v>
      </c>
      <c r="S198" s="332">
        <v>1.04E-2</v>
      </c>
      <c r="T198" s="332">
        <v>8.6E-3</v>
      </c>
      <c r="U198" s="333">
        <v>1.4800000000000001E-2</v>
      </c>
      <c r="V198" s="337">
        <v>9.9000000000000008E-3</v>
      </c>
      <c r="W198" s="319"/>
    </row>
    <row r="199" spans="1:23" x14ac:dyDescent="0.2">
      <c r="A199" s="316"/>
      <c r="B199" s="328"/>
      <c r="C199" s="328">
        <v>59</v>
      </c>
      <c r="D199" s="335">
        <v>3.1671</v>
      </c>
      <c r="E199" s="336">
        <v>1318.0932</v>
      </c>
      <c r="F199" s="332">
        <v>3.4914999999999998</v>
      </c>
      <c r="G199" s="332">
        <v>3.7199999999999997E-2</v>
      </c>
      <c r="H199" s="332">
        <v>1.18E-2</v>
      </c>
      <c r="I199" s="333">
        <v>7.5300000000000006E-2</v>
      </c>
      <c r="J199" s="337">
        <v>3.56E-2</v>
      </c>
      <c r="K199" s="319"/>
      <c r="L199" s="308"/>
      <c r="M199" s="316"/>
      <c r="N199" s="328"/>
      <c r="O199" s="328">
        <v>59</v>
      </c>
      <c r="P199" s="335">
        <v>3.5449000000000002</v>
      </c>
      <c r="Q199" s="336">
        <v>1029.5835999999999</v>
      </c>
      <c r="R199" s="332">
        <v>0.64029999999999998</v>
      </c>
      <c r="S199" s="332">
        <v>1.11E-2</v>
      </c>
      <c r="T199" s="332">
        <v>8.6999999999999994E-3</v>
      </c>
      <c r="U199" s="333">
        <v>1.52E-2</v>
      </c>
      <c r="V199" s="337">
        <v>1.06E-2</v>
      </c>
      <c r="W199" s="319"/>
    </row>
    <row r="200" spans="1:23" x14ac:dyDescent="0.2">
      <c r="A200" s="316"/>
      <c r="B200" s="328"/>
      <c r="C200" s="328">
        <v>60</v>
      </c>
      <c r="D200" s="335">
        <v>3.2492000000000001</v>
      </c>
      <c r="E200" s="336">
        <v>1334.6065000000001</v>
      </c>
      <c r="F200" s="332">
        <v>3.4698000000000002</v>
      </c>
      <c r="G200" s="332">
        <v>3.9600000000000003E-2</v>
      </c>
      <c r="H200" s="332">
        <v>1.1900000000000001E-2</v>
      </c>
      <c r="I200" s="333">
        <v>7.8200000000000006E-2</v>
      </c>
      <c r="J200" s="337">
        <v>3.78E-2</v>
      </c>
      <c r="K200" s="319"/>
      <c r="L200" s="308"/>
      <c r="M200" s="316"/>
      <c r="N200" s="328"/>
      <c r="O200" s="328">
        <v>60</v>
      </c>
      <c r="P200" s="335">
        <v>3.6453000000000002</v>
      </c>
      <c r="Q200" s="336">
        <v>1047.3629000000001</v>
      </c>
      <c r="R200" s="332">
        <v>0.6673</v>
      </c>
      <c r="S200" s="332">
        <v>1.18E-2</v>
      </c>
      <c r="T200" s="332">
        <v>8.8000000000000005E-3</v>
      </c>
      <c r="U200" s="333">
        <v>1.5599999999999999E-2</v>
      </c>
      <c r="V200" s="337">
        <v>1.1299999999999999E-2</v>
      </c>
      <c r="W200" s="319"/>
    </row>
    <row r="201" spans="1:23" x14ac:dyDescent="0.2">
      <c r="A201" s="316"/>
      <c r="B201" s="328"/>
      <c r="C201" s="328">
        <v>61</v>
      </c>
      <c r="D201" s="335">
        <v>3.1375999999999999</v>
      </c>
      <c r="E201" s="336">
        <v>1357.3126</v>
      </c>
      <c r="F201" s="332">
        <v>3.5253999999999999</v>
      </c>
      <c r="G201" s="332">
        <v>4.5199999999999997E-2</v>
      </c>
      <c r="H201" s="332">
        <v>1.2200000000000001E-2</v>
      </c>
      <c r="I201" s="333">
        <v>8.4699999999999998E-2</v>
      </c>
      <c r="J201" s="337">
        <v>4.3200000000000002E-2</v>
      </c>
      <c r="K201" s="319"/>
      <c r="L201" s="308"/>
      <c r="M201" s="316"/>
      <c r="N201" s="328"/>
      <c r="O201" s="328">
        <v>61</v>
      </c>
      <c r="P201" s="335">
        <v>3.3384999999999998</v>
      </c>
      <c r="Q201" s="336">
        <v>1067.0328</v>
      </c>
      <c r="R201" s="332">
        <v>0.75609999999999999</v>
      </c>
      <c r="S201" s="332">
        <v>1.35E-2</v>
      </c>
      <c r="T201" s="332">
        <v>9.1000000000000004E-3</v>
      </c>
      <c r="U201" s="333">
        <v>1.5900000000000001E-2</v>
      </c>
      <c r="V201" s="337">
        <v>1.29E-2</v>
      </c>
      <c r="W201" s="319"/>
    </row>
    <row r="202" spans="1:23" x14ac:dyDescent="0.2">
      <c r="A202" s="316"/>
      <c r="B202" s="328"/>
      <c r="C202" s="328">
        <v>62</v>
      </c>
      <c r="D202" s="335">
        <v>3.0259999999999998</v>
      </c>
      <c r="E202" s="336">
        <v>1380.0187000000001</v>
      </c>
      <c r="F202" s="332">
        <v>3.5809000000000002</v>
      </c>
      <c r="G202" s="332">
        <v>5.0799999999999998E-2</v>
      </c>
      <c r="H202" s="332">
        <v>1.24E-2</v>
      </c>
      <c r="I202" s="333">
        <v>9.11E-2</v>
      </c>
      <c r="J202" s="337">
        <v>4.8599999999999997E-2</v>
      </c>
      <c r="K202" s="319"/>
      <c r="L202" s="308"/>
      <c r="M202" s="316"/>
      <c r="N202" s="328"/>
      <c r="O202" s="328">
        <v>62</v>
      </c>
      <c r="P202" s="335">
        <v>3.0316999999999998</v>
      </c>
      <c r="Q202" s="336">
        <v>1086.7026000000001</v>
      </c>
      <c r="R202" s="332">
        <v>0.84489999999999998</v>
      </c>
      <c r="S202" s="332">
        <v>1.52E-2</v>
      </c>
      <c r="T202" s="332">
        <v>9.4000000000000004E-3</v>
      </c>
      <c r="U202" s="333">
        <v>1.6299999999999999E-2</v>
      </c>
      <c r="V202" s="337">
        <v>1.4500000000000001E-2</v>
      </c>
      <c r="W202" s="319"/>
    </row>
    <row r="203" spans="1:23" x14ac:dyDescent="0.2">
      <c r="A203" s="316"/>
      <c r="B203" s="328"/>
      <c r="C203" s="328">
        <v>63</v>
      </c>
      <c r="D203" s="335">
        <v>2.9144999999999999</v>
      </c>
      <c r="E203" s="336">
        <v>1402.7247</v>
      </c>
      <c r="F203" s="332">
        <v>3.6364999999999998</v>
      </c>
      <c r="G203" s="332">
        <v>5.6399999999999999E-2</v>
      </c>
      <c r="H203" s="332">
        <v>1.26E-2</v>
      </c>
      <c r="I203" s="333">
        <v>9.7600000000000006E-2</v>
      </c>
      <c r="J203" s="337">
        <v>5.3900000000000003E-2</v>
      </c>
      <c r="K203" s="319"/>
      <c r="L203" s="308"/>
      <c r="M203" s="316"/>
      <c r="N203" s="328"/>
      <c r="O203" s="328">
        <v>63</v>
      </c>
      <c r="P203" s="335">
        <v>2.7248000000000001</v>
      </c>
      <c r="Q203" s="336">
        <v>1106.3724</v>
      </c>
      <c r="R203" s="332">
        <v>0.93379999999999996</v>
      </c>
      <c r="S203" s="332">
        <v>1.6899999999999998E-2</v>
      </c>
      <c r="T203" s="332">
        <v>9.7000000000000003E-3</v>
      </c>
      <c r="U203" s="333">
        <v>1.66E-2</v>
      </c>
      <c r="V203" s="337">
        <v>1.6199999999999999E-2</v>
      </c>
      <c r="W203" s="319"/>
    </row>
    <row r="204" spans="1:23" x14ac:dyDescent="0.2">
      <c r="A204" s="316"/>
      <c r="B204" s="328"/>
      <c r="C204" s="328">
        <v>64</v>
      </c>
      <c r="D204" s="335">
        <v>2.8029000000000002</v>
      </c>
      <c r="E204" s="336">
        <v>1425.4308000000001</v>
      </c>
      <c r="F204" s="332">
        <v>3.6920000000000002</v>
      </c>
      <c r="G204" s="332">
        <v>6.2E-2</v>
      </c>
      <c r="H204" s="332">
        <v>1.29E-2</v>
      </c>
      <c r="I204" s="333">
        <v>0.104</v>
      </c>
      <c r="J204" s="337">
        <v>5.9299999999999999E-2</v>
      </c>
      <c r="K204" s="319"/>
      <c r="L204" s="308"/>
      <c r="M204" s="316"/>
      <c r="N204" s="328"/>
      <c r="O204" s="328">
        <v>64</v>
      </c>
      <c r="P204" s="335">
        <v>2.4180000000000001</v>
      </c>
      <c r="Q204" s="336">
        <v>1126.0422000000001</v>
      </c>
      <c r="R204" s="332">
        <v>1.0226</v>
      </c>
      <c r="S204" s="332">
        <v>1.8599999999999998E-2</v>
      </c>
      <c r="T204" s="332">
        <v>9.9000000000000008E-3</v>
      </c>
      <c r="U204" s="333">
        <v>1.6899999999999998E-2</v>
      </c>
      <c r="V204" s="337">
        <v>1.78E-2</v>
      </c>
      <c r="W204" s="319"/>
    </row>
    <row r="205" spans="1:23" x14ac:dyDescent="0.2">
      <c r="A205" s="316"/>
      <c r="B205" s="328"/>
      <c r="C205" s="328">
        <v>65</v>
      </c>
      <c r="D205" s="335">
        <v>2.6913999999999998</v>
      </c>
      <c r="E205" s="336">
        <v>1448.1369</v>
      </c>
      <c r="F205" s="332">
        <v>3.7475000000000001</v>
      </c>
      <c r="G205" s="332">
        <v>6.7599999999999993E-2</v>
      </c>
      <c r="H205" s="332">
        <v>1.3100000000000001E-2</v>
      </c>
      <c r="I205" s="333">
        <v>0.1105</v>
      </c>
      <c r="J205" s="337">
        <v>6.4600000000000005E-2</v>
      </c>
      <c r="K205" s="319"/>
      <c r="L205" s="308"/>
      <c r="M205" s="316"/>
      <c r="N205" s="328"/>
      <c r="O205" s="328">
        <v>65</v>
      </c>
      <c r="P205" s="335">
        <v>2.1112000000000002</v>
      </c>
      <c r="Q205" s="336">
        <v>1145.7121</v>
      </c>
      <c r="R205" s="332">
        <v>1.1113999999999999</v>
      </c>
      <c r="S205" s="332">
        <v>2.0299999999999999E-2</v>
      </c>
      <c r="T205" s="332">
        <v>1.0200000000000001E-2</v>
      </c>
      <c r="U205" s="333">
        <v>1.7299999999999999E-2</v>
      </c>
      <c r="V205" s="337">
        <v>1.9400000000000001E-2</v>
      </c>
      <c r="W205" s="319"/>
    </row>
    <row r="206" spans="1:23" x14ac:dyDescent="0.2">
      <c r="A206" s="316"/>
      <c r="B206" s="328"/>
      <c r="C206" s="328">
        <v>66</v>
      </c>
      <c r="D206" s="335">
        <v>2.7330000000000001</v>
      </c>
      <c r="E206" s="336">
        <v>1459.9054000000001</v>
      </c>
      <c r="F206" s="332">
        <v>3.4083000000000001</v>
      </c>
      <c r="G206" s="332">
        <v>5.9299999999999999E-2</v>
      </c>
      <c r="H206" s="332">
        <v>1.32E-2</v>
      </c>
      <c r="I206" s="333">
        <v>0.1036</v>
      </c>
      <c r="J206" s="337">
        <v>5.67E-2</v>
      </c>
      <c r="K206" s="319"/>
      <c r="L206" s="308"/>
      <c r="M206" s="316"/>
      <c r="N206" s="328"/>
      <c r="O206" s="328">
        <v>66</v>
      </c>
      <c r="P206" s="335">
        <v>2.0966</v>
      </c>
      <c r="Q206" s="336">
        <v>1149.4634000000001</v>
      </c>
      <c r="R206" s="332">
        <v>1.0159</v>
      </c>
      <c r="S206" s="332">
        <v>1.84E-2</v>
      </c>
      <c r="T206" s="332">
        <v>1.03E-2</v>
      </c>
      <c r="U206" s="333">
        <v>1.72E-2</v>
      </c>
      <c r="V206" s="337">
        <v>1.7600000000000001E-2</v>
      </c>
      <c r="W206" s="319"/>
    </row>
    <row r="207" spans="1:23" x14ac:dyDescent="0.2">
      <c r="A207" s="316"/>
      <c r="B207" s="328"/>
      <c r="C207" s="328">
        <v>67</v>
      </c>
      <c r="D207" s="335">
        <v>2.7747000000000002</v>
      </c>
      <c r="E207" s="336">
        <v>1471.674</v>
      </c>
      <c r="F207" s="332">
        <v>3.0691999999999999</v>
      </c>
      <c r="G207" s="332">
        <v>5.0999999999999997E-2</v>
      </c>
      <c r="H207" s="332">
        <v>1.3299999999999999E-2</v>
      </c>
      <c r="I207" s="333">
        <v>9.6799999999999997E-2</v>
      </c>
      <c r="J207" s="337">
        <v>4.87E-2</v>
      </c>
      <c r="K207" s="319"/>
      <c r="L207" s="308"/>
      <c r="M207" s="316"/>
      <c r="N207" s="328"/>
      <c r="O207" s="328">
        <v>67</v>
      </c>
      <c r="P207" s="335">
        <v>2.0819000000000001</v>
      </c>
      <c r="Q207" s="336">
        <v>1153.2148</v>
      </c>
      <c r="R207" s="332">
        <v>0.92030000000000001</v>
      </c>
      <c r="S207" s="332">
        <v>1.6400000000000001E-2</v>
      </c>
      <c r="T207" s="332">
        <v>1.03E-2</v>
      </c>
      <c r="U207" s="333">
        <v>1.7000000000000001E-2</v>
      </c>
      <c r="V207" s="337">
        <v>1.5699999999999999E-2</v>
      </c>
      <c r="W207" s="319"/>
    </row>
    <row r="208" spans="1:23" x14ac:dyDescent="0.2">
      <c r="A208" s="316"/>
      <c r="B208" s="328"/>
      <c r="C208" s="328">
        <v>68</v>
      </c>
      <c r="D208" s="335">
        <v>2.8163</v>
      </c>
      <c r="E208" s="336">
        <v>1483.4425000000001</v>
      </c>
      <c r="F208" s="332">
        <v>2.73</v>
      </c>
      <c r="G208" s="332">
        <v>4.2700000000000002E-2</v>
      </c>
      <c r="H208" s="332">
        <v>1.35E-2</v>
      </c>
      <c r="I208" s="333">
        <v>8.9899999999999994E-2</v>
      </c>
      <c r="J208" s="337">
        <v>4.0800000000000003E-2</v>
      </c>
      <c r="K208" s="319"/>
      <c r="L208" s="308"/>
      <c r="M208" s="316"/>
      <c r="N208" s="328"/>
      <c r="O208" s="328">
        <v>68</v>
      </c>
      <c r="P208" s="335">
        <v>2.0672999999999999</v>
      </c>
      <c r="Q208" s="336">
        <v>1156.9661000000001</v>
      </c>
      <c r="R208" s="332">
        <v>0.82479999999999998</v>
      </c>
      <c r="S208" s="332">
        <v>1.4500000000000001E-2</v>
      </c>
      <c r="T208" s="332">
        <v>1.04E-2</v>
      </c>
      <c r="U208" s="333">
        <v>1.6899999999999998E-2</v>
      </c>
      <c r="V208" s="337">
        <v>1.3899999999999999E-2</v>
      </c>
      <c r="W208" s="319"/>
    </row>
    <row r="209" spans="1:23" x14ac:dyDescent="0.2">
      <c r="A209" s="316"/>
      <c r="B209" s="328"/>
      <c r="C209" s="328">
        <v>69</v>
      </c>
      <c r="D209" s="335">
        <v>2.8578999999999999</v>
      </c>
      <c r="E209" s="336">
        <v>1495.211</v>
      </c>
      <c r="F209" s="332">
        <v>2.3908</v>
      </c>
      <c r="G209" s="332">
        <v>3.44E-2</v>
      </c>
      <c r="H209" s="332">
        <v>1.3599999999999999E-2</v>
      </c>
      <c r="I209" s="333">
        <v>8.3099999999999993E-2</v>
      </c>
      <c r="J209" s="337">
        <v>3.2899999999999999E-2</v>
      </c>
      <c r="K209" s="319"/>
      <c r="L209" s="308"/>
      <c r="M209" s="316"/>
      <c r="N209" s="328"/>
      <c r="O209" s="328">
        <v>69</v>
      </c>
      <c r="P209" s="335">
        <v>2.0527000000000002</v>
      </c>
      <c r="Q209" s="336">
        <v>1160.7175</v>
      </c>
      <c r="R209" s="332">
        <v>0.72919999999999996</v>
      </c>
      <c r="S209" s="332">
        <v>1.26E-2</v>
      </c>
      <c r="T209" s="332">
        <v>1.04E-2</v>
      </c>
      <c r="U209" s="333">
        <v>1.6799999999999999E-2</v>
      </c>
      <c r="V209" s="337">
        <v>1.2E-2</v>
      </c>
      <c r="W209" s="319"/>
    </row>
    <row r="210" spans="1:23" x14ac:dyDescent="0.2">
      <c r="A210" s="316"/>
      <c r="B210" s="339"/>
      <c r="C210" s="339">
        <v>70</v>
      </c>
      <c r="D210" s="340">
        <v>2.8996</v>
      </c>
      <c r="E210" s="341">
        <v>1506.9795999999999</v>
      </c>
      <c r="F210" s="342">
        <v>2.0516000000000001</v>
      </c>
      <c r="G210" s="342">
        <v>2.6100000000000002E-2</v>
      </c>
      <c r="H210" s="342">
        <v>1.37E-2</v>
      </c>
      <c r="I210" s="343">
        <v>7.6200000000000004E-2</v>
      </c>
      <c r="J210" s="344">
        <v>2.4899999999999999E-2</v>
      </c>
      <c r="K210" s="319"/>
      <c r="L210" s="308"/>
      <c r="M210" s="316"/>
      <c r="N210" s="339"/>
      <c r="O210" s="339">
        <v>70</v>
      </c>
      <c r="P210" s="340">
        <v>2.0379999999999998</v>
      </c>
      <c r="Q210" s="341">
        <v>1164.4688000000001</v>
      </c>
      <c r="R210" s="342">
        <v>0.63370000000000004</v>
      </c>
      <c r="S210" s="342">
        <v>1.0699999999999999E-2</v>
      </c>
      <c r="T210" s="342">
        <v>1.0500000000000001E-2</v>
      </c>
      <c r="U210" s="343">
        <v>1.67E-2</v>
      </c>
      <c r="V210" s="344">
        <v>1.0200000000000001E-2</v>
      </c>
      <c r="W210" s="319"/>
    </row>
    <row r="211" spans="1:23" ht="13.5" thickBot="1" x14ac:dyDescent="0.25">
      <c r="A211" s="345"/>
      <c r="B211" s="346"/>
      <c r="C211" s="346"/>
      <c r="D211" s="346"/>
      <c r="E211" s="346"/>
      <c r="F211" s="346"/>
      <c r="G211" s="346"/>
      <c r="H211" s="346"/>
      <c r="I211" s="346"/>
      <c r="J211" s="346"/>
      <c r="K211" s="347"/>
      <c r="L211" s="308"/>
      <c r="M211" s="345"/>
      <c r="N211" s="346"/>
      <c r="O211" s="346"/>
      <c r="P211" s="346"/>
      <c r="Q211" s="346"/>
      <c r="R211" s="346"/>
      <c r="S211" s="346"/>
      <c r="T211" s="346"/>
      <c r="U211" s="346"/>
      <c r="V211" s="346"/>
      <c r="W211" s="347"/>
    </row>
    <row r="212" spans="1:23" ht="13.5" thickTop="1" x14ac:dyDescent="0.2">
      <c r="A212" s="308"/>
      <c r="B212"/>
      <c r="C212"/>
      <c r="D212"/>
      <c r="E212"/>
      <c r="F212"/>
      <c r="G212"/>
      <c r="H212"/>
      <c r="I212"/>
      <c r="J212"/>
      <c r="K212" s="308"/>
      <c r="L212" s="308"/>
      <c r="M212" s="308"/>
      <c r="N212"/>
      <c r="O212"/>
      <c r="P212"/>
      <c r="Q212"/>
      <c r="R212"/>
      <c r="S212"/>
      <c r="T212"/>
      <c r="U212"/>
      <c r="V212"/>
      <c r="W212" s="308"/>
    </row>
    <row r="213" spans="1:23" x14ac:dyDescent="0.2">
      <c r="A213" s="348" t="s">
        <v>186</v>
      </c>
      <c r="B213"/>
      <c r="C213"/>
      <c r="D213"/>
      <c r="E213"/>
      <c r="F213"/>
      <c r="G213"/>
      <c r="H213"/>
      <c r="I213"/>
      <c r="J213"/>
      <c r="K213" s="308"/>
      <c r="L213" s="308"/>
      <c r="M213" s="308"/>
      <c r="N213"/>
      <c r="O213"/>
      <c r="P213"/>
      <c r="Q213"/>
      <c r="R213"/>
      <c r="S213"/>
      <c r="T213"/>
      <c r="U213"/>
      <c r="V213"/>
      <c r="W213" s="308"/>
    </row>
    <row r="214" spans="1:23" x14ac:dyDescent="0.2">
      <c r="A214" s="308"/>
      <c r="B214"/>
      <c r="C214"/>
      <c r="D214"/>
      <c r="E214"/>
      <c r="F214"/>
      <c r="G214"/>
      <c r="H214"/>
      <c r="I214"/>
      <c r="J214"/>
      <c r="K214" s="308"/>
      <c r="L214" s="308"/>
      <c r="M214" s="308"/>
      <c r="N214"/>
      <c r="O214"/>
      <c r="P214"/>
      <c r="Q214"/>
      <c r="R214"/>
      <c r="S214"/>
      <c r="T214"/>
      <c r="U214"/>
      <c r="V214"/>
      <c r="W214" s="308"/>
    </row>
    <row r="215" spans="1:23" x14ac:dyDescent="0.2">
      <c r="A215" s="348" t="s">
        <v>120</v>
      </c>
      <c r="B215"/>
      <c r="C215"/>
      <c r="D215"/>
      <c r="E215"/>
      <c r="F215"/>
      <c r="G215"/>
      <c r="H215"/>
      <c r="I215"/>
      <c r="J215"/>
      <c r="K215" s="308"/>
      <c r="L215" s="308"/>
      <c r="M215" s="308"/>
      <c r="N215"/>
      <c r="O215"/>
      <c r="P215"/>
      <c r="Q215"/>
      <c r="R215"/>
      <c r="S215"/>
      <c r="T215"/>
      <c r="U215"/>
      <c r="V215"/>
      <c r="W215" s="308"/>
    </row>
  </sheetData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1001A9-2369-4E2E-AB7E-6EFC0EA3374C}">
  <dimension ref="A1:A42"/>
  <sheetViews>
    <sheetView zoomScale="70" zoomScaleNormal="70" workbookViewId="0">
      <selection activeCell="Z15" sqref="Z15"/>
    </sheetView>
  </sheetViews>
  <sheetFormatPr defaultRowHeight="12.75" x14ac:dyDescent="0.2"/>
  <sheetData>
    <row r="1" spans="1:1" ht="15.75" x14ac:dyDescent="0.2">
      <c r="A1" s="437" t="s">
        <v>283</v>
      </c>
    </row>
    <row r="2" spans="1:1" ht="15.75" x14ac:dyDescent="0.2">
      <c r="A2" s="438" t="s">
        <v>284</v>
      </c>
    </row>
    <row r="3" spans="1:1" ht="15.75" x14ac:dyDescent="0.2">
      <c r="A3" s="439" t="s">
        <v>285</v>
      </c>
    </row>
    <row r="4" spans="1:1" ht="15.75" x14ac:dyDescent="0.2">
      <c r="A4" s="439" t="s">
        <v>286</v>
      </c>
    </row>
    <row r="5" spans="1:1" ht="15.75" x14ac:dyDescent="0.2">
      <c r="A5" s="439" t="s">
        <v>287</v>
      </c>
    </row>
    <row r="6" spans="1:1" ht="15.75" x14ac:dyDescent="0.2">
      <c r="A6" s="438" t="s">
        <v>288</v>
      </c>
    </row>
    <row r="7" spans="1:1" ht="15.75" x14ac:dyDescent="0.2">
      <c r="A7" s="439" t="s">
        <v>289</v>
      </c>
    </row>
    <row r="8" spans="1:1" ht="18" x14ac:dyDescent="0.2">
      <c r="A8" s="439" t="s">
        <v>290</v>
      </c>
    </row>
    <row r="9" spans="1:1" ht="15.75" x14ac:dyDescent="0.2">
      <c r="A9" s="439" t="s">
        <v>291</v>
      </c>
    </row>
    <row r="10" spans="1:1" ht="15.75" x14ac:dyDescent="0.2">
      <c r="A10" s="438" t="s">
        <v>292</v>
      </c>
    </row>
    <row r="11" spans="1:1" ht="15.75" x14ac:dyDescent="0.2">
      <c r="A11" s="439" t="s">
        <v>293</v>
      </c>
    </row>
    <row r="12" spans="1:1" ht="15.75" x14ac:dyDescent="0.2">
      <c r="A12" s="440" t="s">
        <v>294</v>
      </c>
    </row>
    <row r="13" spans="1:1" ht="18" x14ac:dyDescent="0.2">
      <c r="A13" s="440" t="s">
        <v>295</v>
      </c>
    </row>
    <row r="14" spans="1:1" ht="15.75" x14ac:dyDescent="0.2">
      <c r="A14" s="439" t="s">
        <v>296</v>
      </c>
    </row>
    <row r="15" spans="1:1" ht="15.75" x14ac:dyDescent="0.2">
      <c r="A15" s="440" t="s">
        <v>297</v>
      </c>
    </row>
    <row r="16" spans="1:1" ht="18" x14ac:dyDescent="0.2">
      <c r="A16" s="440" t="s">
        <v>298</v>
      </c>
    </row>
    <row r="17" spans="1:1" ht="15.75" x14ac:dyDescent="0.2">
      <c r="A17" s="439" t="s">
        <v>299</v>
      </c>
    </row>
    <row r="18" spans="1:1" ht="15.75" x14ac:dyDescent="0.2">
      <c r="A18" s="440" t="s">
        <v>294</v>
      </c>
    </row>
    <row r="19" spans="1:1" ht="18" x14ac:dyDescent="0.2">
      <c r="A19" s="440" t="s">
        <v>300</v>
      </c>
    </row>
    <row r="20" spans="1:1" ht="15.75" x14ac:dyDescent="0.2">
      <c r="A20" s="441"/>
    </row>
    <row r="21" spans="1:1" ht="15.75" x14ac:dyDescent="0.2">
      <c r="A21" s="437" t="s">
        <v>301</v>
      </c>
    </row>
    <row r="22" spans="1:1" ht="18" x14ac:dyDescent="0.2">
      <c r="A22" s="438" t="s">
        <v>302</v>
      </c>
    </row>
    <row r="23" spans="1:1" ht="15.75" x14ac:dyDescent="0.2">
      <c r="A23" s="439" t="s">
        <v>303</v>
      </c>
    </row>
    <row r="24" spans="1:1" ht="15.75" x14ac:dyDescent="0.2">
      <c r="A24" s="440" t="s">
        <v>304</v>
      </c>
    </row>
    <row r="25" spans="1:1" ht="15.75" x14ac:dyDescent="0.2">
      <c r="A25" s="439" t="s">
        <v>305</v>
      </c>
    </row>
    <row r="26" spans="1:1" ht="15.75" x14ac:dyDescent="0.2">
      <c r="A26" s="438" t="s">
        <v>306</v>
      </c>
    </row>
    <row r="27" spans="1:1" ht="15.75" x14ac:dyDescent="0.2">
      <c r="A27" s="437" t="s">
        <v>307</v>
      </c>
    </row>
    <row r="28" spans="1:1" ht="15.75" x14ac:dyDescent="0.2">
      <c r="A28" s="438" t="s">
        <v>308</v>
      </c>
    </row>
    <row r="29" spans="1:1" ht="18" x14ac:dyDescent="0.2">
      <c r="A29" s="438" t="s">
        <v>309</v>
      </c>
    </row>
    <row r="30" spans="1:1" ht="15.75" x14ac:dyDescent="0.2">
      <c r="A30" s="439" t="s">
        <v>310</v>
      </c>
    </row>
    <row r="31" spans="1:1" ht="18" x14ac:dyDescent="0.2">
      <c r="A31" s="438" t="s">
        <v>311</v>
      </c>
    </row>
    <row r="32" spans="1:1" ht="15.75" x14ac:dyDescent="0.2">
      <c r="A32" s="439" t="s">
        <v>312</v>
      </c>
    </row>
    <row r="33" spans="1:1" ht="15.75" x14ac:dyDescent="0.2">
      <c r="A33" s="439" t="s">
        <v>313</v>
      </c>
    </row>
    <row r="34" spans="1:1" ht="15.75" x14ac:dyDescent="0.2">
      <c r="A34" s="439" t="s">
        <v>314</v>
      </c>
    </row>
    <row r="35" spans="1:1" ht="18" x14ac:dyDescent="0.2">
      <c r="A35" s="438" t="s">
        <v>315</v>
      </c>
    </row>
    <row r="36" spans="1:1" ht="15.75" x14ac:dyDescent="0.2">
      <c r="A36" s="439" t="s">
        <v>316</v>
      </c>
    </row>
    <row r="37" spans="1:1" ht="15.75" x14ac:dyDescent="0.2">
      <c r="A37" s="439" t="s">
        <v>317</v>
      </c>
    </row>
    <row r="38" spans="1:1" ht="15.75" x14ac:dyDescent="0.2">
      <c r="A38" s="439" t="s">
        <v>318</v>
      </c>
    </row>
    <row r="39" spans="1:1" ht="15.75" x14ac:dyDescent="0.2">
      <c r="A39" s="438" t="s">
        <v>319</v>
      </c>
    </row>
    <row r="40" spans="1:1" ht="15.75" x14ac:dyDescent="0.2">
      <c r="A40" s="439" t="s">
        <v>320</v>
      </c>
    </row>
    <row r="41" spans="1:1" ht="15.75" x14ac:dyDescent="0.2">
      <c r="A41" s="439" t="s">
        <v>321</v>
      </c>
    </row>
    <row r="42" spans="1:1" ht="15.75" x14ac:dyDescent="0.2">
      <c r="A42" s="439" t="s">
        <v>322</v>
      </c>
    </row>
  </sheetData>
  <pageMargins left="0.7" right="0.7" top="0.75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E76D6-7824-4B02-8C35-3BBD5B4F352E}">
  <dimension ref="A1:A4"/>
  <sheetViews>
    <sheetView zoomScale="55" zoomScaleNormal="55" workbookViewId="0">
      <selection activeCell="X38" sqref="X38"/>
    </sheetView>
  </sheetViews>
  <sheetFormatPr defaultRowHeight="12.75" x14ac:dyDescent="0.2"/>
  <sheetData>
    <row r="1" spans="1:1" x14ac:dyDescent="0.2">
      <c r="A1" s="308" t="s">
        <v>243</v>
      </c>
    </row>
    <row r="2" spans="1:1" ht="15" x14ac:dyDescent="0.25">
      <c r="A2" s="424" t="s">
        <v>240</v>
      </c>
    </row>
    <row r="3" spans="1:1" ht="15" x14ac:dyDescent="0.25">
      <c r="A3" s="424" t="s">
        <v>241</v>
      </c>
    </row>
    <row r="4" spans="1:1" ht="15" x14ac:dyDescent="0.25">
      <c r="A4" s="424" t="s">
        <v>242</v>
      </c>
    </row>
  </sheetData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021B16-6425-4E90-9A19-DDE53DF5CB54}">
  <dimension ref="A1:S48"/>
  <sheetViews>
    <sheetView zoomScale="85" zoomScaleNormal="85" workbookViewId="0">
      <selection sqref="A1:I14"/>
    </sheetView>
  </sheetViews>
  <sheetFormatPr defaultColWidth="9.140625" defaultRowHeight="15" x14ac:dyDescent="0.25"/>
  <cols>
    <col min="1" max="1" width="28.28515625" style="17" customWidth="1"/>
    <col min="2" max="10" width="9.140625" style="17"/>
    <col min="11" max="11" width="13.7109375" style="17" customWidth="1"/>
    <col min="12" max="16384" width="9.140625" style="17"/>
  </cols>
  <sheetData>
    <row r="1" spans="1:19" x14ac:dyDescent="0.25">
      <c r="A1" s="546" t="s">
        <v>247</v>
      </c>
      <c r="B1" s="546"/>
      <c r="C1" s="546"/>
      <c r="D1" s="546"/>
      <c r="E1" s="546"/>
      <c r="F1" s="546"/>
      <c r="G1" s="546"/>
      <c r="H1" s="546"/>
      <c r="I1" s="546"/>
      <c r="K1" s="425" t="s">
        <v>262</v>
      </c>
    </row>
    <row r="2" spans="1:19" ht="13.5" customHeight="1" x14ac:dyDescent="0.25">
      <c r="A2" s="539" t="s">
        <v>248</v>
      </c>
      <c r="B2" s="539" t="s">
        <v>261</v>
      </c>
      <c r="C2" s="539"/>
      <c r="D2" s="539"/>
      <c r="E2" s="539"/>
      <c r="F2" s="539"/>
      <c r="G2" s="539" t="s">
        <v>259</v>
      </c>
      <c r="H2" s="539" t="s">
        <v>260</v>
      </c>
      <c r="I2" s="539" t="s">
        <v>273</v>
      </c>
      <c r="K2" s="540" t="s">
        <v>248</v>
      </c>
      <c r="L2" s="543" t="s">
        <v>261</v>
      </c>
      <c r="M2" s="544"/>
      <c r="N2" s="544"/>
      <c r="O2" s="544"/>
      <c r="P2" s="545"/>
      <c r="Q2" s="540" t="s">
        <v>259</v>
      </c>
      <c r="R2" s="540" t="s">
        <v>260</v>
      </c>
      <c r="S2" s="539" t="s">
        <v>273</v>
      </c>
    </row>
    <row r="3" spans="1:19" ht="15" customHeight="1" x14ac:dyDescent="0.25">
      <c r="A3" s="539"/>
      <c r="B3" s="539" t="s">
        <v>99</v>
      </c>
      <c r="C3" s="539"/>
      <c r="D3" s="539"/>
      <c r="E3" s="539"/>
      <c r="F3" s="539"/>
      <c r="G3" s="539"/>
      <c r="H3" s="539"/>
      <c r="I3" s="539"/>
      <c r="K3" s="541"/>
      <c r="L3" s="543" t="s">
        <v>99</v>
      </c>
      <c r="M3" s="544"/>
      <c r="N3" s="544"/>
      <c r="O3" s="544"/>
      <c r="P3" s="545"/>
      <c r="Q3" s="541"/>
      <c r="R3" s="541"/>
      <c r="S3" s="539"/>
    </row>
    <row r="4" spans="1:19" x14ac:dyDescent="0.25">
      <c r="A4" s="539"/>
      <c r="B4" s="165">
        <v>2011</v>
      </c>
      <c r="C4" s="165">
        <v>2012</v>
      </c>
      <c r="D4" s="165">
        <v>2013</v>
      </c>
      <c r="E4" s="165">
        <v>2014</v>
      </c>
      <c r="F4" s="165">
        <v>2015</v>
      </c>
      <c r="G4" s="539"/>
      <c r="H4" s="539"/>
      <c r="I4" s="539"/>
      <c r="K4" s="542"/>
      <c r="L4" s="165">
        <v>2011</v>
      </c>
      <c r="M4" s="165">
        <v>2012</v>
      </c>
      <c r="N4" s="165">
        <v>2013</v>
      </c>
      <c r="O4" s="165">
        <v>2014</v>
      </c>
      <c r="P4" s="165">
        <v>2015</v>
      </c>
      <c r="Q4" s="542"/>
      <c r="R4" s="542"/>
      <c r="S4" s="539"/>
    </row>
    <row r="5" spans="1:19" x14ac:dyDescent="0.25">
      <c r="A5" s="426" t="s">
        <v>249</v>
      </c>
      <c r="B5" s="427">
        <v>131</v>
      </c>
      <c r="C5" s="427">
        <v>155</v>
      </c>
      <c r="D5" s="427">
        <v>173</v>
      </c>
      <c r="E5" s="427">
        <v>186</v>
      </c>
      <c r="F5" s="427">
        <v>285</v>
      </c>
      <c r="G5" s="427">
        <f>SUM(B5:F5)</f>
        <v>930</v>
      </c>
      <c r="H5" s="428">
        <f>G5/$G$14</f>
        <v>0.58125000000000004</v>
      </c>
      <c r="I5" s="433">
        <f>G5/5</f>
        <v>186</v>
      </c>
      <c r="K5" s="427" t="s">
        <v>266</v>
      </c>
      <c r="L5" s="427">
        <v>94</v>
      </c>
      <c r="M5" s="427">
        <v>134</v>
      </c>
      <c r="N5" s="427">
        <v>184</v>
      </c>
      <c r="O5" s="427">
        <v>197</v>
      </c>
      <c r="P5" s="427">
        <v>292</v>
      </c>
      <c r="Q5" s="427">
        <f>SUM(L5:P5)</f>
        <v>901</v>
      </c>
      <c r="R5" s="428">
        <f>Q5/$Q$8</f>
        <v>0.56312499999999999</v>
      </c>
      <c r="S5" s="433">
        <f>Q5/5</f>
        <v>180.2</v>
      </c>
    </row>
    <row r="6" spans="1:19" x14ac:dyDescent="0.25">
      <c r="A6" s="426" t="s">
        <v>250</v>
      </c>
      <c r="B6" s="427">
        <v>3</v>
      </c>
      <c r="C6" s="427">
        <v>2</v>
      </c>
      <c r="D6" s="427">
        <v>2</v>
      </c>
      <c r="E6" s="427">
        <v>5</v>
      </c>
      <c r="F6" s="427">
        <v>1</v>
      </c>
      <c r="G6" s="427">
        <f t="shared" ref="G6:G13" si="0">SUM(B6:F6)</f>
        <v>13</v>
      </c>
      <c r="H6" s="428">
        <f t="shared" ref="H6:H13" si="1">G6/$G$14</f>
        <v>8.1250000000000003E-3</v>
      </c>
      <c r="I6" s="433">
        <f t="shared" ref="I6:I14" si="2">G6/5</f>
        <v>2.6</v>
      </c>
      <c r="K6" s="426" t="s">
        <v>263</v>
      </c>
      <c r="L6" s="427">
        <v>153</v>
      </c>
      <c r="M6" s="427">
        <v>132</v>
      </c>
      <c r="N6" s="427">
        <v>102</v>
      </c>
      <c r="O6" s="427">
        <v>129</v>
      </c>
      <c r="P6" s="427">
        <v>175</v>
      </c>
      <c r="Q6" s="427">
        <f t="shared" ref="Q6:Q7" si="3">SUM(L6:P6)</f>
        <v>691</v>
      </c>
      <c r="R6" s="428">
        <f t="shared" ref="R6:R7" si="4">Q6/$Q$8</f>
        <v>0.43187500000000001</v>
      </c>
      <c r="S6" s="433">
        <f t="shared" ref="S6:S7" si="5">Q6/5</f>
        <v>138.19999999999999</v>
      </c>
    </row>
    <row r="7" spans="1:19" x14ac:dyDescent="0.25">
      <c r="A7" s="426" t="s">
        <v>251</v>
      </c>
      <c r="B7" s="427">
        <v>31</v>
      </c>
      <c r="C7" s="427">
        <v>21</v>
      </c>
      <c r="D7" s="427">
        <v>20</v>
      </c>
      <c r="E7" s="427">
        <v>24</v>
      </c>
      <c r="F7" s="427">
        <v>16</v>
      </c>
      <c r="G7" s="427">
        <f t="shared" si="0"/>
        <v>112</v>
      </c>
      <c r="H7" s="428">
        <f t="shared" si="1"/>
        <v>7.0000000000000007E-2</v>
      </c>
      <c r="I7" s="433">
        <f t="shared" si="2"/>
        <v>22.4</v>
      </c>
      <c r="K7" s="426" t="s">
        <v>264</v>
      </c>
      <c r="L7" s="427">
        <v>4</v>
      </c>
      <c r="M7" s="427">
        <v>1</v>
      </c>
      <c r="N7" s="427">
        <v>0</v>
      </c>
      <c r="O7" s="427">
        <v>1</v>
      </c>
      <c r="P7" s="427">
        <v>2</v>
      </c>
      <c r="Q7" s="427">
        <f t="shared" si="3"/>
        <v>8</v>
      </c>
      <c r="R7" s="428">
        <f t="shared" si="4"/>
        <v>5.0000000000000001E-3</v>
      </c>
      <c r="S7" s="433">
        <f t="shared" si="5"/>
        <v>1.6</v>
      </c>
    </row>
    <row r="8" spans="1:19" x14ac:dyDescent="0.25">
      <c r="A8" s="426" t="s">
        <v>252</v>
      </c>
      <c r="B8" s="427">
        <v>50</v>
      </c>
      <c r="C8" s="427">
        <v>52</v>
      </c>
      <c r="D8" s="427">
        <v>56</v>
      </c>
      <c r="E8" s="427">
        <v>68</v>
      </c>
      <c r="F8" s="427">
        <v>98</v>
      </c>
      <c r="G8" s="427">
        <f t="shared" si="0"/>
        <v>324</v>
      </c>
      <c r="H8" s="428">
        <f t="shared" si="1"/>
        <v>0.20250000000000001</v>
      </c>
      <c r="I8" s="433">
        <f t="shared" si="2"/>
        <v>64.8</v>
      </c>
      <c r="K8" s="429" t="s">
        <v>265</v>
      </c>
      <c r="L8" s="430">
        <f>SUM(L5:L7)</f>
        <v>251</v>
      </c>
      <c r="M8" s="430">
        <f t="shared" ref="M8:S8" si="6">SUM(M5:M7)</f>
        <v>267</v>
      </c>
      <c r="N8" s="430">
        <f t="shared" si="6"/>
        <v>286</v>
      </c>
      <c r="O8" s="430">
        <f t="shared" si="6"/>
        <v>327</v>
      </c>
      <c r="P8" s="430">
        <f t="shared" si="6"/>
        <v>469</v>
      </c>
      <c r="Q8" s="430">
        <f t="shared" si="6"/>
        <v>1600</v>
      </c>
      <c r="R8" s="434">
        <f t="shared" si="6"/>
        <v>1</v>
      </c>
      <c r="S8" s="430">
        <f t="shared" si="6"/>
        <v>320</v>
      </c>
    </row>
    <row r="9" spans="1:19" x14ac:dyDescent="0.25">
      <c r="A9" s="426" t="s">
        <v>253</v>
      </c>
      <c r="B9" s="427">
        <v>0</v>
      </c>
      <c r="C9" s="427">
        <v>0</v>
      </c>
      <c r="D9" s="427">
        <v>1</v>
      </c>
      <c r="E9" s="427">
        <v>0</v>
      </c>
      <c r="F9" s="427">
        <v>0</v>
      </c>
      <c r="G9" s="427">
        <f t="shared" si="0"/>
        <v>1</v>
      </c>
      <c r="H9" s="428">
        <f t="shared" si="1"/>
        <v>6.2500000000000001E-4</v>
      </c>
      <c r="I9" s="433">
        <f t="shared" si="2"/>
        <v>0.2</v>
      </c>
    </row>
    <row r="10" spans="1:19" x14ac:dyDescent="0.25">
      <c r="A10" s="426" t="s">
        <v>254</v>
      </c>
      <c r="B10" s="427">
        <v>0</v>
      </c>
      <c r="C10" s="427">
        <v>0</v>
      </c>
      <c r="D10" s="427">
        <v>0</v>
      </c>
      <c r="E10" s="427">
        <v>0</v>
      </c>
      <c r="F10" s="427">
        <v>0</v>
      </c>
      <c r="G10" s="427">
        <f t="shared" si="0"/>
        <v>0</v>
      </c>
      <c r="H10" s="428">
        <f t="shared" si="1"/>
        <v>0</v>
      </c>
      <c r="I10" s="433">
        <f t="shared" si="2"/>
        <v>0</v>
      </c>
    </row>
    <row r="11" spans="1:19" x14ac:dyDescent="0.25">
      <c r="A11" s="426" t="s">
        <v>255</v>
      </c>
      <c r="B11" s="427">
        <v>0</v>
      </c>
      <c r="C11" s="427">
        <v>0</v>
      </c>
      <c r="D11" s="427">
        <v>1</v>
      </c>
      <c r="E11" s="427">
        <v>0</v>
      </c>
      <c r="F11" s="427">
        <v>0</v>
      </c>
      <c r="G11" s="427">
        <f t="shared" si="0"/>
        <v>1</v>
      </c>
      <c r="H11" s="428">
        <f t="shared" si="1"/>
        <v>6.2500000000000001E-4</v>
      </c>
      <c r="I11" s="433">
        <f t="shared" si="2"/>
        <v>0.2</v>
      </c>
    </row>
    <row r="12" spans="1:19" x14ac:dyDescent="0.25">
      <c r="A12" s="426" t="s">
        <v>256</v>
      </c>
      <c r="B12" s="427">
        <v>33</v>
      </c>
      <c r="C12" s="427">
        <v>30</v>
      </c>
      <c r="D12" s="427">
        <v>24</v>
      </c>
      <c r="E12" s="427">
        <v>43</v>
      </c>
      <c r="F12" s="427">
        <v>63</v>
      </c>
      <c r="G12" s="427">
        <f t="shared" si="0"/>
        <v>193</v>
      </c>
      <c r="H12" s="428">
        <f t="shared" si="1"/>
        <v>0.120625</v>
      </c>
      <c r="I12" s="433">
        <f t="shared" si="2"/>
        <v>38.6</v>
      </c>
    </row>
    <row r="13" spans="1:19" x14ac:dyDescent="0.25">
      <c r="A13" s="426" t="s">
        <v>257</v>
      </c>
      <c r="B13" s="427">
        <v>3</v>
      </c>
      <c r="C13" s="427">
        <v>7</v>
      </c>
      <c r="D13" s="427">
        <v>9</v>
      </c>
      <c r="E13" s="427">
        <v>1</v>
      </c>
      <c r="F13" s="427">
        <v>6</v>
      </c>
      <c r="G13" s="427">
        <f t="shared" si="0"/>
        <v>26</v>
      </c>
      <c r="H13" s="428">
        <f t="shared" si="1"/>
        <v>1.6250000000000001E-2</v>
      </c>
      <c r="I13" s="433">
        <f t="shared" si="2"/>
        <v>5.2</v>
      </c>
    </row>
    <row r="14" spans="1:19" x14ac:dyDescent="0.25">
      <c r="A14" s="429" t="s">
        <v>258</v>
      </c>
      <c r="B14" s="430">
        <f>SUM(B5:B13)</f>
        <v>251</v>
      </c>
      <c r="C14" s="430">
        <f t="shared" ref="C14:G14" si="7">SUM(C5:C13)</f>
        <v>267</v>
      </c>
      <c r="D14" s="430">
        <f t="shared" si="7"/>
        <v>286</v>
      </c>
      <c r="E14" s="430">
        <f t="shared" si="7"/>
        <v>327</v>
      </c>
      <c r="F14" s="430">
        <f t="shared" si="7"/>
        <v>469</v>
      </c>
      <c r="G14" s="430">
        <f t="shared" si="7"/>
        <v>1600</v>
      </c>
      <c r="H14" s="431">
        <f>SUM(H5:H13)</f>
        <v>1</v>
      </c>
      <c r="I14" s="430">
        <f t="shared" si="2"/>
        <v>320</v>
      </c>
    </row>
    <row r="18" spans="1:19" x14ac:dyDescent="0.25">
      <c r="A18" s="425" t="s">
        <v>267</v>
      </c>
      <c r="B18" s="432"/>
      <c r="C18" s="432"/>
      <c r="D18" s="432"/>
      <c r="E18" s="432"/>
      <c r="F18" s="432"/>
      <c r="G18" s="432"/>
      <c r="H18" s="432"/>
      <c r="I18" s="432"/>
      <c r="K18" s="425" t="s">
        <v>270</v>
      </c>
    </row>
    <row r="19" spans="1:19" x14ac:dyDescent="0.25">
      <c r="A19" s="539" t="s">
        <v>248</v>
      </c>
      <c r="B19" s="539" t="s">
        <v>261</v>
      </c>
      <c r="C19" s="539"/>
      <c r="D19" s="539"/>
      <c r="E19" s="539"/>
      <c r="F19" s="539"/>
      <c r="G19" s="539" t="s">
        <v>259</v>
      </c>
      <c r="H19" s="539" t="s">
        <v>260</v>
      </c>
      <c r="I19" s="539" t="s">
        <v>273</v>
      </c>
      <c r="K19" s="540" t="s">
        <v>248</v>
      </c>
      <c r="L19" s="543" t="s">
        <v>261</v>
      </c>
      <c r="M19" s="544"/>
      <c r="N19" s="544"/>
      <c r="O19" s="544"/>
      <c r="P19" s="545"/>
      <c r="Q19" s="540" t="s">
        <v>259</v>
      </c>
      <c r="R19" s="540" t="s">
        <v>260</v>
      </c>
      <c r="S19" s="539" t="s">
        <v>273</v>
      </c>
    </row>
    <row r="20" spans="1:19" x14ac:dyDescent="0.25">
      <c r="A20" s="539"/>
      <c r="B20" s="539" t="s">
        <v>99</v>
      </c>
      <c r="C20" s="539"/>
      <c r="D20" s="539"/>
      <c r="E20" s="539"/>
      <c r="F20" s="539"/>
      <c r="G20" s="539"/>
      <c r="H20" s="539"/>
      <c r="I20" s="539"/>
      <c r="K20" s="541"/>
      <c r="L20" s="543" t="s">
        <v>99</v>
      </c>
      <c r="M20" s="544"/>
      <c r="N20" s="544"/>
      <c r="O20" s="544"/>
      <c r="P20" s="545"/>
      <c r="Q20" s="541"/>
      <c r="R20" s="541"/>
      <c r="S20" s="539"/>
    </row>
    <row r="21" spans="1:19" x14ac:dyDescent="0.25">
      <c r="A21" s="539"/>
      <c r="B21" s="165">
        <v>2011</v>
      </c>
      <c r="C21" s="165">
        <v>2012</v>
      </c>
      <c r="D21" s="165">
        <v>2013</v>
      </c>
      <c r="E21" s="165">
        <v>2014</v>
      </c>
      <c r="F21" s="165">
        <v>2015</v>
      </c>
      <c r="G21" s="539"/>
      <c r="H21" s="539"/>
      <c r="I21" s="539"/>
      <c r="K21" s="542"/>
      <c r="L21" s="165">
        <v>2011</v>
      </c>
      <c r="M21" s="165">
        <v>2012</v>
      </c>
      <c r="N21" s="165">
        <v>2013</v>
      </c>
      <c r="O21" s="165">
        <v>2014</v>
      </c>
      <c r="P21" s="165">
        <v>2015</v>
      </c>
      <c r="Q21" s="542"/>
      <c r="R21" s="542"/>
      <c r="S21" s="539"/>
    </row>
    <row r="22" spans="1:19" x14ac:dyDescent="0.25">
      <c r="A22" s="427" t="s">
        <v>268</v>
      </c>
      <c r="B22" s="427">
        <v>88</v>
      </c>
      <c r="C22" s="427">
        <v>101</v>
      </c>
      <c r="D22" s="427">
        <v>109</v>
      </c>
      <c r="E22" s="427">
        <v>125</v>
      </c>
      <c r="F22" s="427">
        <v>266</v>
      </c>
      <c r="G22" s="427">
        <f>SUM(B22:F22)</f>
        <v>689</v>
      </c>
      <c r="H22" s="428">
        <f>G22/$G$14</f>
        <v>0.43062499999999998</v>
      </c>
      <c r="I22" s="433">
        <f>G22/5</f>
        <v>137.80000000000001</v>
      </c>
      <c r="K22" s="427" t="s">
        <v>266</v>
      </c>
      <c r="L22" s="427">
        <v>119</v>
      </c>
      <c r="M22" s="427">
        <v>119</v>
      </c>
      <c r="N22" s="427">
        <v>162</v>
      </c>
      <c r="O22" s="427">
        <v>203</v>
      </c>
      <c r="P22" s="427">
        <v>423</v>
      </c>
      <c r="Q22" s="427">
        <f>SUM(L22:P22)</f>
        <v>1026</v>
      </c>
      <c r="R22" s="428">
        <f>Q22/$Q$25</f>
        <v>0.78260869565217395</v>
      </c>
      <c r="S22" s="433">
        <f>Q22/5</f>
        <v>205.2</v>
      </c>
    </row>
    <row r="23" spans="1:19" x14ac:dyDescent="0.25">
      <c r="A23" s="427" t="s">
        <v>250</v>
      </c>
      <c r="B23" s="427">
        <v>2</v>
      </c>
      <c r="C23" s="427">
        <v>2</v>
      </c>
      <c r="D23" s="427">
        <v>6</v>
      </c>
      <c r="E23" s="427">
        <v>1</v>
      </c>
      <c r="F23" s="427">
        <v>5</v>
      </c>
      <c r="G23" s="427">
        <f t="shared" ref="G23:G30" si="8">SUM(B23:F23)</f>
        <v>16</v>
      </c>
      <c r="H23" s="428">
        <f t="shared" ref="H23:H30" si="9">G23/$G$14</f>
        <v>0.01</v>
      </c>
      <c r="I23" s="433">
        <f t="shared" ref="I23:I31" si="10">G23/5</f>
        <v>3.2</v>
      </c>
      <c r="K23" s="427" t="s">
        <v>263</v>
      </c>
      <c r="L23" s="427">
        <v>55</v>
      </c>
      <c r="M23" s="427">
        <v>51</v>
      </c>
      <c r="N23" s="427">
        <v>61</v>
      </c>
      <c r="O23" s="427">
        <v>40</v>
      </c>
      <c r="P23" s="427">
        <v>77</v>
      </c>
      <c r="Q23" s="427">
        <f t="shared" ref="Q23:Q24" si="11">SUM(L23:P23)</f>
        <v>284</v>
      </c>
      <c r="R23" s="428">
        <f t="shared" ref="R23:R24" si="12">Q23/$Q$25</f>
        <v>0.21662852784134248</v>
      </c>
      <c r="S23" s="433">
        <f t="shared" ref="S23:S24" si="13">Q23/5</f>
        <v>56.8</v>
      </c>
    </row>
    <row r="24" spans="1:19" x14ac:dyDescent="0.25">
      <c r="A24" s="427" t="s">
        <v>251</v>
      </c>
      <c r="B24" s="427">
        <v>39</v>
      </c>
      <c r="C24" s="427">
        <v>27</v>
      </c>
      <c r="D24" s="427">
        <v>39</v>
      </c>
      <c r="E24" s="427">
        <v>43</v>
      </c>
      <c r="F24" s="427">
        <v>81</v>
      </c>
      <c r="G24" s="427">
        <f t="shared" si="8"/>
        <v>229</v>
      </c>
      <c r="H24" s="428">
        <f t="shared" si="9"/>
        <v>0.143125</v>
      </c>
      <c r="I24" s="433">
        <f t="shared" si="10"/>
        <v>45.8</v>
      </c>
      <c r="K24" s="427" t="s">
        <v>264</v>
      </c>
      <c r="L24" s="427">
        <v>0</v>
      </c>
      <c r="M24" s="427">
        <v>0</v>
      </c>
      <c r="N24" s="427">
        <v>1</v>
      </c>
      <c r="O24" s="427">
        <v>0</v>
      </c>
      <c r="P24" s="427">
        <v>0</v>
      </c>
      <c r="Q24" s="427">
        <f t="shared" si="11"/>
        <v>1</v>
      </c>
      <c r="R24" s="428">
        <f t="shared" si="12"/>
        <v>7.6277650648360034E-4</v>
      </c>
      <c r="S24" s="433">
        <f t="shared" si="13"/>
        <v>0.2</v>
      </c>
    </row>
    <row r="25" spans="1:19" x14ac:dyDescent="0.25">
      <c r="A25" s="427" t="s">
        <v>269</v>
      </c>
      <c r="B25" s="427">
        <v>34</v>
      </c>
      <c r="C25" s="427">
        <v>31</v>
      </c>
      <c r="D25" s="427">
        <v>55</v>
      </c>
      <c r="E25" s="427">
        <v>53</v>
      </c>
      <c r="F25" s="427">
        <v>116</v>
      </c>
      <c r="G25" s="427">
        <f t="shared" si="8"/>
        <v>289</v>
      </c>
      <c r="H25" s="428">
        <f t="shared" si="9"/>
        <v>0.18062500000000001</v>
      </c>
      <c r="I25" s="433">
        <f t="shared" si="10"/>
        <v>57.8</v>
      </c>
      <c r="K25" s="430" t="s">
        <v>265</v>
      </c>
      <c r="L25" s="430">
        <f>SUM(L22:L24)</f>
        <v>174</v>
      </c>
      <c r="M25" s="430">
        <f t="shared" ref="M25" si="14">SUM(M22:M24)</f>
        <v>170</v>
      </c>
      <c r="N25" s="430">
        <f t="shared" ref="N25" si="15">SUM(N22:N24)</f>
        <v>224</v>
      </c>
      <c r="O25" s="430">
        <f t="shared" ref="O25" si="16">SUM(O22:O24)</f>
        <v>243</v>
      </c>
      <c r="P25" s="430">
        <f t="shared" ref="P25" si="17">SUM(P22:P24)</f>
        <v>500</v>
      </c>
      <c r="Q25" s="430">
        <f t="shared" ref="Q25" si="18">SUM(Q22:Q24)</f>
        <v>1311</v>
      </c>
      <c r="R25" s="434">
        <f t="shared" ref="R25:S25" si="19">SUM(R22:R24)</f>
        <v>1</v>
      </c>
      <c r="S25" s="430">
        <f t="shared" si="19"/>
        <v>262.2</v>
      </c>
    </row>
    <row r="26" spans="1:19" x14ac:dyDescent="0.25">
      <c r="A26" s="426" t="s">
        <v>253</v>
      </c>
      <c r="B26" s="427">
        <v>2</v>
      </c>
      <c r="C26" s="427">
        <v>1</v>
      </c>
      <c r="D26" s="427">
        <v>0</v>
      </c>
      <c r="E26" s="427">
        <v>0</v>
      </c>
      <c r="F26" s="427">
        <v>1</v>
      </c>
      <c r="G26" s="427">
        <f t="shared" si="8"/>
        <v>4</v>
      </c>
      <c r="H26" s="428">
        <f t="shared" si="9"/>
        <v>2.5000000000000001E-3</v>
      </c>
      <c r="I26" s="433">
        <f t="shared" si="10"/>
        <v>0.8</v>
      </c>
    </row>
    <row r="27" spans="1:19" x14ac:dyDescent="0.25">
      <c r="A27" s="427" t="s">
        <v>254</v>
      </c>
      <c r="B27" s="427">
        <v>1</v>
      </c>
      <c r="C27" s="427">
        <v>0</v>
      </c>
      <c r="D27" s="427">
        <v>1</v>
      </c>
      <c r="E27" s="427">
        <v>0</v>
      </c>
      <c r="F27" s="427">
        <v>1</v>
      </c>
      <c r="G27" s="427">
        <f t="shared" si="8"/>
        <v>3</v>
      </c>
      <c r="H27" s="428">
        <f t="shared" si="9"/>
        <v>1.8749999999999999E-3</v>
      </c>
      <c r="I27" s="433">
        <f t="shared" si="10"/>
        <v>0.6</v>
      </c>
    </row>
    <row r="28" spans="1:19" x14ac:dyDescent="0.25">
      <c r="A28" s="427" t="s">
        <v>255</v>
      </c>
      <c r="B28" s="427">
        <v>1</v>
      </c>
      <c r="C28" s="427">
        <v>0</v>
      </c>
      <c r="D28" s="427">
        <v>0</v>
      </c>
      <c r="E28" s="427">
        <v>0</v>
      </c>
      <c r="F28" s="427">
        <v>1</v>
      </c>
      <c r="G28" s="427">
        <f t="shared" si="8"/>
        <v>2</v>
      </c>
      <c r="H28" s="428">
        <f t="shared" si="9"/>
        <v>1.25E-3</v>
      </c>
      <c r="I28" s="433">
        <f t="shared" si="10"/>
        <v>0.4</v>
      </c>
    </row>
    <row r="29" spans="1:19" x14ac:dyDescent="0.25">
      <c r="A29" s="427" t="s">
        <v>256</v>
      </c>
      <c r="B29" s="427">
        <v>6</v>
      </c>
      <c r="C29" s="427">
        <v>7</v>
      </c>
      <c r="D29" s="427">
        <v>12</v>
      </c>
      <c r="E29" s="427">
        <v>18</v>
      </c>
      <c r="F29" s="427">
        <v>23</v>
      </c>
      <c r="G29" s="427">
        <f t="shared" si="8"/>
        <v>66</v>
      </c>
      <c r="H29" s="428">
        <f t="shared" si="9"/>
        <v>4.1250000000000002E-2</v>
      </c>
      <c r="I29" s="433">
        <f t="shared" si="10"/>
        <v>13.2</v>
      </c>
    </row>
    <row r="30" spans="1:19" x14ac:dyDescent="0.25">
      <c r="A30" s="427" t="s">
        <v>257</v>
      </c>
      <c r="B30" s="427">
        <v>1</v>
      </c>
      <c r="C30" s="427">
        <v>1</v>
      </c>
      <c r="D30" s="427">
        <v>2</v>
      </c>
      <c r="E30" s="427">
        <v>3</v>
      </c>
      <c r="F30" s="427">
        <v>6</v>
      </c>
      <c r="G30" s="427">
        <f t="shared" si="8"/>
        <v>13</v>
      </c>
      <c r="H30" s="428">
        <f t="shared" si="9"/>
        <v>8.1250000000000003E-3</v>
      </c>
      <c r="I30" s="433">
        <f t="shared" si="10"/>
        <v>2.6</v>
      </c>
    </row>
    <row r="31" spans="1:19" x14ac:dyDescent="0.25">
      <c r="A31" s="430" t="s">
        <v>258</v>
      </c>
      <c r="B31" s="430">
        <f>SUM(B22:B30)</f>
        <v>174</v>
      </c>
      <c r="C31" s="430">
        <f t="shared" ref="C31" si="20">SUM(C22:C30)</f>
        <v>170</v>
      </c>
      <c r="D31" s="430">
        <f t="shared" ref="D31" si="21">SUM(D22:D30)</f>
        <v>224</v>
      </c>
      <c r="E31" s="430">
        <f t="shared" ref="E31" si="22">SUM(E22:E30)</f>
        <v>243</v>
      </c>
      <c r="F31" s="430">
        <f t="shared" ref="F31" si="23">SUM(F22:F30)</f>
        <v>500</v>
      </c>
      <c r="G31" s="430">
        <f t="shared" ref="G31" si="24">SUM(G22:G30)</f>
        <v>1311</v>
      </c>
      <c r="H31" s="431">
        <f>SUM(H22:H30)</f>
        <v>0.81937499999999996</v>
      </c>
      <c r="I31" s="430">
        <f t="shared" si="10"/>
        <v>262.2</v>
      </c>
    </row>
    <row r="35" spans="1:19" x14ac:dyDescent="0.25">
      <c r="A35" s="425" t="s">
        <v>271</v>
      </c>
      <c r="K35" s="425" t="s">
        <v>272</v>
      </c>
    </row>
    <row r="36" spans="1:19" ht="15" customHeight="1" x14ac:dyDescent="0.25">
      <c r="A36" s="539" t="s">
        <v>248</v>
      </c>
      <c r="B36" s="539" t="s">
        <v>261</v>
      </c>
      <c r="C36" s="539"/>
      <c r="D36" s="539"/>
      <c r="E36" s="539"/>
      <c r="F36" s="539"/>
      <c r="G36" s="539" t="s">
        <v>259</v>
      </c>
      <c r="H36" s="539" t="s">
        <v>260</v>
      </c>
      <c r="I36" s="539" t="s">
        <v>273</v>
      </c>
      <c r="K36" s="540" t="s">
        <v>248</v>
      </c>
      <c r="L36" s="543" t="s">
        <v>261</v>
      </c>
      <c r="M36" s="544"/>
      <c r="N36" s="544"/>
      <c r="O36" s="544"/>
      <c r="P36" s="545"/>
      <c r="Q36" s="540" t="s">
        <v>259</v>
      </c>
      <c r="R36" s="540" t="s">
        <v>260</v>
      </c>
      <c r="S36" s="539" t="s">
        <v>273</v>
      </c>
    </row>
    <row r="37" spans="1:19" x14ac:dyDescent="0.25">
      <c r="A37" s="539"/>
      <c r="B37" s="539" t="s">
        <v>99</v>
      </c>
      <c r="C37" s="539"/>
      <c r="D37" s="539"/>
      <c r="E37" s="539"/>
      <c r="F37" s="539"/>
      <c r="G37" s="539"/>
      <c r="H37" s="539"/>
      <c r="I37" s="539"/>
      <c r="K37" s="541"/>
      <c r="L37" s="543" t="s">
        <v>99</v>
      </c>
      <c r="M37" s="544"/>
      <c r="N37" s="544"/>
      <c r="O37" s="544"/>
      <c r="P37" s="545"/>
      <c r="Q37" s="541"/>
      <c r="R37" s="541"/>
      <c r="S37" s="539"/>
    </row>
    <row r="38" spans="1:19" x14ac:dyDescent="0.25">
      <c r="A38" s="539"/>
      <c r="B38" s="165">
        <v>2011</v>
      </c>
      <c r="C38" s="165">
        <v>2012</v>
      </c>
      <c r="D38" s="165">
        <v>2013</v>
      </c>
      <c r="E38" s="165">
        <v>2014</v>
      </c>
      <c r="F38" s="165">
        <v>2015</v>
      </c>
      <c r="G38" s="539"/>
      <c r="H38" s="539"/>
      <c r="I38" s="539"/>
      <c r="K38" s="542"/>
      <c r="L38" s="165">
        <v>2011</v>
      </c>
      <c r="M38" s="165">
        <v>2012</v>
      </c>
      <c r="N38" s="165">
        <v>2013</v>
      </c>
      <c r="O38" s="165">
        <v>2014</v>
      </c>
      <c r="P38" s="165">
        <v>2015</v>
      </c>
      <c r="Q38" s="542"/>
      <c r="R38" s="542"/>
      <c r="S38" s="539"/>
    </row>
    <row r="39" spans="1:19" x14ac:dyDescent="0.25">
      <c r="A39" s="427" t="s">
        <v>268</v>
      </c>
      <c r="B39" s="427">
        <v>3</v>
      </c>
      <c r="C39" s="427">
        <v>1</v>
      </c>
      <c r="D39" s="427">
        <v>4</v>
      </c>
      <c r="E39" s="427">
        <v>3</v>
      </c>
      <c r="F39" s="427">
        <v>2</v>
      </c>
      <c r="G39" s="427">
        <f>SUM(B39:F39)</f>
        <v>13</v>
      </c>
      <c r="H39" s="428">
        <f>G39/$G$14</f>
        <v>8.1250000000000003E-3</v>
      </c>
      <c r="I39" s="433">
        <f>G39/5</f>
        <v>2.6</v>
      </c>
      <c r="K39" s="427" t="s">
        <v>266</v>
      </c>
      <c r="L39" s="427">
        <v>2</v>
      </c>
      <c r="M39" s="427">
        <v>4</v>
      </c>
      <c r="N39" s="427">
        <v>5</v>
      </c>
      <c r="O39" s="427">
        <v>10</v>
      </c>
      <c r="P39" s="427">
        <v>15</v>
      </c>
      <c r="Q39" s="427">
        <f>SUM(L39:P39)</f>
        <v>36</v>
      </c>
      <c r="R39" s="428">
        <f>Q39/$Q$42</f>
        <v>0.69230769230769229</v>
      </c>
      <c r="S39" s="433">
        <f>Q39/5</f>
        <v>7.2</v>
      </c>
    </row>
    <row r="40" spans="1:19" x14ac:dyDescent="0.25">
      <c r="A40" s="427" t="s">
        <v>250</v>
      </c>
      <c r="B40" s="427">
        <v>0</v>
      </c>
      <c r="C40" s="427">
        <v>0</v>
      </c>
      <c r="D40" s="427">
        <v>3</v>
      </c>
      <c r="E40" s="427">
        <v>1</v>
      </c>
      <c r="F40" s="427">
        <v>1</v>
      </c>
      <c r="G40" s="427">
        <f t="shared" ref="G40:G47" si="25">SUM(B40:F40)</f>
        <v>5</v>
      </c>
      <c r="H40" s="428">
        <f t="shared" ref="H40:H47" si="26">G40/$G$14</f>
        <v>3.1250000000000002E-3</v>
      </c>
      <c r="I40" s="433">
        <f t="shared" ref="I40:I48" si="27">G40/5</f>
        <v>1</v>
      </c>
      <c r="K40" s="427" t="s">
        <v>263</v>
      </c>
      <c r="L40" s="427">
        <v>2</v>
      </c>
      <c r="M40" s="427">
        <v>3</v>
      </c>
      <c r="N40" s="427">
        <v>6</v>
      </c>
      <c r="O40" s="427">
        <v>4</v>
      </c>
      <c r="P40" s="427">
        <v>1</v>
      </c>
      <c r="Q40" s="427">
        <f t="shared" ref="Q40:Q41" si="28">SUM(L40:P40)</f>
        <v>16</v>
      </c>
      <c r="R40" s="428">
        <f t="shared" ref="R40:R41" si="29">Q40/$Q$42</f>
        <v>0.30769230769230771</v>
      </c>
      <c r="S40" s="433">
        <f t="shared" ref="S40:S41" si="30">Q40/5</f>
        <v>3.2</v>
      </c>
    </row>
    <row r="41" spans="1:19" x14ac:dyDescent="0.25">
      <c r="A41" s="427" t="s">
        <v>251</v>
      </c>
      <c r="B41" s="427">
        <v>1</v>
      </c>
      <c r="C41" s="427">
        <v>3</v>
      </c>
      <c r="D41" s="427">
        <v>2</v>
      </c>
      <c r="E41" s="427">
        <v>2</v>
      </c>
      <c r="F41" s="427">
        <v>5</v>
      </c>
      <c r="G41" s="427">
        <f t="shared" si="25"/>
        <v>13</v>
      </c>
      <c r="H41" s="428">
        <f t="shared" si="26"/>
        <v>8.1250000000000003E-3</v>
      </c>
      <c r="I41" s="433">
        <f t="shared" si="27"/>
        <v>2.6</v>
      </c>
      <c r="K41" s="427" t="s">
        <v>264</v>
      </c>
      <c r="L41" s="427">
        <v>0</v>
      </c>
      <c r="M41" s="427">
        <v>0</v>
      </c>
      <c r="N41" s="427">
        <v>0</v>
      </c>
      <c r="O41" s="427">
        <v>0</v>
      </c>
      <c r="P41" s="427">
        <v>0</v>
      </c>
      <c r="Q41" s="427">
        <f t="shared" si="28"/>
        <v>0</v>
      </c>
      <c r="R41" s="428">
        <f t="shared" si="29"/>
        <v>0</v>
      </c>
      <c r="S41" s="433">
        <f t="shared" si="30"/>
        <v>0</v>
      </c>
    </row>
    <row r="42" spans="1:19" x14ac:dyDescent="0.25">
      <c r="A42" s="427" t="s">
        <v>269</v>
      </c>
      <c r="B42" s="427">
        <v>0</v>
      </c>
      <c r="C42" s="427">
        <v>3</v>
      </c>
      <c r="D42" s="427">
        <v>2</v>
      </c>
      <c r="E42" s="427">
        <v>4</v>
      </c>
      <c r="F42" s="427">
        <v>4</v>
      </c>
      <c r="G42" s="427">
        <f t="shared" si="25"/>
        <v>13</v>
      </c>
      <c r="H42" s="428">
        <f t="shared" si="26"/>
        <v>8.1250000000000003E-3</v>
      </c>
      <c r="I42" s="433">
        <f t="shared" si="27"/>
        <v>2.6</v>
      </c>
      <c r="K42" s="430" t="s">
        <v>265</v>
      </c>
      <c r="L42" s="430">
        <f>SUM(L39:L41)</f>
        <v>4</v>
      </c>
      <c r="M42" s="430">
        <f t="shared" ref="M42" si="31">SUM(M39:M41)</f>
        <v>7</v>
      </c>
      <c r="N42" s="430">
        <f t="shared" ref="N42" si="32">SUM(N39:N41)</f>
        <v>11</v>
      </c>
      <c r="O42" s="430">
        <f t="shared" ref="O42" si="33">SUM(O39:O41)</f>
        <v>14</v>
      </c>
      <c r="P42" s="430">
        <f t="shared" ref="P42" si="34">SUM(P39:P41)</f>
        <v>16</v>
      </c>
      <c r="Q42" s="430">
        <f t="shared" ref="Q42" si="35">SUM(Q39:Q41)</f>
        <v>52</v>
      </c>
      <c r="R42" s="434">
        <f t="shared" ref="R42:S42" si="36">SUM(R39:R41)</f>
        <v>1</v>
      </c>
      <c r="S42" s="430">
        <f t="shared" si="36"/>
        <v>10.4</v>
      </c>
    </row>
    <row r="43" spans="1:19" x14ac:dyDescent="0.25">
      <c r="A43" s="426" t="s">
        <v>253</v>
      </c>
      <c r="B43" s="427">
        <v>0</v>
      </c>
      <c r="C43" s="427">
        <v>0</v>
      </c>
      <c r="D43" s="427">
        <v>0</v>
      </c>
      <c r="E43" s="427">
        <v>0</v>
      </c>
      <c r="F43" s="427">
        <v>2</v>
      </c>
      <c r="G43" s="427">
        <f t="shared" si="25"/>
        <v>2</v>
      </c>
      <c r="H43" s="428">
        <f t="shared" si="26"/>
        <v>1.25E-3</v>
      </c>
      <c r="I43" s="433">
        <f t="shared" si="27"/>
        <v>0.4</v>
      </c>
    </row>
    <row r="44" spans="1:19" x14ac:dyDescent="0.25">
      <c r="A44" s="427" t="s">
        <v>254</v>
      </c>
      <c r="B44" s="427">
        <v>0</v>
      </c>
      <c r="C44" s="427">
        <v>0</v>
      </c>
      <c r="D44" s="427">
        <v>0</v>
      </c>
      <c r="E44" s="427">
        <v>1</v>
      </c>
      <c r="F44" s="427">
        <v>0</v>
      </c>
      <c r="G44" s="427">
        <f t="shared" si="25"/>
        <v>1</v>
      </c>
      <c r="H44" s="428">
        <f t="shared" si="26"/>
        <v>6.2500000000000001E-4</v>
      </c>
      <c r="I44" s="433">
        <f t="shared" si="27"/>
        <v>0.2</v>
      </c>
    </row>
    <row r="45" spans="1:19" x14ac:dyDescent="0.25">
      <c r="A45" s="427" t="s">
        <v>255</v>
      </c>
      <c r="B45" s="427">
        <v>0</v>
      </c>
      <c r="C45" s="427">
        <v>0</v>
      </c>
      <c r="D45" s="427">
        <v>0</v>
      </c>
      <c r="E45" s="427">
        <v>0</v>
      </c>
      <c r="F45" s="427">
        <v>0</v>
      </c>
      <c r="G45" s="427">
        <f t="shared" si="25"/>
        <v>0</v>
      </c>
      <c r="H45" s="428">
        <f t="shared" si="26"/>
        <v>0</v>
      </c>
      <c r="I45" s="433">
        <f t="shared" si="27"/>
        <v>0</v>
      </c>
    </row>
    <row r="46" spans="1:19" x14ac:dyDescent="0.25">
      <c r="A46" s="427" t="s">
        <v>256</v>
      </c>
      <c r="B46" s="427">
        <v>0</v>
      </c>
      <c r="C46" s="427">
        <v>0</v>
      </c>
      <c r="D46" s="427">
        <v>0</v>
      </c>
      <c r="E46" s="427">
        <v>3</v>
      </c>
      <c r="F46" s="427">
        <v>2</v>
      </c>
      <c r="G46" s="427">
        <f t="shared" si="25"/>
        <v>5</v>
      </c>
      <c r="H46" s="428">
        <f t="shared" si="26"/>
        <v>3.1250000000000002E-3</v>
      </c>
      <c r="I46" s="433">
        <f t="shared" si="27"/>
        <v>1</v>
      </c>
    </row>
    <row r="47" spans="1:19" x14ac:dyDescent="0.25">
      <c r="A47" s="427" t="s">
        <v>257</v>
      </c>
      <c r="B47" s="427">
        <v>0</v>
      </c>
      <c r="C47" s="427">
        <v>0</v>
      </c>
      <c r="D47" s="427">
        <v>0</v>
      </c>
      <c r="E47" s="427">
        <v>0</v>
      </c>
      <c r="F47" s="427">
        <v>0</v>
      </c>
      <c r="G47" s="427">
        <f t="shared" si="25"/>
        <v>0</v>
      </c>
      <c r="H47" s="428">
        <f t="shared" si="26"/>
        <v>0</v>
      </c>
      <c r="I47" s="433">
        <f t="shared" si="27"/>
        <v>0</v>
      </c>
    </row>
    <row r="48" spans="1:19" x14ac:dyDescent="0.25">
      <c r="A48" s="430" t="s">
        <v>258</v>
      </c>
      <c r="B48" s="430">
        <f>SUM(B39:B47)</f>
        <v>4</v>
      </c>
      <c r="C48" s="430">
        <f t="shared" ref="C48" si="37">SUM(C39:C47)</f>
        <v>7</v>
      </c>
      <c r="D48" s="430">
        <f t="shared" ref="D48" si="38">SUM(D39:D47)</f>
        <v>11</v>
      </c>
      <c r="E48" s="430">
        <f t="shared" ref="E48" si="39">SUM(E39:E47)</f>
        <v>14</v>
      </c>
      <c r="F48" s="430">
        <f t="shared" ref="F48" si="40">SUM(F39:F47)</f>
        <v>16</v>
      </c>
      <c r="G48" s="430">
        <f t="shared" ref="G48" si="41">SUM(G39:G47)</f>
        <v>52</v>
      </c>
      <c r="H48" s="431">
        <f>SUM(H39:H47)</f>
        <v>3.2500000000000001E-2</v>
      </c>
      <c r="I48" s="430">
        <f t="shared" si="27"/>
        <v>10.4</v>
      </c>
    </row>
  </sheetData>
  <mergeCells count="37">
    <mergeCell ref="K2:K4"/>
    <mergeCell ref="Q2:Q4"/>
    <mergeCell ref="R2:R4"/>
    <mergeCell ref="A1:I1"/>
    <mergeCell ref="A2:A4"/>
    <mergeCell ref="B2:F2"/>
    <mergeCell ref="B3:F3"/>
    <mergeCell ref="G2:G4"/>
    <mergeCell ref="H2:H4"/>
    <mergeCell ref="I2:I4"/>
    <mergeCell ref="A19:A21"/>
    <mergeCell ref="B19:F19"/>
    <mergeCell ref="G19:G21"/>
    <mergeCell ref="H19:H21"/>
    <mergeCell ref="I19:I21"/>
    <mergeCell ref="B20:F20"/>
    <mergeCell ref="A36:A38"/>
    <mergeCell ref="B36:F36"/>
    <mergeCell ref="G36:G38"/>
    <mergeCell ref="H36:H38"/>
    <mergeCell ref="I36:I38"/>
    <mergeCell ref="S2:S4"/>
    <mergeCell ref="S19:S21"/>
    <mergeCell ref="S36:S38"/>
    <mergeCell ref="B37:F37"/>
    <mergeCell ref="K36:K38"/>
    <mergeCell ref="L36:P36"/>
    <mergeCell ref="Q36:Q38"/>
    <mergeCell ref="R36:R38"/>
    <mergeCell ref="L37:P37"/>
    <mergeCell ref="K19:K21"/>
    <mergeCell ref="L19:P19"/>
    <mergeCell ref="Q19:Q21"/>
    <mergeCell ref="R19:R21"/>
    <mergeCell ref="L20:P20"/>
    <mergeCell ref="L2:P2"/>
    <mergeCell ref="L3:P3"/>
  </mergeCells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2"/>
  <dimension ref="B1:BD17"/>
  <sheetViews>
    <sheetView zoomScaleNormal="100" workbookViewId="0">
      <selection activeCell="G7" sqref="G7"/>
    </sheetView>
  </sheetViews>
  <sheetFormatPr defaultColWidth="9.140625" defaultRowHeight="11.25" x14ac:dyDescent="0.2"/>
  <cols>
    <col min="1" max="1" width="2.5703125" style="1" customWidth="1"/>
    <col min="2" max="2" width="3.5703125" style="1" customWidth="1"/>
    <col min="3" max="3" width="35.5703125" style="1" customWidth="1"/>
    <col min="4" max="4" width="11.5703125" style="1" hidden="1" customWidth="1"/>
    <col min="5" max="6" width="11.42578125" style="1" hidden="1" customWidth="1"/>
    <col min="7" max="19" width="8.42578125" style="1" customWidth="1"/>
    <col min="20" max="39" width="9.140625" style="1" customWidth="1"/>
    <col min="40" max="53" width="10.5703125" style="1" customWidth="1"/>
    <col min="54" max="16384" width="9.140625" style="1"/>
  </cols>
  <sheetData>
    <row r="1" spans="2:56" ht="16.5" x14ac:dyDescent="0.2">
      <c r="B1" s="11" t="s">
        <v>69</v>
      </c>
      <c r="M1" s="1" t="s">
        <v>4</v>
      </c>
    </row>
    <row r="2" spans="2:56" ht="18" x14ac:dyDescent="0.2">
      <c r="B2" s="10" t="str">
        <f>Inputs!C1</f>
        <v>US 27 PALMETTO Project</v>
      </c>
    </row>
    <row r="3" spans="2:56" ht="16.5" x14ac:dyDescent="0.2">
      <c r="B3" s="11" t="s">
        <v>60</v>
      </c>
    </row>
    <row r="4" spans="2:56" ht="9.75" customHeight="1" x14ac:dyDescent="0.2">
      <c r="B4" s="2"/>
    </row>
    <row r="5" spans="2:56" x14ac:dyDescent="0.2">
      <c r="B5" s="5"/>
      <c r="C5" s="5"/>
      <c r="D5" s="14">
        <v>2009</v>
      </c>
      <c r="E5" s="14">
        <v>2010</v>
      </c>
      <c r="F5" s="14">
        <v>2011</v>
      </c>
      <c r="G5" s="13">
        <f>Inputs!C9</f>
        <v>2022</v>
      </c>
      <c r="H5" s="13">
        <f t="shared" ref="H5:AI5" si="0">G5+1</f>
        <v>2023</v>
      </c>
      <c r="I5" s="13">
        <f t="shared" si="0"/>
        <v>2024</v>
      </c>
      <c r="J5" s="13">
        <f t="shared" si="0"/>
        <v>2025</v>
      </c>
      <c r="K5" s="13">
        <f t="shared" si="0"/>
        <v>2026</v>
      </c>
      <c r="L5" s="13">
        <f t="shared" si="0"/>
        <v>2027</v>
      </c>
      <c r="M5" s="13">
        <f t="shared" si="0"/>
        <v>2028</v>
      </c>
      <c r="N5" s="13">
        <f t="shared" si="0"/>
        <v>2029</v>
      </c>
      <c r="O5" s="13">
        <f t="shared" si="0"/>
        <v>2030</v>
      </c>
      <c r="P5" s="13">
        <f t="shared" si="0"/>
        <v>2031</v>
      </c>
      <c r="Q5" s="13">
        <f t="shared" si="0"/>
        <v>2032</v>
      </c>
      <c r="R5" s="13">
        <f t="shared" si="0"/>
        <v>2033</v>
      </c>
      <c r="S5" s="13">
        <f t="shared" si="0"/>
        <v>2034</v>
      </c>
      <c r="T5" s="13">
        <f t="shared" si="0"/>
        <v>2035</v>
      </c>
      <c r="U5" s="13">
        <f t="shared" si="0"/>
        <v>2036</v>
      </c>
      <c r="V5" s="13">
        <f t="shared" si="0"/>
        <v>2037</v>
      </c>
      <c r="W5" s="13">
        <f t="shared" si="0"/>
        <v>2038</v>
      </c>
      <c r="X5" s="13">
        <f t="shared" si="0"/>
        <v>2039</v>
      </c>
      <c r="Y5" s="13">
        <f t="shared" si="0"/>
        <v>2040</v>
      </c>
      <c r="Z5" s="13">
        <f t="shared" si="0"/>
        <v>2041</v>
      </c>
      <c r="AA5" s="13">
        <f t="shared" si="0"/>
        <v>2042</v>
      </c>
      <c r="AB5" s="13">
        <f t="shared" si="0"/>
        <v>2043</v>
      </c>
      <c r="AC5" s="13">
        <f t="shared" si="0"/>
        <v>2044</v>
      </c>
      <c r="AD5" s="13">
        <f t="shared" si="0"/>
        <v>2045</v>
      </c>
      <c r="AE5" s="13">
        <f t="shared" si="0"/>
        <v>2046</v>
      </c>
      <c r="AF5" s="13">
        <f t="shared" si="0"/>
        <v>2047</v>
      </c>
      <c r="AG5" s="13">
        <f t="shared" si="0"/>
        <v>2048</v>
      </c>
      <c r="AH5" s="13">
        <f t="shared" si="0"/>
        <v>2049</v>
      </c>
      <c r="AI5" s="13">
        <f t="shared" si="0"/>
        <v>2050</v>
      </c>
      <c r="AJ5" s="13">
        <v>2041</v>
      </c>
      <c r="AK5" s="13">
        <v>2042</v>
      </c>
      <c r="AL5" s="13">
        <f>AK5+1</f>
        <v>2043</v>
      </c>
      <c r="AM5" s="13">
        <f>AL5+1</f>
        <v>2044</v>
      </c>
      <c r="AN5" s="13">
        <f t="shared" ref="AN5:BD5" si="1">AM5+1</f>
        <v>2045</v>
      </c>
      <c r="AO5" s="13">
        <f t="shared" si="1"/>
        <v>2046</v>
      </c>
      <c r="AP5" s="13">
        <f t="shared" si="1"/>
        <v>2047</v>
      </c>
      <c r="AQ5" s="13">
        <f t="shared" si="1"/>
        <v>2048</v>
      </c>
      <c r="AR5" s="13">
        <f t="shared" si="1"/>
        <v>2049</v>
      </c>
      <c r="AS5" s="13">
        <f t="shared" si="1"/>
        <v>2050</v>
      </c>
      <c r="AT5" s="13">
        <f t="shared" si="1"/>
        <v>2051</v>
      </c>
      <c r="AU5" s="13">
        <f t="shared" si="1"/>
        <v>2052</v>
      </c>
      <c r="AV5" s="13">
        <f t="shared" si="1"/>
        <v>2053</v>
      </c>
      <c r="AW5" s="13">
        <f t="shared" si="1"/>
        <v>2054</v>
      </c>
      <c r="AX5" s="13">
        <f t="shared" si="1"/>
        <v>2055</v>
      </c>
      <c r="AY5" s="13">
        <f t="shared" si="1"/>
        <v>2056</v>
      </c>
      <c r="AZ5" s="13">
        <f t="shared" si="1"/>
        <v>2057</v>
      </c>
      <c r="BA5" s="13">
        <f t="shared" si="1"/>
        <v>2058</v>
      </c>
      <c r="BB5" s="13">
        <f t="shared" si="1"/>
        <v>2059</v>
      </c>
      <c r="BC5" s="13">
        <f t="shared" si="1"/>
        <v>2060</v>
      </c>
      <c r="BD5" s="13">
        <f t="shared" si="1"/>
        <v>2061</v>
      </c>
    </row>
    <row r="6" spans="2:56" x14ac:dyDescent="0.2">
      <c r="B6" s="1" t="s">
        <v>59</v>
      </c>
      <c r="D6" s="3"/>
      <c r="E6" s="3"/>
      <c r="F6" s="3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</row>
    <row r="7" spans="2:56" x14ac:dyDescent="0.2">
      <c r="C7" s="1" t="s">
        <v>54</v>
      </c>
      <c r="E7" s="6"/>
      <c r="F7" s="6"/>
      <c r="G7" s="9" t="e">
        <f>#REF!</f>
        <v>#REF!</v>
      </c>
      <c r="H7" s="9" t="e">
        <f>#REF!</f>
        <v>#REF!</v>
      </c>
      <c r="I7" s="9" t="e">
        <f>#REF!</f>
        <v>#REF!</v>
      </c>
      <c r="J7" s="9" t="e">
        <f>#REF!</f>
        <v>#REF!</v>
      </c>
      <c r="K7" s="9" t="e">
        <f>#REF!</f>
        <v>#REF!</v>
      </c>
      <c r="L7" s="9" t="e">
        <f>#REF!</f>
        <v>#REF!</v>
      </c>
      <c r="M7" s="9" t="e">
        <f>#REF!</f>
        <v>#REF!</v>
      </c>
      <c r="N7" s="9" t="e">
        <f>#REF!</f>
        <v>#REF!</v>
      </c>
      <c r="O7" s="9" t="e">
        <f>#REF!</f>
        <v>#REF!</v>
      </c>
      <c r="P7" s="9" t="e">
        <f>#REF!</f>
        <v>#REF!</v>
      </c>
      <c r="Q7" s="9" t="e">
        <f>#REF!</f>
        <v>#REF!</v>
      </c>
      <c r="R7" s="9" t="e">
        <f>#REF!</f>
        <v>#REF!</v>
      </c>
      <c r="S7" s="9" t="e">
        <f>#REF!</f>
        <v>#REF!</v>
      </c>
      <c r="T7" s="9" t="e">
        <f>#REF!</f>
        <v>#REF!</v>
      </c>
      <c r="U7" s="9" t="e">
        <f>#REF!</f>
        <v>#REF!</v>
      </c>
      <c r="V7" s="9" t="e">
        <f>#REF!</f>
        <v>#REF!</v>
      </c>
      <c r="W7" s="9" t="e">
        <f>#REF!</f>
        <v>#REF!</v>
      </c>
      <c r="X7" s="9" t="e">
        <f>#REF!</f>
        <v>#REF!</v>
      </c>
      <c r="Y7" s="9" t="e">
        <f>#REF!</f>
        <v>#REF!</v>
      </c>
      <c r="Z7" s="9" t="e">
        <f>#REF!</f>
        <v>#REF!</v>
      </c>
      <c r="AA7" s="9" t="e">
        <f>#REF!</f>
        <v>#REF!</v>
      </c>
      <c r="AB7" s="9" t="e">
        <f>#REF!</f>
        <v>#REF!</v>
      </c>
      <c r="AC7" s="9" t="e">
        <f>#REF!</f>
        <v>#REF!</v>
      </c>
      <c r="AD7" s="9" t="e">
        <f>#REF!</f>
        <v>#REF!</v>
      </c>
      <c r="AE7" s="9" t="e">
        <f>#REF!</f>
        <v>#REF!</v>
      </c>
      <c r="AF7" s="9" t="e">
        <f>#REF!</f>
        <v>#REF!</v>
      </c>
      <c r="AG7" s="9" t="e">
        <f>#REF!</f>
        <v>#REF!</v>
      </c>
      <c r="AH7" s="9" t="e">
        <f>#REF!</f>
        <v>#REF!</v>
      </c>
      <c r="AI7" s="9" t="e">
        <f>#REF!</f>
        <v>#REF!</v>
      </c>
      <c r="AJ7" s="9" t="e">
        <f>#REF!</f>
        <v>#REF!</v>
      </c>
      <c r="AK7" s="9" t="e">
        <f>#REF!</f>
        <v>#REF!</v>
      </c>
      <c r="AL7" s="9" t="e">
        <f>#REF!</f>
        <v>#REF!</v>
      </c>
      <c r="AM7" s="9" t="e">
        <f>#REF!</f>
        <v>#REF!</v>
      </c>
      <c r="AN7" s="9" t="e">
        <f>#REF!</f>
        <v>#REF!</v>
      </c>
      <c r="AO7" s="9" t="e">
        <f>#REF!</f>
        <v>#REF!</v>
      </c>
      <c r="AP7" s="9" t="e">
        <f>#REF!</f>
        <v>#REF!</v>
      </c>
      <c r="AQ7" s="9" t="e">
        <f>#REF!</f>
        <v>#REF!</v>
      </c>
      <c r="AR7" s="9" t="e">
        <f>#REF!</f>
        <v>#REF!</v>
      </c>
      <c r="AS7" s="9" t="e">
        <f>#REF!</f>
        <v>#REF!</v>
      </c>
      <c r="AT7" s="9" t="e">
        <f>#REF!</f>
        <v>#REF!</v>
      </c>
      <c r="AU7" s="9" t="e">
        <f>#REF!</f>
        <v>#REF!</v>
      </c>
      <c r="AV7" s="9" t="e">
        <f>#REF!</f>
        <v>#REF!</v>
      </c>
      <c r="AW7" s="9" t="e">
        <f>#REF!</f>
        <v>#REF!</v>
      </c>
      <c r="AX7" s="9" t="e">
        <f>#REF!</f>
        <v>#REF!</v>
      </c>
      <c r="AY7" s="9" t="e">
        <f>#REF!</f>
        <v>#REF!</v>
      </c>
      <c r="AZ7" s="9" t="e">
        <f>#REF!</f>
        <v>#REF!</v>
      </c>
      <c r="BA7" s="9" t="e">
        <f>#REF!</f>
        <v>#REF!</v>
      </c>
      <c r="BB7" s="9" t="e">
        <f>#REF!</f>
        <v>#REF!</v>
      </c>
      <c r="BC7" s="9" t="e">
        <f>#REF!</f>
        <v>#REF!</v>
      </c>
      <c r="BD7" s="9" t="e">
        <f>#REF!</f>
        <v>#REF!</v>
      </c>
    </row>
    <row r="8" spans="2:56" x14ac:dyDescent="0.2">
      <c r="C8" s="1" t="s">
        <v>55</v>
      </c>
      <c r="E8" s="6"/>
      <c r="F8" s="6"/>
      <c r="G8" s="9" t="e">
        <f>#REF!</f>
        <v>#REF!</v>
      </c>
      <c r="H8" s="9" t="e">
        <f>#REF!</f>
        <v>#REF!</v>
      </c>
      <c r="I8" s="9" t="e">
        <f>#REF!</f>
        <v>#REF!</v>
      </c>
      <c r="J8" s="9" t="e">
        <f>#REF!</f>
        <v>#REF!</v>
      </c>
      <c r="K8" s="9" t="e">
        <f>#REF!</f>
        <v>#REF!</v>
      </c>
      <c r="L8" s="9" t="e">
        <f>#REF!</f>
        <v>#REF!</v>
      </c>
      <c r="M8" s="9" t="e">
        <f>#REF!</f>
        <v>#REF!</v>
      </c>
      <c r="N8" s="9" t="e">
        <f>#REF!</f>
        <v>#REF!</v>
      </c>
      <c r="O8" s="9" t="e">
        <f>#REF!</f>
        <v>#REF!</v>
      </c>
      <c r="P8" s="9" t="e">
        <f>#REF!</f>
        <v>#REF!</v>
      </c>
      <c r="Q8" s="9" t="e">
        <f>#REF!</f>
        <v>#REF!</v>
      </c>
      <c r="R8" s="9" t="e">
        <f>#REF!</f>
        <v>#REF!</v>
      </c>
      <c r="S8" s="9" t="e">
        <f>#REF!</f>
        <v>#REF!</v>
      </c>
      <c r="T8" s="9" t="e">
        <f>#REF!</f>
        <v>#REF!</v>
      </c>
      <c r="U8" s="9" t="e">
        <f>#REF!</f>
        <v>#REF!</v>
      </c>
      <c r="V8" s="9" t="e">
        <f>#REF!</f>
        <v>#REF!</v>
      </c>
      <c r="W8" s="9" t="e">
        <f>#REF!</f>
        <v>#REF!</v>
      </c>
      <c r="X8" s="9" t="e">
        <f>#REF!</f>
        <v>#REF!</v>
      </c>
      <c r="Y8" s="9" t="e">
        <f>#REF!</f>
        <v>#REF!</v>
      </c>
      <c r="Z8" s="9" t="e">
        <f>#REF!</f>
        <v>#REF!</v>
      </c>
      <c r="AA8" s="9" t="e">
        <f>#REF!</f>
        <v>#REF!</v>
      </c>
      <c r="AB8" s="9" t="e">
        <f>#REF!</f>
        <v>#REF!</v>
      </c>
      <c r="AC8" s="9" t="e">
        <f>#REF!</f>
        <v>#REF!</v>
      </c>
      <c r="AD8" s="9" t="e">
        <f>#REF!</f>
        <v>#REF!</v>
      </c>
      <c r="AE8" s="9" t="e">
        <f>#REF!</f>
        <v>#REF!</v>
      </c>
      <c r="AF8" s="9" t="e">
        <f>#REF!</f>
        <v>#REF!</v>
      </c>
      <c r="AG8" s="9" t="e">
        <f>#REF!</f>
        <v>#REF!</v>
      </c>
      <c r="AH8" s="9" t="e">
        <f>#REF!</f>
        <v>#REF!</v>
      </c>
      <c r="AI8" s="9" t="e">
        <f>#REF!</f>
        <v>#REF!</v>
      </c>
      <c r="AJ8" s="9" t="e">
        <f>#REF!</f>
        <v>#REF!</v>
      </c>
      <c r="AK8" s="9" t="e">
        <f>#REF!</f>
        <v>#REF!</v>
      </c>
      <c r="AL8" s="9" t="e">
        <f>#REF!</f>
        <v>#REF!</v>
      </c>
      <c r="AM8" s="9" t="e">
        <f>#REF!</f>
        <v>#REF!</v>
      </c>
      <c r="AN8" s="9" t="e">
        <f>#REF!</f>
        <v>#REF!</v>
      </c>
      <c r="AO8" s="9" t="e">
        <f>#REF!</f>
        <v>#REF!</v>
      </c>
      <c r="AP8" s="9" t="e">
        <f>#REF!</f>
        <v>#REF!</v>
      </c>
      <c r="AQ8" s="9" t="e">
        <f>#REF!</f>
        <v>#REF!</v>
      </c>
      <c r="AR8" s="9" t="e">
        <f>#REF!</f>
        <v>#REF!</v>
      </c>
      <c r="AS8" s="9" t="e">
        <f>#REF!</f>
        <v>#REF!</v>
      </c>
      <c r="AT8" s="9" t="e">
        <f>#REF!</f>
        <v>#REF!</v>
      </c>
      <c r="AU8" s="9" t="e">
        <f>#REF!</f>
        <v>#REF!</v>
      </c>
      <c r="AV8" s="9" t="e">
        <f>#REF!</f>
        <v>#REF!</v>
      </c>
      <c r="AW8" s="9" t="e">
        <f>#REF!</f>
        <v>#REF!</v>
      </c>
      <c r="AX8" s="9" t="e">
        <f>#REF!</f>
        <v>#REF!</v>
      </c>
      <c r="AY8" s="9" t="e">
        <f>#REF!</f>
        <v>#REF!</v>
      </c>
      <c r="AZ8" s="9" t="e">
        <f>#REF!</f>
        <v>#REF!</v>
      </c>
      <c r="BA8" s="9" t="e">
        <f>#REF!</f>
        <v>#REF!</v>
      </c>
      <c r="BB8" s="9" t="e">
        <f>#REF!</f>
        <v>#REF!</v>
      </c>
      <c r="BC8" s="9" t="e">
        <f>#REF!</f>
        <v>#REF!</v>
      </c>
      <c r="BD8" s="9" t="e">
        <f>#REF!</f>
        <v>#REF!</v>
      </c>
    </row>
    <row r="9" spans="2:56" x14ac:dyDescent="0.2">
      <c r="C9" s="1" t="s">
        <v>56</v>
      </c>
      <c r="E9" s="6"/>
      <c r="F9" s="6"/>
      <c r="G9" s="9" t="e">
        <f>SUM(G7:G8)</f>
        <v>#REF!</v>
      </c>
      <c r="H9" s="9" t="e">
        <f t="shared" ref="H9:AM9" si="2">SUM(H7:H8)</f>
        <v>#REF!</v>
      </c>
      <c r="I9" s="9" t="e">
        <f t="shared" si="2"/>
        <v>#REF!</v>
      </c>
      <c r="J9" s="9" t="e">
        <f t="shared" si="2"/>
        <v>#REF!</v>
      </c>
      <c r="K9" s="9" t="e">
        <f t="shared" si="2"/>
        <v>#REF!</v>
      </c>
      <c r="L9" s="9" t="e">
        <f t="shared" si="2"/>
        <v>#REF!</v>
      </c>
      <c r="M9" s="9" t="e">
        <f t="shared" si="2"/>
        <v>#REF!</v>
      </c>
      <c r="N9" s="9" t="e">
        <f t="shared" si="2"/>
        <v>#REF!</v>
      </c>
      <c r="O9" s="9" t="e">
        <f t="shared" si="2"/>
        <v>#REF!</v>
      </c>
      <c r="P9" s="9" t="e">
        <f t="shared" si="2"/>
        <v>#REF!</v>
      </c>
      <c r="Q9" s="9" t="e">
        <f t="shared" si="2"/>
        <v>#REF!</v>
      </c>
      <c r="R9" s="9" t="e">
        <f t="shared" si="2"/>
        <v>#REF!</v>
      </c>
      <c r="S9" s="9" t="e">
        <f t="shared" si="2"/>
        <v>#REF!</v>
      </c>
      <c r="T9" s="9" t="e">
        <f t="shared" si="2"/>
        <v>#REF!</v>
      </c>
      <c r="U9" s="9" t="e">
        <f t="shared" si="2"/>
        <v>#REF!</v>
      </c>
      <c r="V9" s="9" t="e">
        <f t="shared" si="2"/>
        <v>#REF!</v>
      </c>
      <c r="W9" s="9" t="e">
        <f t="shared" si="2"/>
        <v>#REF!</v>
      </c>
      <c r="X9" s="9" t="e">
        <f t="shared" si="2"/>
        <v>#REF!</v>
      </c>
      <c r="Y9" s="9" t="e">
        <f t="shared" si="2"/>
        <v>#REF!</v>
      </c>
      <c r="Z9" s="9" t="e">
        <f t="shared" si="2"/>
        <v>#REF!</v>
      </c>
      <c r="AA9" s="9" t="e">
        <f t="shared" si="2"/>
        <v>#REF!</v>
      </c>
      <c r="AB9" s="9" t="e">
        <f t="shared" si="2"/>
        <v>#REF!</v>
      </c>
      <c r="AC9" s="9" t="e">
        <f t="shared" si="2"/>
        <v>#REF!</v>
      </c>
      <c r="AD9" s="9" t="e">
        <f t="shared" si="2"/>
        <v>#REF!</v>
      </c>
      <c r="AE9" s="9" t="e">
        <f t="shared" si="2"/>
        <v>#REF!</v>
      </c>
      <c r="AF9" s="9" t="e">
        <f t="shared" si="2"/>
        <v>#REF!</v>
      </c>
      <c r="AG9" s="9" t="e">
        <f t="shared" si="2"/>
        <v>#REF!</v>
      </c>
      <c r="AH9" s="9" t="e">
        <f t="shared" si="2"/>
        <v>#REF!</v>
      </c>
      <c r="AI9" s="9" t="e">
        <f t="shared" si="2"/>
        <v>#REF!</v>
      </c>
      <c r="AJ9" s="9" t="e">
        <f t="shared" si="2"/>
        <v>#REF!</v>
      </c>
      <c r="AK9" s="9" t="e">
        <f t="shared" si="2"/>
        <v>#REF!</v>
      </c>
      <c r="AL9" s="9" t="e">
        <f t="shared" si="2"/>
        <v>#REF!</v>
      </c>
      <c r="AM9" s="9" t="e">
        <f t="shared" si="2"/>
        <v>#REF!</v>
      </c>
      <c r="AN9" s="9" t="e">
        <f t="shared" ref="AN9:BD9" si="3">SUM(AN7:AN8)</f>
        <v>#REF!</v>
      </c>
      <c r="AO9" s="9" t="e">
        <f t="shared" si="3"/>
        <v>#REF!</v>
      </c>
      <c r="AP9" s="9" t="e">
        <f t="shared" si="3"/>
        <v>#REF!</v>
      </c>
      <c r="AQ9" s="9" t="e">
        <f t="shared" si="3"/>
        <v>#REF!</v>
      </c>
      <c r="AR9" s="9" t="e">
        <f t="shared" si="3"/>
        <v>#REF!</v>
      </c>
      <c r="AS9" s="9" t="e">
        <f t="shared" si="3"/>
        <v>#REF!</v>
      </c>
      <c r="AT9" s="9" t="e">
        <f t="shared" si="3"/>
        <v>#REF!</v>
      </c>
      <c r="AU9" s="9" t="e">
        <f t="shared" si="3"/>
        <v>#REF!</v>
      </c>
      <c r="AV9" s="9" t="e">
        <f t="shared" si="3"/>
        <v>#REF!</v>
      </c>
      <c r="AW9" s="9" t="e">
        <f t="shared" si="3"/>
        <v>#REF!</v>
      </c>
      <c r="AX9" s="9" t="e">
        <f t="shared" si="3"/>
        <v>#REF!</v>
      </c>
      <c r="AY9" s="9" t="e">
        <f t="shared" si="3"/>
        <v>#REF!</v>
      </c>
      <c r="AZ9" s="9" t="e">
        <f t="shared" si="3"/>
        <v>#REF!</v>
      </c>
      <c r="BA9" s="9" t="e">
        <f t="shared" si="3"/>
        <v>#REF!</v>
      </c>
      <c r="BB9" s="9" t="e">
        <f t="shared" si="3"/>
        <v>#REF!</v>
      </c>
      <c r="BC9" s="9" t="e">
        <f t="shared" si="3"/>
        <v>#REF!</v>
      </c>
      <c r="BD9" s="9" t="e">
        <f t="shared" si="3"/>
        <v>#REF!</v>
      </c>
    </row>
    <row r="10" spans="2:56" x14ac:dyDescent="0.2">
      <c r="E10" s="6"/>
      <c r="F10" s="6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</row>
    <row r="11" spans="2:56" ht="12.75" x14ac:dyDescent="0.2">
      <c r="B11" s="12" t="s">
        <v>60</v>
      </c>
      <c r="C11" s="12"/>
      <c r="D11" s="12"/>
      <c r="E11" s="15"/>
      <c r="F11" s="15"/>
      <c r="G11" s="16" t="e">
        <f>G9*Inputs!#REF!</f>
        <v>#REF!</v>
      </c>
      <c r="H11" s="16" t="e">
        <f>H9*Inputs!#REF!</f>
        <v>#REF!</v>
      </c>
      <c r="I11" s="16" t="e">
        <f>I9*Inputs!#REF!</f>
        <v>#REF!</v>
      </c>
      <c r="J11" s="16" t="e">
        <f>J9*Inputs!#REF!</f>
        <v>#REF!</v>
      </c>
      <c r="K11" s="16" t="e">
        <f>K9*Inputs!#REF!</f>
        <v>#REF!</v>
      </c>
      <c r="L11" s="16" t="e">
        <f>L9*Inputs!#REF!</f>
        <v>#REF!</v>
      </c>
      <c r="M11" s="16" t="e">
        <f>M9*Inputs!#REF!</f>
        <v>#REF!</v>
      </c>
      <c r="N11" s="16" t="e">
        <f>N9*Inputs!#REF!</f>
        <v>#REF!</v>
      </c>
      <c r="O11" s="16" t="e">
        <f>O9*Inputs!#REF!</f>
        <v>#REF!</v>
      </c>
      <c r="P11" s="16" t="e">
        <f>P9*Inputs!#REF!</f>
        <v>#REF!</v>
      </c>
      <c r="Q11" s="16" t="e">
        <f>Q9*Inputs!#REF!</f>
        <v>#REF!</v>
      </c>
      <c r="R11" s="16" t="e">
        <f>R9*Inputs!#REF!</f>
        <v>#REF!</v>
      </c>
      <c r="S11" s="16" t="e">
        <f>S9*Inputs!#REF!</f>
        <v>#REF!</v>
      </c>
      <c r="T11" s="16" t="e">
        <f>T9*Inputs!#REF!</f>
        <v>#REF!</v>
      </c>
      <c r="U11" s="16" t="e">
        <f>U9*Inputs!#REF!</f>
        <v>#REF!</v>
      </c>
      <c r="V11" s="16" t="e">
        <f>V9*Inputs!#REF!</f>
        <v>#REF!</v>
      </c>
      <c r="W11" s="16" t="e">
        <f>W9*Inputs!#REF!</f>
        <v>#REF!</v>
      </c>
      <c r="X11" s="16" t="e">
        <f>X9*Inputs!#REF!</f>
        <v>#REF!</v>
      </c>
      <c r="Y11" s="16" t="e">
        <f>Y9*Inputs!#REF!</f>
        <v>#REF!</v>
      </c>
      <c r="Z11" s="16" t="e">
        <f>Z9*Inputs!#REF!</f>
        <v>#REF!</v>
      </c>
      <c r="AA11" s="16" t="e">
        <f>AA9*Inputs!#REF!</f>
        <v>#REF!</v>
      </c>
      <c r="AB11" s="16" t="e">
        <f>AB9*Inputs!#REF!</f>
        <v>#REF!</v>
      </c>
      <c r="AC11" s="16" t="e">
        <f>AC9*Inputs!#REF!</f>
        <v>#REF!</v>
      </c>
      <c r="AD11" s="16" t="e">
        <f>AD9*Inputs!#REF!</f>
        <v>#REF!</v>
      </c>
      <c r="AE11" s="16" t="e">
        <f>AE9*Inputs!#REF!</f>
        <v>#REF!</v>
      </c>
      <c r="AF11" s="16" t="e">
        <f>AF9*Inputs!#REF!</f>
        <v>#REF!</v>
      </c>
      <c r="AG11" s="16" t="e">
        <f>AG9*Inputs!#REF!</f>
        <v>#REF!</v>
      </c>
      <c r="AH11" s="16" t="e">
        <f>AH9*Inputs!#REF!</f>
        <v>#REF!</v>
      </c>
      <c r="AI11" s="16" t="e">
        <f>AI9*Inputs!#REF!</f>
        <v>#REF!</v>
      </c>
      <c r="AJ11" s="16" t="e">
        <f>AJ9*Inputs!#REF!</f>
        <v>#REF!</v>
      </c>
      <c r="AK11" s="16" t="e">
        <f>AK9*Inputs!#REF!</f>
        <v>#REF!</v>
      </c>
      <c r="AL11" s="16" t="e">
        <f>AL9*Inputs!#REF!</f>
        <v>#REF!</v>
      </c>
      <c r="AM11" s="16" t="e">
        <f>AM9*Inputs!#REF!</f>
        <v>#REF!</v>
      </c>
      <c r="AN11" s="16" t="e">
        <f>AN9*Inputs!#REF!</f>
        <v>#REF!</v>
      </c>
      <c r="AO11" s="16" t="e">
        <f>AO9*Inputs!#REF!</f>
        <v>#REF!</v>
      </c>
      <c r="AP11" s="16" t="e">
        <f>AP9*Inputs!#REF!</f>
        <v>#REF!</v>
      </c>
      <c r="AQ11" s="16" t="e">
        <f>AQ9*Inputs!#REF!</f>
        <v>#REF!</v>
      </c>
      <c r="AR11" s="16" t="e">
        <f>AR9*Inputs!#REF!</f>
        <v>#REF!</v>
      </c>
      <c r="AS11" s="16" t="e">
        <f>AS9*Inputs!#REF!</f>
        <v>#REF!</v>
      </c>
      <c r="AT11" s="16" t="e">
        <f>AT9*Inputs!#REF!</f>
        <v>#REF!</v>
      </c>
      <c r="AU11" s="16" t="e">
        <f>AU9*Inputs!#REF!</f>
        <v>#REF!</v>
      </c>
      <c r="AV11" s="16" t="e">
        <f>AV9*Inputs!#REF!</f>
        <v>#REF!</v>
      </c>
      <c r="AW11" s="16" t="e">
        <f>AW9*Inputs!#REF!</f>
        <v>#REF!</v>
      </c>
      <c r="AX11" s="16" t="e">
        <f>AX9*Inputs!#REF!</f>
        <v>#REF!</v>
      </c>
      <c r="AY11" s="16" t="e">
        <f>AY9*Inputs!#REF!</f>
        <v>#REF!</v>
      </c>
      <c r="AZ11" s="16" t="e">
        <f>AZ9*Inputs!#REF!</f>
        <v>#REF!</v>
      </c>
      <c r="BA11" s="16" t="e">
        <f>BA9*Inputs!#REF!</f>
        <v>#REF!</v>
      </c>
      <c r="BB11" s="16" t="e">
        <f>BB9*Inputs!#REF!</f>
        <v>#REF!</v>
      </c>
      <c r="BC11" s="16" t="e">
        <f>BC9*Inputs!#REF!</f>
        <v>#REF!</v>
      </c>
      <c r="BD11" s="16" t="e">
        <f>BD9*Inputs!#REF!</f>
        <v>#REF!</v>
      </c>
    </row>
    <row r="12" spans="2:56" x14ac:dyDescent="0.2">
      <c r="D12" s="6"/>
      <c r="E12" s="6"/>
      <c r="F12" s="6"/>
    </row>
    <row r="13" spans="2:56" x14ac:dyDescent="0.2">
      <c r="D13" s="6"/>
      <c r="E13" s="6"/>
      <c r="F13" s="6"/>
    </row>
    <row r="14" spans="2:56" ht="12.75" x14ac:dyDescent="0.2">
      <c r="D14" s="8"/>
      <c r="E14" s="7"/>
      <c r="F14" s="6"/>
    </row>
    <row r="15" spans="2:56" ht="12.75" x14ac:dyDescent="0.2">
      <c r="D15" s="8"/>
      <c r="E15" s="7"/>
      <c r="F15" s="6"/>
    </row>
    <row r="16" spans="2:56" x14ac:dyDescent="0.2">
      <c r="D16" s="6"/>
      <c r="E16" s="6"/>
      <c r="F16" s="6"/>
    </row>
    <row r="17" spans="4:6" x14ac:dyDescent="0.2">
      <c r="D17" s="6"/>
      <c r="E17" s="6"/>
      <c r="F17" s="6"/>
    </row>
  </sheetData>
  <phoneticPr fontId="5" type="noConversion"/>
  <pageMargins left="0.5" right="0.5" top="1" bottom="1" header="0.5" footer="0.5"/>
  <pageSetup scale="70" orientation="landscape" r:id="rId1"/>
  <headerFooter alignWithMargins="0">
    <oddFooter>&amp;R&amp;"Arial Narrow,Regular"&amp;8&amp;P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17</vt:i4>
      </vt:variant>
    </vt:vector>
  </HeadingPairs>
  <TitlesOfParts>
    <vt:vector size="36" baseType="lpstr">
      <vt:lpstr>Inputs</vt:lpstr>
      <vt:lpstr>Benefit-Cost Summary</vt:lpstr>
      <vt:lpstr>NPVCalc</vt:lpstr>
      <vt:lpstr>Capital Costs</vt:lpstr>
      <vt:lpstr>NPVCalcVert</vt:lpstr>
      <vt:lpstr>NPVCalcVertPV</vt:lpstr>
      <vt:lpstr>O&amp;M Cost</vt:lpstr>
      <vt:lpstr>Travel Time Benefits </vt:lpstr>
      <vt:lpstr>Vehicle Op Costs (non-fuel)</vt:lpstr>
      <vt:lpstr>Traditional Crash Analysis</vt:lpstr>
      <vt:lpstr>Crash Benefits</vt:lpstr>
      <vt:lpstr>Emission Reduction Savings </vt:lpstr>
      <vt:lpstr>Fuel Cost savings</vt:lpstr>
      <vt:lpstr>Fuel Consumption Factors</vt:lpstr>
      <vt:lpstr>Emission Factors</vt:lpstr>
      <vt:lpstr>Fact sheet and Improvements</vt:lpstr>
      <vt:lpstr>Modeling area</vt:lpstr>
      <vt:lpstr>zzzCrashes 2011 to 2015</vt:lpstr>
      <vt:lpstr>OilImports_A9</vt:lpstr>
      <vt:lpstr>Disc</vt:lpstr>
      <vt:lpstr>Exp_Factor</vt:lpstr>
      <vt:lpstr>Inf</vt:lpstr>
      <vt:lpstr>'Benefit-Cost Summary'!Print_Area</vt:lpstr>
      <vt:lpstr>Inputs!Print_Area</vt:lpstr>
      <vt:lpstr>OilImports_A9!Print_Area</vt:lpstr>
      <vt:lpstr>'Crash Benefits'!Print_Titles</vt:lpstr>
      <vt:lpstr>'Emission Reduction Savings '!Print_Titles</vt:lpstr>
      <vt:lpstr>'Fuel Cost savings'!Print_Titles</vt:lpstr>
      <vt:lpstr>Inputs!Print_Titles</vt:lpstr>
      <vt:lpstr>NPVCalc!Print_Titles</vt:lpstr>
      <vt:lpstr>NPVCalcVert!Print_Titles</vt:lpstr>
      <vt:lpstr>NPVCalcVertPV!Print_Titles</vt:lpstr>
      <vt:lpstr>'O&amp;M Cost'!Print_Titles</vt:lpstr>
      <vt:lpstr>OilImports_A9!Print_Titles</vt:lpstr>
      <vt:lpstr>'Travel Time Benefits '!Print_Titles</vt:lpstr>
      <vt:lpstr>'Vehicle Op Costs (non-fuel)'!Print_Titles</vt:lpstr>
    </vt:vector>
  </TitlesOfParts>
  <Company>CH2MHILL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Kurt Playstead/SEA</dc:creator>
  <cp:lastModifiedBy>Marsey, Rebecca</cp:lastModifiedBy>
  <cp:lastPrinted>2016-04-07T16:39:40Z</cp:lastPrinted>
  <dcterms:created xsi:type="dcterms:W3CDTF">2001-04-11T23:36:21Z</dcterms:created>
  <dcterms:modified xsi:type="dcterms:W3CDTF">2022-04-29T15:37:17Z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RiskLevel">
    <vt:lpwstr/>
  </property>
  <property fmtid="{D5CDD505-2E9C-101B-9397-08002B2CF9AE}" pid="3" name="DocRiskLevelWizardText">
    <vt:lpwstr>Atkins Baseline</vt:lpwstr>
  </property>
  <property fmtid="{D5CDD505-2E9C-101B-9397-08002B2CF9AE}" pid="4" name="DocRiskLevelWizardMarker">
    <vt:lpwstr/>
  </property>
</Properties>
</file>