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.crozier\Downloads\"/>
    </mc:Choice>
  </mc:AlternateContent>
  <xr:revisionPtr revIDLastSave="0" documentId="8_{736B19E2-2915-4A8B-9FD7-FC9DAF61A1D7}" xr6:coauthVersionLast="45" xr6:coauthVersionMax="45" xr10:uidLastSave="{00000000-0000-0000-0000-000000000000}"/>
  <bookViews>
    <workbookView xWindow="28680" yWindow="-120" windowWidth="29040" windowHeight="15840" tabRatio="816" activeTab="7" xr2:uid="{477747B3-43E1-4AE5-B799-47DC5164F67C}"/>
  </bookViews>
  <sheets>
    <sheet name="A - Inputs" sheetId="24" r:id="rId1"/>
    <sheet name="B - Output Table" sheetId="39" r:id="rId2"/>
    <sheet name="C - Summary" sheetId="35" r:id="rId3"/>
    <sheet name="D - Cost Estimate" sheetId="25" r:id="rId4"/>
    <sheet name="E - Construction &amp; Residual" sheetId="26" r:id="rId5"/>
    <sheet name="F - Maintenance Costs" sheetId="28" r:id="rId6"/>
    <sheet name="G - Safety" sheetId="32" r:id="rId7"/>
    <sheet name="H - Economic Output" sheetId="41" r:id="rId8"/>
  </sheets>
  <externalReferences>
    <externalReference r:id="rId9"/>
    <externalReference r:id="rId10"/>
  </externalReferences>
  <definedNames>
    <definedName name="__IntlFixup" hidden="1">TRUE</definedName>
    <definedName name="_xlnm._FilterDatabase" localSheetId="3" hidden="1">'D - Cost Estimate'!$A$4:$D$30</definedName>
    <definedName name="BaseYear">'A - Inputs'!#REF!</definedName>
    <definedName name="BenefitStart" localSheetId="7">'[1]A - Inputs'!$C$10</definedName>
    <definedName name="BenefitStart">'A - Inputs'!$C$10</definedName>
    <definedName name="facilityTypeId">'[2]Link Characteristics'!$C$4:$C$19</definedName>
    <definedName name="facilityTypeName">'[2]Link Characteristics'!$D$4:$D$8</definedName>
    <definedName name="facilityTypes">'[2]Link Characteristics'!$C$4:$H$19</definedName>
    <definedName name="incidentDelayRates">[2]Parameters!$AP$12:$AT$91</definedName>
    <definedName name="openingScreenTitle">'[2]OPENING SCREEN'!$B$24</definedName>
    <definedName name="parameterAutoValueOfTime">[2]Parameters!$W$12</definedName>
    <definedName name="parameterAutoValueOfTimeDelay">[2]Parameters!$W$16</definedName>
    <definedName name="parameterAverageAutoOccupancy">[2]Parameters!$P$24</definedName>
    <definedName name="parameterCommercialAutoValueOfTime">[2]Parameters!$W$11</definedName>
    <definedName name="parameterCommercialAutoValueOfTimeDelay">[2]Parameters!$W$15</definedName>
    <definedName name="parameterFatalityValuation">[2]Parameters!$W$20</definedName>
    <definedName name="parameterFuelCostGallon">[2]Parameters!$W$25</definedName>
    <definedName name="parameterFuelEconomyAuto">[2]Parameters!$AN$9</definedName>
    <definedName name="parameterFuelEconomyTruck">[2]Parameters!$AN$10</definedName>
    <definedName name="parameterInjuryValuation">[2]Parameters!$W$21</definedName>
    <definedName name="parameterPDOValuation">[2]Parameters!$W$22</definedName>
    <definedName name="parameterPercentCommercialAuto">[2]Parameters!$P$23</definedName>
    <definedName name="parameterPercentTrucks">[2]Parameters!$P$22</definedName>
    <definedName name="parameterTruckValueOfTime">[2]Parameters!$W$13</definedName>
    <definedName name="parameterTruckValueOfTimeDelay">[2]Parameters!$W$17</definedName>
    <definedName name="_xlnm.Print_Area" localSheetId="0">'A - Inputs'!$A$1:$L$17</definedName>
    <definedName name="_xlnm.Print_Area" localSheetId="3">'D - Cost Estimate'!$A$1:$H$40</definedName>
    <definedName name="_xlnm.Print_Area" localSheetId="4">'E - Construction &amp; Residual'!$B$1:$O$41</definedName>
    <definedName name="_xlnm.Print_Area" localSheetId="5">'F - Maintenance Costs'!$A$1:$L$40</definedName>
    <definedName name="_xlnm.Print_Area" localSheetId="6">'G - Safety'!$D$18:$U$72</definedName>
    <definedName name="_xlnm.Print_Area" localSheetId="7">'H - Economic Output'!$B$1:$L$47</definedName>
    <definedName name="_xlnm.Print_Titles" localSheetId="6">'G - Safety'!$D:$E</definedName>
    <definedName name="ProjStartYr" localSheetId="7">'[1]A - Inputs'!$C$7</definedName>
    <definedName name="ProjStartYr">'A - Inputs'!$C$7</definedName>
    <definedName name="ProjUseStart">'A - Inputs'!$C$10</definedName>
    <definedName name="rampMeteringTypes">'[2]deployment support'!$F$3:$I$5</definedName>
    <definedName name="vcCurves">[2]Parameters!$Z$11:$AC$68</definedName>
    <definedName name="YearDays">'A - Inputs'!$C$12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9" i="25" l="1"/>
  <c r="C3" i="39" l="1"/>
  <c r="K4" i="26" l="1"/>
  <c r="J4" i="26"/>
  <c r="C8" i="41"/>
  <c r="F11" i="28" l="1"/>
  <c r="C12" i="28"/>
  <c r="C13" i="28" s="1"/>
  <c r="C14" i="28" s="1"/>
  <c r="C15" i="28" s="1"/>
  <c r="C16" i="28" s="1"/>
  <c r="C17" i="28" s="1"/>
  <c r="C18" i="28" s="1"/>
  <c r="C19" i="28" s="1"/>
  <c r="C20" i="28" s="1"/>
  <c r="C21" i="28" s="1"/>
  <c r="C22" i="28" s="1"/>
  <c r="C23" i="28" s="1"/>
  <c r="C24" i="28" s="1"/>
  <c r="C25" i="28" s="1"/>
  <c r="C26" i="28" s="1"/>
  <c r="C27" i="28" s="1"/>
  <c r="C28" i="28" s="1"/>
  <c r="C29" i="28" s="1"/>
  <c r="C30" i="28" s="1"/>
  <c r="C31" i="28" s="1"/>
  <c r="C32" i="28" s="1"/>
  <c r="C33" i="28" s="1"/>
  <c r="C34" i="28" s="1"/>
  <c r="C35" i="28" s="1"/>
  <c r="C36" i="28" s="1"/>
  <c r="L2" i="26"/>
  <c r="G12" i="25"/>
  <c r="G11" i="25"/>
  <c r="G10" i="25"/>
  <c r="C7" i="25"/>
  <c r="C33" i="25"/>
  <c r="C34" i="25"/>
  <c r="C35" i="25"/>
  <c r="C36" i="25"/>
  <c r="C32" i="25"/>
  <c r="C6" i="25"/>
  <c r="C11" i="25"/>
  <c r="C12" i="25"/>
  <c r="C13" i="25"/>
  <c r="C14" i="25"/>
  <c r="C15" i="25"/>
  <c r="C16" i="25"/>
  <c r="C17" i="25"/>
  <c r="C18" i="25"/>
  <c r="C19" i="25"/>
  <c r="C20" i="25"/>
  <c r="C21" i="25"/>
  <c r="C22" i="25"/>
  <c r="C23" i="25"/>
  <c r="C24" i="25"/>
  <c r="C25" i="25"/>
  <c r="C26" i="25"/>
  <c r="C27" i="25"/>
  <c r="C28" i="25"/>
  <c r="C29" i="25"/>
  <c r="C30" i="25"/>
  <c r="C10" i="25"/>
  <c r="C9" i="25"/>
  <c r="G13" i="25" l="1"/>
  <c r="G19" i="25" l="1"/>
  <c r="C3" i="41"/>
  <c r="G20" i="25"/>
  <c r="G17" i="25"/>
  <c r="G16" i="25"/>
  <c r="G18" i="25"/>
  <c r="G21" i="25" l="1"/>
  <c r="G22" i="25" s="1"/>
  <c r="K8" i="41"/>
  <c r="K9" i="41"/>
  <c r="K10" i="41"/>
  <c r="K11" i="41"/>
  <c r="K7" i="41"/>
  <c r="J7" i="41"/>
  <c r="C9" i="41"/>
  <c r="C10" i="41" s="1"/>
  <c r="C11" i="41" s="1"/>
  <c r="C12" i="41" s="1"/>
  <c r="C13" i="41" s="1"/>
  <c r="C14" i="41" s="1"/>
  <c r="C15" i="41" s="1"/>
  <c r="C16" i="41" s="1"/>
  <c r="C17" i="41" s="1"/>
  <c r="C18" i="41" s="1"/>
  <c r="C19" i="41" s="1"/>
  <c r="C20" i="41" s="1"/>
  <c r="C21" i="41" s="1"/>
  <c r="C22" i="41" s="1"/>
  <c r="C23" i="41" s="1"/>
  <c r="C24" i="41" s="1"/>
  <c r="C25" i="41" s="1"/>
  <c r="C26" i="41" s="1"/>
  <c r="C27" i="41" s="1"/>
  <c r="C28" i="41" s="1"/>
  <c r="C29" i="41" s="1"/>
  <c r="C30" i="41" s="1"/>
  <c r="C31" i="41" s="1"/>
  <c r="C32" i="41" s="1"/>
  <c r="C33" i="41" s="1"/>
  <c r="C34" i="41" s="1"/>
  <c r="C35" i="41" s="1"/>
  <c r="C36" i="41" s="1"/>
  <c r="C37" i="41" s="1"/>
  <c r="C38" i="41" s="1"/>
  <c r="C39" i="41" s="1"/>
  <c r="C40" i="41" s="1"/>
  <c r="C41" i="41" s="1"/>
  <c r="C42" i="41" s="1"/>
  <c r="C43" i="41" s="1"/>
  <c r="B9" i="41" l="1"/>
  <c r="B10" i="41" s="1"/>
  <c r="B11" i="41" s="1"/>
  <c r="B12" i="41" l="1"/>
  <c r="B13" i="41" l="1"/>
  <c r="B14" i="41" l="1"/>
  <c r="B15" i="41" l="1"/>
  <c r="B16" i="41" l="1"/>
  <c r="F15" i="41" l="1"/>
  <c r="B17" i="41"/>
  <c r="M17" i="35" l="1"/>
  <c r="B18" i="41"/>
  <c r="F16" i="41"/>
  <c r="M18" i="35" s="1"/>
  <c r="F17" i="41" l="1"/>
  <c r="B19" i="41"/>
  <c r="M19" i="35" l="1"/>
  <c r="B20" i="41"/>
  <c r="F18" i="41"/>
  <c r="M20" i="35" s="1"/>
  <c r="F19" i="41" l="1"/>
  <c r="B21" i="41"/>
  <c r="M21" i="35" l="1"/>
  <c r="F20" i="41"/>
  <c r="B22" i="41"/>
  <c r="M22" i="35" l="1"/>
  <c r="B23" i="41"/>
  <c r="F21" i="41"/>
  <c r="M23" i="35" s="1"/>
  <c r="B24" i="41" l="1"/>
  <c r="F22" i="41"/>
  <c r="M24" i="35" s="1"/>
  <c r="F23" i="41" l="1"/>
  <c r="B25" i="41"/>
  <c r="M25" i="35" l="1"/>
  <c r="B26" i="41"/>
  <c r="F24" i="41"/>
  <c r="M26" i="35" s="1"/>
  <c r="B27" i="41" l="1"/>
  <c r="F25" i="41"/>
  <c r="M27" i="35" s="1"/>
  <c r="F26" i="41" l="1"/>
  <c r="B28" i="41"/>
  <c r="M28" i="35" l="1"/>
  <c r="F27" i="41"/>
  <c r="M29" i="35" s="1"/>
  <c r="B29" i="41"/>
  <c r="F28" i="41" l="1"/>
  <c r="B30" i="41"/>
  <c r="F29" i="41" l="1"/>
  <c r="M31" i="35" s="1"/>
  <c r="M30" i="35"/>
  <c r="B31" i="41"/>
  <c r="F30" i="41" l="1"/>
  <c r="M32" i="35" s="1"/>
  <c r="B32" i="41"/>
  <c r="B33" i="41" l="1"/>
  <c r="F31" i="41"/>
  <c r="M33" i="35" s="1"/>
  <c r="F32" i="41" l="1"/>
  <c r="B34" i="41"/>
  <c r="M34" i="35" l="1"/>
  <c r="F33" i="41"/>
  <c r="M35" i="35" s="1"/>
  <c r="B35" i="41"/>
  <c r="F34" i="41" l="1"/>
  <c r="B36" i="41"/>
  <c r="M36" i="35" l="1"/>
  <c r="F35" i="41"/>
  <c r="B37" i="41"/>
  <c r="M37" i="35" l="1"/>
  <c r="B38" i="41"/>
  <c r="F36" i="41"/>
  <c r="M38" i="35" s="1"/>
  <c r="F37" i="41" l="1"/>
  <c r="B39" i="41"/>
  <c r="F38" i="41" l="1"/>
  <c r="B40" i="41"/>
  <c r="F39" i="41" l="1"/>
  <c r="B41" i="41"/>
  <c r="B42" i="41" l="1"/>
  <c r="F40" i="41"/>
  <c r="F41" i="41" l="1"/>
  <c r="B43" i="41"/>
  <c r="F42" i="41" l="1"/>
  <c r="F43" i="41" l="1"/>
  <c r="K7" i="32" l="1"/>
  <c r="K6" i="32"/>
  <c r="K5" i="32"/>
  <c r="K4" i="32"/>
  <c r="R4" i="32" s="1"/>
  <c r="K3" i="32"/>
  <c r="J7" i="32"/>
  <c r="Q7" i="32" s="1"/>
  <c r="I7" i="32"/>
  <c r="P7" i="32" s="1"/>
  <c r="H7" i="32"/>
  <c r="O7" i="32" s="1"/>
  <c r="G7" i="32"/>
  <c r="F7" i="32"/>
  <c r="E7" i="32"/>
  <c r="J6" i="32"/>
  <c r="Q6" i="32" s="1"/>
  <c r="I6" i="32"/>
  <c r="P6" i="32" s="1"/>
  <c r="H6" i="32"/>
  <c r="O6" i="32" s="1"/>
  <c r="G6" i="32"/>
  <c r="N6" i="32" s="1"/>
  <c r="F6" i="32"/>
  <c r="M6" i="32" s="1"/>
  <c r="E6" i="32"/>
  <c r="J5" i="32"/>
  <c r="Q5" i="32" s="1"/>
  <c r="I5" i="32"/>
  <c r="P5" i="32" s="1"/>
  <c r="H5" i="32"/>
  <c r="O5" i="32" s="1"/>
  <c r="G5" i="32"/>
  <c r="F5" i="32"/>
  <c r="M5" i="32" s="1"/>
  <c r="E5" i="32"/>
  <c r="J4" i="32"/>
  <c r="Q4" i="32" s="1"/>
  <c r="I4" i="32"/>
  <c r="H4" i="32"/>
  <c r="G4" i="32"/>
  <c r="N4" i="32" s="1"/>
  <c r="F4" i="32"/>
  <c r="M4" i="32" s="1"/>
  <c r="E4" i="32"/>
  <c r="H3" i="32"/>
  <c r="O3" i="32" s="1"/>
  <c r="J3" i="32"/>
  <c r="Q3" i="32" s="1"/>
  <c r="I3" i="32"/>
  <c r="G3" i="32"/>
  <c r="R16" i="32"/>
  <c r="Q16" i="32"/>
  <c r="P16" i="32"/>
  <c r="O16" i="32"/>
  <c r="N16" i="32"/>
  <c r="M16" i="32"/>
  <c r="R15" i="32"/>
  <c r="Q15" i="32"/>
  <c r="P15" i="32"/>
  <c r="O15" i="32"/>
  <c r="N15" i="32"/>
  <c r="M15" i="32"/>
  <c r="R14" i="32"/>
  <c r="Q14" i="32"/>
  <c r="P14" i="32"/>
  <c r="O14" i="32"/>
  <c r="N14" i="32"/>
  <c r="M14" i="32"/>
  <c r="R13" i="32"/>
  <c r="Q13" i="32"/>
  <c r="P13" i="32"/>
  <c r="O13" i="32"/>
  <c r="N13" i="32"/>
  <c r="M13" i="32"/>
  <c r="R12" i="32"/>
  <c r="R3" i="32" s="1"/>
  <c r="Q12" i="32"/>
  <c r="P12" i="32"/>
  <c r="O12" i="32"/>
  <c r="N12" i="32"/>
  <c r="F12" i="32"/>
  <c r="M12" i="32" s="1"/>
  <c r="E12" i="32"/>
  <c r="E3" i="32" s="1"/>
  <c r="Q8" i="32"/>
  <c r="P8" i="32"/>
  <c r="O8" i="32"/>
  <c r="N8" i="32"/>
  <c r="M8" i="32"/>
  <c r="G8" i="32"/>
  <c r="H8" i="32"/>
  <c r="I8" i="32"/>
  <c r="J8" i="32"/>
  <c r="F8" i="32"/>
  <c r="R5" i="32"/>
  <c r="R6" i="32"/>
  <c r="R7" i="32"/>
  <c r="O4" i="32"/>
  <c r="P4" i="32"/>
  <c r="N5" i="32"/>
  <c r="M7" i="32"/>
  <c r="N7" i="32"/>
  <c r="N3" i="32"/>
  <c r="P3" i="32"/>
  <c r="L16" i="32" l="1"/>
  <c r="L14" i="32"/>
  <c r="L15" i="32"/>
  <c r="L13" i="32"/>
  <c r="F3" i="32"/>
  <c r="M3" i="32" s="1"/>
  <c r="L3" i="32" s="1"/>
  <c r="L5" i="32"/>
  <c r="L12" i="32"/>
  <c r="L7" i="32"/>
  <c r="L19" i="32"/>
  <c r="K20" i="32"/>
  <c r="I20" i="32"/>
  <c r="J20" i="32"/>
  <c r="I19" i="32"/>
  <c r="L20" i="32"/>
  <c r="L6" i="32"/>
  <c r="L4" i="32"/>
  <c r="J19" i="32"/>
  <c r="K19" i="32"/>
  <c r="H19" i="32" l="1"/>
  <c r="H20" i="32"/>
  <c r="F12" i="28"/>
  <c r="F13" i="28"/>
  <c r="F14" i="28"/>
  <c r="F15" i="28"/>
  <c r="F16" i="28"/>
  <c r="F17" i="28"/>
  <c r="F18" i="28"/>
  <c r="F19" i="28"/>
  <c r="F20" i="28"/>
  <c r="F21" i="28"/>
  <c r="F22" i="28"/>
  <c r="F23" i="28"/>
  <c r="F24" i="28"/>
  <c r="F25" i="28"/>
  <c r="F26" i="28"/>
  <c r="F27" i="28"/>
  <c r="F28" i="28"/>
  <c r="F29" i="28"/>
  <c r="F30" i="28"/>
  <c r="F31" i="28"/>
  <c r="F32" i="28"/>
  <c r="F33" i="28"/>
  <c r="F34" i="28"/>
  <c r="F35" i="28"/>
  <c r="F36" i="28"/>
  <c r="F9" i="28"/>
  <c r="F8" i="28"/>
  <c r="F7" i="28"/>
  <c r="F10" i="28"/>
  <c r="E31" i="28"/>
  <c r="E30" i="28"/>
  <c r="E8" i="28"/>
  <c r="E9" i="28"/>
  <c r="E10" i="28"/>
  <c r="E11" i="28"/>
  <c r="E12" i="28"/>
  <c r="E13" i="28"/>
  <c r="E14" i="28"/>
  <c r="E15" i="28"/>
  <c r="E16" i="28"/>
  <c r="E17" i="28"/>
  <c r="E18" i="28"/>
  <c r="E19" i="28"/>
  <c r="E20" i="28"/>
  <c r="E21" i="28"/>
  <c r="E22" i="28"/>
  <c r="E23" i="28"/>
  <c r="E24" i="28"/>
  <c r="E25" i="28"/>
  <c r="E26" i="28"/>
  <c r="E27" i="28"/>
  <c r="E28" i="28"/>
  <c r="E29" i="28"/>
  <c r="E32" i="28"/>
  <c r="E33" i="28"/>
  <c r="E34" i="28"/>
  <c r="E35" i="28"/>
  <c r="E36" i="28"/>
  <c r="E7" i="28"/>
  <c r="A7" i="28"/>
  <c r="H7" i="28" l="1"/>
  <c r="J2" i="26"/>
  <c r="C10" i="24" l="1"/>
  <c r="H21" i="25" l="1"/>
  <c r="I10" i="35" l="1"/>
  <c r="I11" i="35" s="1"/>
  <c r="I12" i="35" s="1"/>
  <c r="I13" i="35" s="1"/>
  <c r="I14" i="35" s="1"/>
  <c r="I15" i="35" s="1"/>
  <c r="I16" i="35" s="1"/>
  <c r="I17" i="35" s="1"/>
  <c r="I18" i="35" s="1"/>
  <c r="I19" i="35" s="1"/>
  <c r="I20" i="35" s="1"/>
  <c r="I21" i="35" s="1"/>
  <c r="I22" i="35" s="1"/>
  <c r="I23" i="35" s="1"/>
  <c r="I24" i="35" s="1"/>
  <c r="I25" i="35" s="1"/>
  <c r="I26" i="35" s="1"/>
  <c r="I27" i="35" s="1"/>
  <c r="I28" i="35" s="1"/>
  <c r="I29" i="35" s="1"/>
  <c r="I30" i="35" s="1"/>
  <c r="I31" i="35" s="1"/>
  <c r="I32" i="35" s="1"/>
  <c r="I33" i="35" s="1"/>
  <c r="I34" i="35" s="1"/>
  <c r="I35" i="35" s="1"/>
  <c r="I36" i="35" s="1"/>
  <c r="I37" i="35" s="1"/>
  <c r="I38" i="35" s="1"/>
  <c r="H9" i="35"/>
  <c r="H10" i="35" s="1"/>
  <c r="H11" i="35" s="1"/>
  <c r="H12" i="35" s="1"/>
  <c r="H13" i="35" s="1"/>
  <c r="H14" i="35" s="1"/>
  <c r="H15" i="35" s="1"/>
  <c r="H16" i="35" s="1"/>
  <c r="H17" i="35" s="1"/>
  <c r="H18" i="35" s="1"/>
  <c r="H19" i="35" s="1"/>
  <c r="H20" i="35" s="1"/>
  <c r="H21" i="35" s="1"/>
  <c r="H22" i="35" s="1"/>
  <c r="H23" i="35" s="1"/>
  <c r="H24" i="35" s="1"/>
  <c r="H25" i="35" s="1"/>
  <c r="H26" i="35" s="1"/>
  <c r="H27" i="35" s="1"/>
  <c r="H28" i="35" s="1"/>
  <c r="H29" i="35" s="1"/>
  <c r="H30" i="35" s="1"/>
  <c r="H31" i="35" s="1"/>
  <c r="H32" i="35" s="1"/>
  <c r="H33" i="35" s="1"/>
  <c r="H34" i="35" s="1"/>
  <c r="H35" i="35" s="1"/>
  <c r="H36" i="35" s="1"/>
  <c r="H37" i="35" s="1"/>
  <c r="H38" i="35" s="1"/>
  <c r="B10" i="35"/>
  <c r="B11" i="35" s="1"/>
  <c r="B12" i="35" s="1"/>
  <c r="B13" i="35" s="1"/>
  <c r="B14" i="35" s="1"/>
  <c r="B15" i="35" s="1"/>
  <c r="B16" i="35" s="1"/>
  <c r="B17" i="35" s="1"/>
  <c r="B18" i="35" s="1"/>
  <c r="B19" i="35" s="1"/>
  <c r="B20" i="35" s="1"/>
  <c r="B21" i="35" s="1"/>
  <c r="B22" i="35" s="1"/>
  <c r="B23" i="35" s="1"/>
  <c r="B24" i="35" s="1"/>
  <c r="B25" i="35" s="1"/>
  <c r="B26" i="35" s="1"/>
  <c r="B27" i="35" s="1"/>
  <c r="B28" i="35" s="1"/>
  <c r="B29" i="35" s="1"/>
  <c r="B30" i="35" s="1"/>
  <c r="B31" i="35" s="1"/>
  <c r="B32" i="35" s="1"/>
  <c r="B33" i="35" s="1"/>
  <c r="B34" i="35" s="1"/>
  <c r="B35" i="35" s="1"/>
  <c r="B36" i="35" s="1"/>
  <c r="B37" i="35" s="1"/>
  <c r="B38" i="35" s="1"/>
  <c r="A9" i="35"/>
  <c r="A10" i="35" s="1"/>
  <c r="A11" i="35" s="1"/>
  <c r="A12" i="35" s="1"/>
  <c r="A13" i="35" s="1"/>
  <c r="A14" i="35" s="1"/>
  <c r="A15" i="35" s="1"/>
  <c r="A16" i="35" s="1"/>
  <c r="A17" i="35" s="1"/>
  <c r="A18" i="35" s="1"/>
  <c r="A19" i="35" s="1"/>
  <c r="A20" i="35" s="1"/>
  <c r="A21" i="35" s="1"/>
  <c r="A22" i="35" s="1"/>
  <c r="A23" i="35" s="1"/>
  <c r="A24" i="35" s="1"/>
  <c r="A25" i="35" s="1"/>
  <c r="A26" i="35" s="1"/>
  <c r="A27" i="35" s="1"/>
  <c r="A28" i="35" s="1"/>
  <c r="A29" i="35" s="1"/>
  <c r="A30" i="35" s="1"/>
  <c r="A31" i="35" s="1"/>
  <c r="A32" i="35" s="1"/>
  <c r="A33" i="35" s="1"/>
  <c r="A34" i="35" s="1"/>
  <c r="A35" i="35" s="1"/>
  <c r="A36" i="35" s="1"/>
  <c r="A37" i="35" s="1"/>
  <c r="A38" i="35" s="1"/>
  <c r="A4" i="32" l="1"/>
  <c r="A5" i="32" s="1"/>
  <c r="A6" i="32" s="1"/>
  <c r="A7" i="32" s="1"/>
  <c r="D28" i="32"/>
  <c r="E29" i="32"/>
  <c r="E30" i="32" s="1"/>
  <c r="E31" i="32" s="1"/>
  <c r="E32" i="32" s="1"/>
  <c r="E33" i="32" s="1"/>
  <c r="E34" i="32" s="1"/>
  <c r="E35" i="32" s="1"/>
  <c r="E36" i="32" l="1"/>
  <c r="F28" i="32"/>
  <c r="D29" i="32"/>
  <c r="E37" i="32" l="1"/>
  <c r="F29" i="32"/>
  <c r="D30" i="32"/>
  <c r="E38" i="32" l="1"/>
  <c r="F30" i="32"/>
  <c r="D31" i="32"/>
  <c r="E39" i="32" l="1"/>
  <c r="F31" i="32"/>
  <c r="D32" i="32"/>
  <c r="E40" i="32" l="1"/>
  <c r="F32" i="32"/>
  <c r="D33" i="32"/>
  <c r="E41" i="32" l="1"/>
  <c r="F33" i="32"/>
  <c r="D34" i="32"/>
  <c r="E42" i="32" l="1"/>
  <c r="F34" i="32"/>
  <c r="D35" i="32"/>
  <c r="G35" i="32" s="1"/>
  <c r="I34" i="32" l="1"/>
  <c r="Q34" i="32"/>
  <c r="H34" i="32"/>
  <c r="P34" i="32"/>
  <c r="J35" i="32"/>
  <c r="M35" i="32"/>
  <c r="K35" i="32"/>
  <c r="N35" i="32"/>
  <c r="O35" i="32"/>
  <c r="P35" i="32"/>
  <c r="Q35" i="32"/>
  <c r="H35" i="32"/>
  <c r="I35" i="32"/>
  <c r="J28" i="32"/>
  <c r="N28" i="32"/>
  <c r="P28" i="32"/>
  <c r="H28" i="32"/>
  <c r="M28" i="32"/>
  <c r="K28" i="32"/>
  <c r="O28" i="32"/>
  <c r="Q28" i="32"/>
  <c r="I28" i="32"/>
  <c r="P29" i="32"/>
  <c r="O29" i="32"/>
  <c r="H29" i="32"/>
  <c r="Q29" i="32"/>
  <c r="I29" i="32"/>
  <c r="J29" i="32"/>
  <c r="M29" i="32"/>
  <c r="K29" i="32"/>
  <c r="N29" i="32"/>
  <c r="Q30" i="32"/>
  <c r="P30" i="32"/>
  <c r="H30" i="32"/>
  <c r="I30" i="32"/>
  <c r="M30" i="32"/>
  <c r="K30" i="32"/>
  <c r="O30" i="32"/>
  <c r="J30" i="32"/>
  <c r="N30" i="32"/>
  <c r="P31" i="32"/>
  <c r="O31" i="32"/>
  <c r="Q31" i="32"/>
  <c r="H31" i="32"/>
  <c r="I31" i="32"/>
  <c r="M31" i="32"/>
  <c r="J31" i="32"/>
  <c r="N31" i="32"/>
  <c r="K31" i="32"/>
  <c r="O32" i="32"/>
  <c r="N32" i="32"/>
  <c r="P32" i="32"/>
  <c r="Q32" i="32"/>
  <c r="H32" i="32"/>
  <c r="I32" i="32"/>
  <c r="J32" i="32"/>
  <c r="M32" i="32"/>
  <c r="K32" i="32"/>
  <c r="N33" i="32"/>
  <c r="K33" i="32"/>
  <c r="O33" i="32"/>
  <c r="P33" i="32"/>
  <c r="Q33" i="32"/>
  <c r="H33" i="32"/>
  <c r="I33" i="32"/>
  <c r="J33" i="32"/>
  <c r="M33" i="32"/>
  <c r="O34" i="32"/>
  <c r="N34" i="32"/>
  <c r="K34" i="32"/>
  <c r="J34" i="32"/>
  <c r="M34" i="32"/>
  <c r="G28" i="32"/>
  <c r="G29" i="32"/>
  <c r="G30" i="32"/>
  <c r="G31" i="32"/>
  <c r="G32" i="32"/>
  <c r="G33" i="32"/>
  <c r="G34" i="32"/>
  <c r="E43" i="32"/>
  <c r="F35" i="32"/>
  <c r="D36" i="32"/>
  <c r="I36" i="32" l="1"/>
  <c r="J36" i="32"/>
  <c r="M36" i="32"/>
  <c r="K36" i="32"/>
  <c r="N36" i="32"/>
  <c r="O36" i="32"/>
  <c r="P36" i="32"/>
  <c r="G36" i="32"/>
  <c r="Q36" i="32"/>
  <c r="H36" i="32"/>
  <c r="E44" i="32"/>
  <c r="F36" i="32"/>
  <c r="D37" i="32"/>
  <c r="H37" i="32" l="1"/>
  <c r="I37" i="32"/>
  <c r="J37" i="32"/>
  <c r="M37" i="32"/>
  <c r="K37" i="32"/>
  <c r="N37" i="32"/>
  <c r="O37" i="32"/>
  <c r="P37" i="32"/>
  <c r="G37" i="32"/>
  <c r="Q37" i="32"/>
  <c r="E45" i="32"/>
  <c r="F37" i="32"/>
  <c r="D38" i="32"/>
  <c r="Q38" i="32" l="1"/>
  <c r="H38" i="32"/>
  <c r="I38" i="32"/>
  <c r="J38" i="32"/>
  <c r="M38" i="32"/>
  <c r="K38" i="32"/>
  <c r="N38" i="32"/>
  <c r="O38" i="32"/>
  <c r="P38" i="32"/>
  <c r="G38" i="32"/>
  <c r="E46" i="32"/>
  <c r="F38" i="32"/>
  <c r="D39" i="32"/>
  <c r="P39" i="32" l="1"/>
  <c r="G39" i="32"/>
  <c r="Q39" i="32"/>
  <c r="H39" i="32"/>
  <c r="I39" i="32"/>
  <c r="J39" i="32"/>
  <c r="M39" i="32"/>
  <c r="K39" i="32"/>
  <c r="N39" i="32"/>
  <c r="O39" i="32"/>
  <c r="E47" i="32"/>
  <c r="F39" i="32"/>
  <c r="D40" i="32"/>
  <c r="O40" i="32" l="1"/>
  <c r="P40" i="32"/>
  <c r="G40" i="32"/>
  <c r="Q40" i="32"/>
  <c r="H40" i="32"/>
  <c r="I40" i="32"/>
  <c r="J40" i="32"/>
  <c r="M40" i="32"/>
  <c r="K40" i="32"/>
  <c r="N40" i="32"/>
  <c r="E48" i="32"/>
  <c r="F40" i="32"/>
  <c r="D41" i="32"/>
  <c r="N41" i="32" l="1"/>
  <c r="O41" i="32"/>
  <c r="P41" i="32"/>
  <c r="G41" i="32"/>
  <c r="Q41" i="32"/>
  <c r="H41" i="32"/>
  <c r="I41" i="32"/>
  <c r="J41" i="32"/>
  <c r="M41" i="32"/>
  <c r="K41" i="32"/>
  <c r="E49" i="32"/>
  <c r="F41" i="32"/>
  <c r="D42" i="32"/>
  <c r="M42" i="32" l="1"/>
  <c r="K42" i="32"/>
  <c r="N42" i="32"/>
  <c r="O42" i="32"/>
  <c r="P42" i="32"/>
  <c r="G42" i="32"/>
  <c r="Q42" i="32"/>
  <c r="H42" i="32"/>
  <c r="I42" i="32"/>
  <c r="J42" i="32"/>
  <c r="E50" i="32"/>
  <c r="F42" i="32"/>
  <c r="D43" i="32"/>
  <c r="J43" i="32" l="1"/>
  <c r="M43" i="32"/>
  <c r="K43" i="32"/>
  <c r="N43" i="32"/>
  <c r="O43" i="32"/>
  <c r="P43" i="32"/>
  <c r="G43" i="32"/>
  <c r="Q43" i="32"/>
  <c r="H43" i="32"/>
  <c r="I43" i="32"/>
  <c r="E51" i="32"/>
  <c r="F43" i="32"/>
  <c r="D44" i="32"/>
  <c r="I44" i="32" l="1"/>
  <c r="J44" i="32"/>
  <c r="M44" i="32"/>
  <c r="K44" i="32"/>
  <c r="N44" i="32"/>
  <c r="O44" i="32"/>
  <c r="P44" i="32"/>
  <c r="G44" i="32"/>
  <c r="Q44" i="32"/>
  <c r="H44" i="32"/>
  <c r="E52" i="32"/>
  <c r="F44" i="32"/>
  <c r="D45" i="32"/>
  <c r="H45" i="32" l="1"/>
  <c r="I45" i="32"/>
  <c r="J45" i="32"/>
  <c r="M45" i="32"/>
  <c r="K45" i="32"/>
  <c r="N45" i="32"/>
  <c r="O45" i="32"/>
  <c r="P45" i="32"/>
  <c r="G45" i="32"/>
  <c r="Q45" i="32"/>
  <c r="E53" i="32"/>
  <c r="F45" i="32"/>
  <c r="D46" i="32"/>
  <c r="Q46" i="32" l="1"/>
  <c r="H46" i="32"/>
  <c r="I46" i="32"/>
  <c r="J46" i="32"/>
  <c r="M46" i="32"/>
  <c r="K46" i="32"/>
  <c r="N46" i="32"/>
  <c r="O46" i="32"/>
  <c r="P46" i="32"/>
  <c r="G46" i="32"/>
  <c r="E54" i="32"/>
  <c r="F46" i="32"/>
  <c r="D47" i="32"/>
  <c r="P47" i="32" l="1"/>
  <c r="G47" i="32"/>
  <c r="Q47" i="32"/>
  <c r="H47" i="32"/>
  <c r="I47" i="32"/>
  <c r="J47" i="32"/>
  <c r="M47" i="32"/>
  <c r="K47" i="32"/>
  <c r="N47" i="32"/>
  <c r="O47" i="32"/>
  <c r="E55" i="32"/>
  <c r="F47" i="32"/>
  <c r="D48" i="32"/>
  <c r="O48" i="32" l="1"/>
  <c r="P48" i="32"/>
  <c r="G48" i="32"/>
  <c r="Q48" i="32"/>
  <c r="H48" i="32"/>
  <c r="I48" i="32"/>
  <c r="J48" i="32"/>
  <c r="M48" i="32"/>
  <c r="K48" i="32"/>
  <c r="N48" i="32"/>
  <c r="E56" i="32"/>
  <c r="F48" i="32"/>
  <c r="D49" i="32"/>
  <c r="N49" i="32" l="1"/>
  <c r="O49" i="32"/>
  <c r="P49" i="32"/>
  <c r="G49" i="32"/>
  <c r="Q49" i="32"/>
  <c r="H49" i="32"/>
  <c r="I49" i="32"/>
  <c r="J49" i="32"/>
  <c r="M49" i="32"/>
  <c r="K49" i="32"/>
  <c r="E57" i="32"/>
  <c r="F49" i="32"/>
  <c r="D50" i="32"/>
  <c r="M50" i="32" l="1"/>
  <c r="K50" i="32"/>
  <c r="N50" i="32"/>
  <c r="O50" i="32"/>
  <c r="P50" i="32"/>
  <c r="G50" i="32"/>
  <c r="Q50" i="32"/>
  <c r="H50" i="32"/>
  <c r="I50" i="32"/>
  <c r="J50" i="32"/>
  <c r="E58" i="32"/>
  <c r="F50" i="32"/>
  <c r="R28" i="32"/>
  <c r="R30" i="32"/>
  <c r="R31" i="32"/>
  <c r="R32" i="32"/>
  <c r="R29" i="32"/>
  <c r="L29" i="32"/>
  <c r="D51" i="32"/>
  <c r="G51" i="32" s="1"/>
  <c r="J51" i="32" l="1"/>
  <c r="M51" i="32"/>
  <c r="K51" i="32"/>
  <c r="N51" i="32"/>
  <c r="O51" i="32"/>
  <c r="P51" i="32"/>
  <c r="Q51" i="32"/>
  <c r="H51" i="32"/>
  <c r="I51" i="32"/>
  <c r="E59" i="32"/>
  <c r="F51" i="32"/>
  <c r="L35" i="32"/>
  <c r="L39" i="32"/>
  <c r="L40" i="32"/>
  <c r="L32" i="32"/>
  <c r="S32" i="32" s="1"/>
  <c r="L13" i="35" s="1"/>
  <c r="L30" i="32"/>
  <c r="S30" i="32" s="1"/>
  <c r="L11" i="35" s="1"/>
  <c r="L36" i="32"/>
  <c r="L37" i="32"/>
  <c r="L38" i="32"/>
  <c r="L28" i="32"/>
  <c r="S28" i="32" s="1"/>
  <c r="L9" i="35" s="1"/>
  <c r="L31" i="32"/>
  <c r="S31" i="32" s="1"/>
  <c r="L12" i="35" s="1"/>
  <c r="L41" i="32"/>
  <c r="L34" i="32"/>
  <c r="L33" i="32"/>
  <c r="S29" i="32"/>
  <c r="L10" i="35" s="1"/>
  <c r="D52" i="32"/>
  <c r="G52" i="32" s="1"/>
  <c r="I52" i="32" l="1"/>
  <c r="J52" i="32"/>
  <c r="M52" i="32"/>
  <c r="K52" i="32"/>
  <c r="N52" i="32"/>
  <c r="O52" i="32"/>
  <c r="P52" i="32"/>
  <c r="Q52" i="32"/>
  <c r="H52" i="32"/>
  <c r="E60" i="32"/>
  <c r="L42" i="32"/>
  <c r="F52" i="32"/>
  <c r="T29" i="32"/>
  <c r="U29" i="32"/>
  <c r="T30" i="32"/>
  <c r="U30" i="32"/>
  <c r="T32" i="32"/>
  <c r="U32" i="32"/>
  <c r="U28" i="32"/>
  <c r="T28" i="32"/>
  <c r="T31" i="32"/>
  <c r="U31" i="32"/>
  <c r="D53" i="32"/>
  <c r="B8" i="28"/>
  <c r="A8" i="28"/>
  <c r="D8" i="28" s="1"/>
  <c r="L6" i="26"/>
  <c r="B9" i="28" l="1"/>
  <c r="H8" i="28"/>
  <c r="H53" i="32"/>
  <c r="I53" i="32"/>
  <c r="J53" i="32"/>
  <c r="M53" i="32"/>
  <c r="K53" i="32"/>
  <c r="N53" i="32"/>
  <c r="O53" i="32"/>
  <c r="P53" i="32"/>
  <c r="G53" i="32"/>
  <c r="Q53" i="32"/>
  <c r="L43" i="32"/>
  <c r="E61" i="32"/>
  <c r="F53" i="32"/>
  <c r="G8" i="28"/>
  <c r="I8" i="28" s="1"/>
  <c r="D54" i="32"/>
  <c r="D7" i="28"/>
  <c r="A9" i="28"/>
  <c r="D9" i="28" s="1"/>
  <c r="J8" i="28" l="1"/>
  <c r="B10" i="28"/>
  <c r="H9" i="28"/>
  <c r="Q54" i="32"/>
  <c r="H54" i="32"/>
  <c r="I54" i="32"/>
  <c r="J54" i="32"/>
  <c r="M54" i="32"/>
  <c r="K54" i="32"/>
  <c r="N54" i="32"/>
  <c r="O54" i="32"/>
  <c r="P54" i="32"/>
  <c r="G54" i="32"/>
  <c r="E62" i="32"/>
  <c r="L44" i="32"/>
  <c r="F54" i="32"/>
  <c r="G7" i="28"/>
  <c r="K8" i="28"/>
  <c r="G9" i="28"/>
  <c r="I9" i="28" s="1"/>
  <c r="D55" i="32"/>
  <c r="A10" i="28"/>
  <c r="D10" i="28" s="1"/>
  <c r="J9" i="28" l="1"/>
  <c r="I7" i="28"/>
  <c r="B11" i="28"/>
  <c r="H10" i="28"/>
  <c r="P55" i="32"/>
  <c r="G55" i="32"/>
  <c r="Q55" i="32"/>
  <c r="H55" i="32"/>
  <c r="I55" i="32"/>
  <c r="J55" i="32"/>
  <c r="M55" i="32"/>
  <c r="K55" i="32"/>
  <c r="N55" i="32"/>
  <c r="O55" i="32"/>
  <c r="E63" i="32"/>
  <c r="L45" i="32"/>
  <c r="F55" i="32"/>
  <c r="K10" i="35"/>
  <c r="L8" i="28"/>
  <c r="G10" i="28"/>
  <c r="I10" i="28" s="1"/>
  <c r="A11" i="28"/>
  <c r="D11" i="28" s="1"/>
  <c r="D56" i="32"/>
  <c r="J10" i="28" l="1"/>
  <c r="B12" i="28"/>
  <c r="H11" i="28"/>
  <c r="J7" i="28"/>
  <c r="K9" i="35" s="1"/>
  <c r="O56" i="32"/>
  <c r="P56" i="32"/>
  <c r="G56" i="32"/>
  <c r="Q56" i="32"/>
  <c r="H56" i="32"/>
  <c r="I56" i="32"/>
  <c r="J56" i="32"/>
  <c r="M56" i="32"/>
  <c r="K56" i="32"/>
  <c r="N56" i="32"/>
  <c r="E64" i="32"/>
  <c r="L46" i="32"/>
  <c r="F56" i="32"/>
  <c r="K11" i="35"/>
  <c r="K9" i="28"/>
  <c r="L9" i="28"/>
  <c r="L7" i="28"/>
  <c r="K7" i="28"/>
  <c r="A12" i="28"/>
  <c r="D12" i="28" s="1"/>
  <c r="G11" i="28"/>
  <c r="I11" i="28" s="1"/>
  <c r="D57" i="32"/>
  <c r="B13" i="28" l="1"/>
  <c r="H12" i="28"/>
  <c r="J11" i="28"/>
  <c r="N57" i="32"/>
  <c r="O57" i="32"/>
  <c r="P57" i="32"/>
  <c r="G57" i="32"/>
  <c r="Q57" i="32"/>
  <c r="H57" i="32"/>
  <c r="I57" i="32"/>
  <c r="J57" i="32"/>
  <c r="M57" i="32"/>
  <c r="K57" i="32"/>
  <c r="L56" i="32"/>
  <c r="L47" i="32"/>
  <c r="R56" i="32"/>
  <c r="F57" i="32"/>
  <c r="D58" i="32"/>
  <c r="K12" i="35"/>
  <c r="L10" i="28"/>
  <c r="K10" i="28"/>
  <c r="G12" i="28"/>
  <c r="I12" i="28" s="1"/>
  <c r="A13" i="28"/>
  <c r="D13" i="28" s="1"/>
  <c r="J12" i="28" l="1"/>
  <c r="B14" i="28"/>
  <c r="H13" i="28"/>
  <c r="M58" i="32"/>
  <c r="K58" i="32"/>
  <c r="N58" i="32"/>
  <c r="O58" i="32"/>
  <c r="P58" i="32"/>
  <c r="G58" i="32"/>
  <c r="Q58" i="32"/>
  <c r="H58" i="32"/>
  <c r="I58" i="32"/>
  <c r="J58" i="32"/>
  <c r="S56" i="32"/>
  <c r="L37" i="35" s="1"/>
  <c r="L57" i="32"/>
  <c r="L48" i="32"/>
  <c r="D59" i="32"/>
  <c r="F58" i="32"/>
  <c r="K13" i="35"/>
  <c r="L11" i="28"/>
  <c r="K11" i="28"/>
  <c r="G13" i="28"/>
  <c r="I13" i="28" s="1"/>
  <c r="A14" i="28"/>
  <c r="D14" i="28" s="1"/>
  <c r="J13" i="28" l="1"/>
  <c r="B15" i="28"/>
  <c r="H14" i="28"/>
  <c r="T56" i="32"/>
  <c r="J59" i="32"/>
  <c r="M59" i="32"/>
  <c r="K59" i="32"/>
  <c r="N59" i="32"/>
  <c r="O59" i="32"/>
  <c r="P59" i="32"/>
  <c r="G59" i="32"/>
  <c r="Q59" i="32"/>
  <c r="H59" i="32"/>
  <c r="I59" i="32"/>
  <c r="U56" i="32"/>
  <c r="L49" i="32"/>
  <c r="L58" i="32"/>
  <c r="R57" i="32"/>
  <c r="S57" i="32" s="1"/>
  <c r="L38" i="35" s="1"/>
  <c r="D60" i="32"/>
  <c r="F59" i="32"/>
  <c r="G14" i="28"/>
  <c r="I14" i="28" s="1"/>
  <c r="K14" i="35"/>
  <c r="K12" i="28"/>
  <c r="L12" i="28"/>
  <c r="A15" i="28"/>
  <c r="D15" i="28" s="1"/>
  <c r="J14" i="28" l="1"/>
  <c r="B16" i="28"/>
  <c r="H15" i="28"/>
  <c r="I60" i="32"/>
  <c r="J60" i="32"/>
  <c r="M60" i="32"/>
  <c r="K60" i="32"/>
  <c r="N60" i="32"/>
  <c r="O60" i="32"/>
  <c r="P60" i="32"/>
  <c r="G60" i="32"/>
  <c r="Q60" i="32"/>
  <c r="H60" i="32"/>
  <c r="L50" i="32"/>
  <c r="L59" i="32"/>
  <c r="T57" i="32"/>
  <c r="U57" i="32"/>
  <c r="R58" i="32"/>
  <c r="S58" i="32" s="1"/>
  <c r="D61" i="32"/>
  <c r="F60" i="32"/>
  <c r="K15" i="35"/>
  <c r="K13" i="28"/>
  <c r="L13" i="28"/>
  <c r="L14" i="28"/>
  <c r="K14" i="28"/>
  <c r="K16" i="35"/>
  <c r="A16" i="28"/>
  <c r="D16" i="28" s="1"/>
  <c r="G15" i="28"/>
  <c r="I15" i="28" s="1"/>
  <c r="J15" i="28" l="1"/>
  <c r="B17" i="28"/>
  <c r="H16" i="28"/>
  <c r="H61" i="32"/>
  <c r="I61" i="32"/>
  <c r="J61" i="32"/>
  <c r="M61" i="32"/>
  <c r="K61" i="32"/>
  <c r="N61" i="32"/>
  <c r="O61" i="32"/>
  <c r="P61" i="32"/>
  <c r="G61" i="32"/>
  <c r="Q61" i="32"/>
  <c r="L60" i="32"/>
  <c r="L51" i="32"/>
  <c r="U58" i="32"/>
  <c r="T58" i="32"/>
  <c r="R59" i="32"/>
  <c r="S59" i="32" s="1"/>
  <c r="D62" i="32"/>
  <c r="F61" i="32"/>
  <c r="G16" i="28"/>
  <c r="I16" i="28" s="1"/>
  <c r="A17" i="28"/>
  <c r="D17" i="28" s="1"/>
  <c r="J16" i="28" l="1"/>
  <c r="B18" i="28"/>
  <c r="H17" i="28"/>
  <c r="Q62" i="32"/>
  <c r="H62" i="32"/>
  <c r="I62" i="32"/>
  <c r="J62" i="32"/>
  <c r="M62" i="32"/>
  <c r="K62" i="32"/>
  <c r="N62" i="32"/>
  <c r="O62" i="32"/>
  <c r="P62" i="32"/>
  <c r="G62" i="32"/>
  <c r="L61" i="32"/>
  <c r="L52" i="32"/>
  <c r="U59" i="32"/>
  <c r="T59" i="32"/>
  <c r="D63" i="32"/>
  <c r="F62" i="32"/>
  <c r="R60" i="32"/>
  <c r="S60" i="32" s="1"/>
  <c r="G17" i="28"/>
  <c r="I17" i="28" s="1"/>
  <c r="K17" i="35"/>
  <c r="K15" i="28"/>
  <c r="L15" i="28"/>
  <c r="A18" i="28"/>
  <c r="D18" i="28" s="1"/>
  <c r="J17" i="28" l="1"/>
  <c r="B19" i="28"/>
  <c r="H18" i="28"/>
  <c r="P63" i="32"/>
  <c r="G63" i="32"/>
  <c r="Q63" i="32"/>
  <c r="H63" i="32"/>
  <c r="I63" i="32"/>
  <c r="J63" i="32"/>
  <c r="M63" i="32"/>
  <c r="K63" i="32"/>
  <c r="N63" i="32"/>
  <c r="O63" i="32"/>
  <c r="L62" i="32"/>
  <c r="R53" i="32"/>
  <c r="L53" i="32"/>
  <c r="U60" i="32"/>
  <c r="T60" i="32"/>
  <c r="D64" i="32"/>
  <c r="F63" i="32"/>
  <c r="R61" i="32"/>
  <c r="S61" i="32" s="1"/>
  <c r="G18" i="28"/>
  <c r="I18" i="28" s="1"/>
  <c r="K18" i="35"/>
  <c r="K16" i="28"/>
  <c r="L16" i="28"/>
  <c r="A19" i="28"/>
  <c r="D19" i="28" s="1"/>
  <c r="J18" i="28" l="1"/>
  <c r="B20" i="28"/>
  <c r="H19" i="28"/>
  <c r="O64" i="32"/>
  <c r="P64" i="32"/>
  <c r="G64" i="32"/>
  <c r="Q64" i="32"/>
  <c r="H64" i="32"/>
  <c r="I64" i="32"/>
  <c r="J64" i="32"/>
  <c r="M64" i="32"/>
  <c r="K64" i="32"/>
  <c r="N64" i="32"/>
  <c r="L54" i="32"/>
  <c r="L63" i="32"/>
  <c r="R54" i="32"/>
  <c r="S53" i="32"/>
  <c r="L34" i="35" s="1"/>
  <c r="F64" i="32"/>
  <c r="T61" i="32"/>
  <c r="U61" i="32"/>
  <c r="R62" i="32"/>
  <c r="S62" i="32" s="1"/>
  <c r="A20" i="28"/>
  <c r="D20" i="28" s="1"/>
  <c r="G20" i="28" s="1"/>
  <c r="G19" i="28"/>
  <c r="I19" i="28" s="1"/>
  <c r="K20" i="35"/>
  <c r="K18" i="28"/>
  <c r="L18" i="28"/>
  <c r="K19" i="35"/>
  <c r="L17" i="28"/>
  <c r="K17" i="28"/>
  <c r="J19" i="28" l="1"/>
  <c r="A21" i="28"/>
  <c r="D21" i="28" s="1"/>
  <c r="G21" i="28" s="1"/>
  <c r="B21" i="28"/>
  <c r="I20" i="28"/>
  <c r="H20" i="28"/>
  <c r="S54" i="32"/>
  <c r="L35" i="35" s="1"/>
  <c r="L55" i="32"/>
  <c r="L65" i="32" s="1"/>
  <c r="L64" i="32"/>
  <c r="T53" i="32"/>
  <c r="U53" i="32"/>
  <c r="R55" i="32"/>
  <c r="T62" i="32"/>
  <c r="U62" i="32"/>
  <c r="R63" i="32"/>
  <c r="S63" i="32" s="1"/>
  <c r="R64" i="32"/>
  <c r="K21" i="35"/>
  <c r="L19" i="28"/>
  <c r="K19" i="28"/>
  <c r="A22" i="28"/>
  <c r="D22" i="28" s="1"/>
  <c r="J20" i="28" l="1"/>
  <c r="B22" i="28"/>
  <c r="I21" i="28"/>
  <c r="H21" i="28"/>
  <c r="J21" i="28" s="1"/>
  <c r="U54" i="32"/>
  <c r="T54" i="32"/>
  <c r="S64" i="32"/>
  <c r="U64" i="32" s="1"/>
  <c r="S55" i="32"/>
  <c r="L36" i="35" s="1"/>
  <c r="U63" i="32"/>
  <c r="T63" i="32"/>
  <c r="K22" i="35"/>
  <c r="G22" i="28"/>
  <c r="A23" i="28"/>
  <c r="D23" i="28" s="1"/>
  <c r="B23" i="28" l="1"/>
  <c r="H22" i="28"/>
  <c r="I22" i="28"/>
  <c r="K20" i="28"/>
  <c r="L20" i="28"/>
  <c r="T64" i="32"/>
  <c r="U55" i="32"/>
  <c r="T55" i="32"/>
  <c r="K23" i="35"/>
  <c r="K21" i="28"/>
  <c r="L21" i="28"/>
  <c r="G23" i="28"/>
  <c r="A24" i="28"/>
  <c r="D24" i="28" s="1"/>
  <c r="J22" i="28" l="1"/>
  <c r="B24" i="28"/>
  <c r="H23" i="28"/>
  <c r="I23" i="28"/>
  <c r="K24" i="35"/>
  <c r="L22" i="28"/>
  <c r="K22" i="28"/>
  <c r="G24" i="28"/>
  <c r="A25" i="28"/>
  <c r="D25" i="28" s="1"/>
  <c r="B25" i="28" l="1"/>
  <c r="H24" i="28"/>
  <c r="I24" i="28"/>
  <c r="J23" i="28"/>
  <c r="K23" i="28" s="1"/>
  <c r="K25" i="35"/>
  <c r="L23" i="28"/>
  <c r="G25" i="28"/>
  <c r="A26" i="28"/>
  <c r="D26" i="28" s="1"/>
  <c r="J24" i="28" l="1"/>
  <c r="K26" i="35" s="1"/>
  <c r="B26" i="28"/>
  <c r="I25" i="28"/>
  <c r="H25" i="28"/>
  <c r="G26" i="28"/>
  <c r="A27" i="28"/>
  <c r="D27" i="28" s="1"/>
  <c r="L24" i="28" l="1"/>
  <c r="K24" i="28"/>
  <c r="B27" i="28"/>
  <c r="I26" i="28"/>
  <c r="H26" i="28"/>
  <c r="J26" i="28" s="1"/>
  <c r="J25" i="28"/>
  <c r="K25" i="28" s="1"/>
  <c r="K27" i="35"/>
  <c r="L25" i="28"/>
  <c r="G27" i="28"/>
  <c r="A28" i="28"/>
  <c r="D28" i="28" s="1"/>
  <c r="B28" i="28" l="1"/>
  <c r="H27" i="28"/>
  <c r="I27" i="28"/>
  <c r="K28" i="35"/>
  <c r="K26" i="28"/>
  <c r="L26" i="28"/>
  <c r="G28" i="28"/>
  <c r="A29" i="28"/>
  <c r="D29" i="28" s="1"/>
  <c r="J27" i="28" l="1"/>
  <c r="B29" i="28"/>
  <c r="I28" i="28"/>
  <c r="H28" i="28"/>
  <c r="J28" i="28" s="1"/>
  <c r="K29" i="35"/>
  <c r="L27" i="28"/>
  <c r="K27" i="28"/>
  <c r="G29" i="28"/>
  <c r="A30" i="28"/>
  <c r="D30" i="28" s="1"/>
  <c r="B30" i="28" l="1"/>
  <c r="H29" i="28"/>
  <c r="I29" i="28"/>
  <c r="K30" i="35"/>
  <c r="L28" i="28"/>
  <c r="K28" i="28"/>
  <c r="G30" i="28"/>
  <c r="A31" i="28"/>
  <c r="D31" i="28" s="1"/>
  <c r="J29" i="28" l="1"/>
  <c r="B31" i="28"/>
  <c r="H30" i="28"/>
  <c r="I30" i="28"/>
  <c r="K31" i="35"/>
  <c r="K29" i="28"/>
  <c r="L29" i="28"/>
  <c r="G31" i="28"/>
  <c r="A32" i="28"/>
  <c r="D32" i="28" s="1"/>
  <c r="B32" i="28" l="1"/>
  <c r="H31" i="28"/>
  <c r="I31" i="28"/>
  <c r="J30" i="28"/>
  <c r="K32" i="35" s="1"/>
  <c r="G32" i="28"/>
  <c r="A33" i="28"/>
  <c r="D33" i="28" s="1"/>
  <c r="K30" i="28" l="1"/>
  <c r="L30" i="28"/>
  <c r="J31" i="28"/>
  <c r="L31" i="28" s="1"/>
  <c r="B33" i="28"/>
  <c r="H32" i="28"/>
  <c r="I32" i="28"/>
  <c r="K33" i="35"/>
  <c r="K31" i="28"/>
  <c r="G33" i="28"/>
  <c r="A34" i="28"/>
  <c r="D34" i="28" s="1"/>
  <c r="J32" i="28" l="1"/>
  <c r="K34" i="35" s="1"/>
  <c r="B34" i="28"/>
  <c r="H33" i="28"/>
  <c r="I33" i="28"/>
  <c r="G34" i="28"/>
  <c r="A35" i="28"/>
  <c r="D35" i="28" s="1"/>
  <c r="L32" i="28" l="1"/>
  <c r="K32" i="28"/>
  <c r="J33" i="28"/>
  <c r="K33" i="28" s="1"/>
  <c r="B35" i="28"/>
  <c r="H34" i="28"/>
  <c r="I34" i="28"/>
  <c r="K35" i="35"/>
  <c r="L33" i="28"/>
  <c r="G35" i="28"/>
  <c r="A36" i="28"/>
  <c r="D36" i="28" s="1"/>
  <c r="J34" i="28" l="1"/>
  <c r="B36" i="28"/>
  <c r="H35" i="28"/>
  <c r="I35" i="28"/>
  <c r="F37" i="28"/>
  <c r="K36" i="35"/>
  <c r="K34" i="28"/>
  <c r="L34" i="28"/>
  <c r="G36" i="28"/>
  <c r="J35" i="28" l="1"/>
  <c r="L35" i="28" s="1"/>
  <c r="I36" i="28"/>
  <c r="I37" i="28" s="1"/>
  <c r="H36" i="28"/>
  <c r="E37" i="28"/>
  <c r="K37" i="35"/>
  <c r="K35" i="28"/>
  <c r="J36" i="28" l="1"/>
  <c r="H37" i="28"/>
  <c r="K38" i="35"/>
  <c r="K39" i="35" s="1"/>
  <c r="L36" i="28"/>
  <c r="L37" i="28" s="1"/>
  <c r="E8" i="39" s="1"/>
  <c r="K36" i="28"/>
  <c r="I12" i="26" l="1"/>
  <c r="I13" i="26" s="1"/>
  <c r="I14" i="26" s="1"/>
  <c r="I15" i="26" s="1"/>
  <c r="I16" i="26" s="1"/>
  <c r="I17" i="26" s="1"/>
  <c r="I18" i="26" s="1"/>
  <c r="I19" i="26" s="1"/>
  <c r="I20" i="26" s="1"/>
  <c r="I21" i="26" s="1"/>
  <c r="I22" i="26" s="1"/>
  <c r="I23" i="26" s="1"/>
  <c r="I24" i="26" s="1"/>
  <c r="I25" i="26" s="1"/>
  <c r="I26" i="26" s="1"/>
  <c r="I27" i="26" s="1"/>
  <c r="I28" i="26" s="1"/>
  <c r="I29" i="26" s="1"/>
  <c r="I30" i="26" s="1"/>
  <c r="I31" i="26" s="1"/>
  <c r="I32" i="26" s="1"/>
  <c r="I33" i="26" s="1"/>
  <c r="I34" i="26" s="1"/>
  <c r="I35" i="26" s="1"/>
  <c r="I36" i="26" s="1"/>
  <c r="I37" i="26" s="1"/>
  <c r="I38" i="26" s="1"/>
  <c r="I39" i="26" s="1"/>
  <c r="I40" i="26" s="1"/>
  <c r="H11" i="26"/>
  <c r="K5" i="26"/>
  <c r="J5" i="26"/>
  <c r="J6" i="26" s="1"/>
  <c r="B11" i="26"/>
  <c r="C12" i="26"/>
  <c r="C13" i="26" s="1"/>
  <c r="C14" i="26" s="1"/>
  <c r="C15" i="26" s="1"/>
  <c r="C16" i="26" s="1"/>
  <c r="C17" i="26" s="1"/>
  <c r="C18" i="26" s="1"/>
  <c r="C19" i="26" s="1"/>
  <c r="C20" i="26" s="1"/>
  <c r="C21" i="26" s="1"/>
  <c r="C22" i="26" s="1"/>
  <c r="C23" i="26" s="1"/>
  <c r="C24" i="26" s="1"/>
  <c r="C25" i="26" s="1"/>
  <c r="C26" i="26" s="1"/>
  <c r="C27" i="26" s="1"/>
  <c r="C28" i="26" s="1"/>
  <c r="C29" i="26" s="1"/>
  <c r="C30" i="26" s="1"/>
  <c r="C31" i="26" s="1"/>
  <c r="C32" i="26" s="1"/>
  <c r="C33" i="26" s="1"/>
  <c r="C34" i="26" s="1"/>
  <c r="C35" i="26" s="1"/>
  <c r="C36" i="26" s="1"/>
  <c r="C37" i="26" s="1"/>
  <c r="C38" i="26" s="1"/>
  <c r="C39" i="26" s="1"/>
  <c r="C40" i="26" s="1"/>
  <c r="F17" i="25"/>
  <c r="K2" i="26"/>
  <c r="H12" i="26" l="1"/>
  <c r="J11" i="26"/>
  <c r="L11" i="26"/>
  <c r="K11" i="26"/>
  <c r="J8" i="41"/>
  <c r="F18" i="25"/>
  <c r="B12" i="26"/>
  <c r="K6" i="26"/>
  <c r="M11" i="26" l="1"/>
  <c r="H13" i="26"/>
  <c r="L12" i="26"/>
  <c r="J12" i="26"/>
  <c r="K12" i="26"/>
  <c r="J9" i="41"/>
  <c r="F19" i="25"/>
  <c r="B13" i="26"/>
  <c r="M12" i="26" l="1"/>
  <c r="J9" i="35"/>
  <c r="H14" i="26"/>
  <c r="L13" i="26"/>
  <c r="J13" i="26"/>
  <c r="K13" i="26"/>
  <c r="F20" i="25"/>
  <c r="J10" i="41"/>
  <c r="B14" i="26"/>
  <c r="J10" i="35" l="1"/>
  <c r="O12" i="26"/>
  <c r="N12" i="26"/>
  <c r="M13" i="26"/>
  <c r="H15" i="26"/>
  <c r="L14" i="26"/>
  <c r="K14" i="26"/>
  <c r="J14" i="26"/>
  <c r="D11" i="26"/>
  <c r="J11" i="41"/>
  <c r="D14" i="26"/>
  <c r="B15" i="26"/>
  <c r="H16" i="26" l="1"/>
  <c r="J15" i="26"/>
  <c r="K15" i="26"/>
  <c r="L15" i="26"/>
  <c r="M14" i="26"/>
  <c r="J11" i="35"/>
  <c r="O13" i="26"/>
  <c r="N13" i="26"/>
  <c r="D12" i="26"/>
  <c r="F12" i="26" s="1"/>
  <c r="C9" i="35"/>
  <c r="F11" i="26"/>
  <c r="E11" i="26"/>
  <c r="C12" i="35"/>
  <c r="D12" i="35" s="1"/>
  <c r="F12" i="35" s="1"/>
  <c r="E14" i="26"/>
  <c r="F14" i="26"/>
  <c r="D13" i="26"/>
  <c r="C11" i="35" s="1"/>
  <c r="D11" i="35" s="1"/>
  <c r="B16" i="26"/>
  <c r="N14" i="26" l="1"/>
  <c r="O14" i="26"/>
  <c r="J12" i="35"/>
  <c r="M15" i="26"/>
  <c r="H17" i="26"/>
  <c r="K16" i="26"/>
  <c r="J16" i="26"/>
  <c r="L16" i="26"/>
  <c r="C10" i="35"/>
  <c r="D10" i="35" s="1"/>
  <c r="F10" i="35" s="1"/>
  <c r="E12" i="26"/>
  <c r="D3" i="41"/>
  <c r="F3" i="41" s="1"/>
  <c r="E12" i="35"/>
  <c r="F13" i="26"/>
  <c r="E13" i="26"/>
  <c r="F11" i="35"/>
  <c r="E11" i="35"/>
  <c r="D15" i="26"/>
  <c r="D16" i="26"/>
  <c r="B17" i="26"/>
  <c r="H18" i="26" l="1"/>
  <c r="K17" i="26"/>
  <c r="J17" i="26"/>
  <c r="L17" i="26"/>
  <c r="J13" i="35"/>
  <c r="O15" i="26"/>
  <c r="N15" i="26"/>
  <c r="M16" i="26"/>
  <c r="E10" i="35"/>
  <c r="J3" i="41"/>
  <c r="L3" i="41"/>
  <c r="K3" i="41"/>
  <c r="C13" i="35"/>
  <c r="D13" i="35" s="1"/>
  <c r="F13" i="35" s="1"/>
  <c r="E15" i="26"/>
  <c r="F15" i="26"/>
  <c r="C14" i="35"/>
  <c r="D14" i="35" s="1"/>
  <c r="F14" i="35" s="1"/>
  <c r="E16" i="26"/>
  <c r="F16" i="26"/>
  <c r="D17" i="26"/>
  <c r="B18" i="26"/>
  <c r="F7" i="41" l="1"/>
  <c r="M17" i="26"/>
  <c r="H19" i="26"/>
  <c r="K18" i="26"/>
  <c r="J18" i="26"/>
  <c r="M18" i="26" s="1"/>
  <c r="L18" i="26"/>
  <c r="J14" i="35"/>
  <c r="O16" i="26"/>
  <c r="N16" i="26"/>
  <c r="E13" i="35"/>
  <c r="C15" i="35"/>
  <c r="D15" i="35" s="1"/>
  <c r="E15" i="35" s="1"/>
  <c r="E17" i="26"/>
  <c r="F17" i="26"/>
  <c r="E14" i="35"/>
  <c r="D18" i="26"/>
  <c r="B19" i="26"/>
  <c r="F8" i="41" l="1"/>
  <c r="M9" i="35"/>
  <c r="J16" i="35"/>
  <c r="N18" i="26"/>
  <c r="O18" i="26"/>
  <c r="H20" i="26"/>
  <c r="J19" i="26"/>
  <c r="L19" i="26"/>
  <c r="K19" i="26"/>
  <c r="J15" i="35"/>
  <c r="O17" i="26"/>
  <c r="N17" i="26"/>
  <c r="F10" i="41"/>
  <c r="F12" i="41"/>
  <c r="M14" i="35" s="1"/>
  <c r="F11" i="41"/>
  <c r="F13" i="41"/>
  <c r="N9" i="35"/>
  <c r="F14" i="41"/>
  <c r="F9" i="41"/>
  <c r="F15" i="35"/>
  <c r="E18" i="26"/>
  <c r="F18" i="26"/>
  <c r="C16" i="35"/>
  <c r="D16" i="35" s="1"/>
  <c r="D19" i="26"/>
  <c r="B20" i="26"/>
  <c r="M19" i="26" l="1"/>
  <c r="H21" i="26"/>
  <c r="L20" i="26"/>
  <c r="J20" i="26"/>
  <c r="K20" i="26"/>
  <c r="M12" i="35"/>
  <c r="N12" i="35" s="1"/>
  <c r="O12" i="35" s="1"/>
  <c r="M10" i="35"/>
  <c r="N10" i="35" s="1"/>
  <c r="P10" i="35" s="1"/>
  <c r="M13" i="35"/>
  <c r="N13" i="35" s="1"/>
  <c r="P13" i="35" s="1"/>
  <c r="O9" i="35"/>
  <c r="P9" i="35"/>
  <c r="M15" i="35"/>
  <c r="M11" i="35"/>
  <c r="M16" i="35"/>
  <c r="F44" i="41"/>
  <c r="C5" i="39" s="1"/>
  <c r="F19" i="26"/>
  <c r="E19" i="26"/>
  <c r="E16" i="35"/>
  <c r="F16" i="35"/>
  <c r="D20" i="26"/>
  <c r="C17" i="35"/>
  <c r="D17" i="35" s="1"/>
  <c r="B21" i="26"/>
  <c r="H22" i="26" l="1"/>
  <c r="K21" i="26"/>
  <c r="J21" i="26"/>
  <c r="L21" i="26"/>
  <c r="M20" i="26"/>
  <c r="J17" i="35"/>
  <c r="N19" i="26"/>
  <c r="O19" i="26"/>
  <c r="P12" i="35"/>
  <c r="O10" i="35"/>
  <c r="O13" i="35"/>
  <c r="N11" i="35"/>
  <c r="M39" i="35"/>
  <c r="H44" i="41"/>
  <c r="E5" i="39" s="1"/>
  <c r="G44" i="41"/>
  <c r="D5" i="39" s="1"/>
  <c r="C18" i="35"/>
  <c r="D18" i="35" s="1"/>
  <c r="E18" i="35" s="1"/>
  <c r="F20" i="26"/>
  <c r="E20" i="26"/>
  <c r="E17" i="35"/>
  <c r="F17" i="35"/>
  <c r="D21" i="26"/>
  <c r="B22" i="26"/>
  <c r="N20" i="26" l="1"/>
  <c r="J18" i="35"/>
  <c r="O20" i="26"/>
  <c r="M21" i="26"/>
  <c r="H23" i="26"/>
  <c r="L22" i="26"/>
  <c r="J22" i="26"/>
  <c r="K22" i="26"/>
  <c r="O11" i="35"/>
  <c r="P11" i="35"/>
  <c r="F18" i="35"/>
  <c r="F21" i="26"/>
  <c r="E21" i="26"/>
  <c r="C19" i="35"/>
  <c r="D19" i="35" s="1"/>
  <c r="D22" i="26"/>
  <c r="B23" i="26"/>
  <c r="M22" i="26" l="1"/>
  <c r="O22" i="26" s="1"/>
  <c r="H24" i="26"/>
  <c r="J23" i="26"/>
  <c r="L23" i="26"/>
  <c r="K23" i="26"/>
  <c r="N21" i="26"/>
  <c r="J19" i="35"/>
  <c r="O21" i="26"/>
  <c r="E22" i="26"/>
  <c r="F22" i="26"/>
  <c r="E19" i="35"/>
  <c r="F19" i="35"/>
  <c r="C20" i="35"/>
  <c r="D20" i="35" s="1"/>
  <c r="D23" i="26"/>
  <c r="B24" i="26"/>
  <c r="N22" i="26" l="1"/>
  <c r="M23" i="26"/>
  <c r="J20" i="35"/>
  <c r="J21" i="35"/>
  <c r="O23" i="26"/>
  <c r="N23" i="26"/>
  <c r="H25" i="26"/>
  <c r="K24" i="26"/>
  <c r="J24" i="26"/>
  <c r="L24" i="26"/>
  <c r="C21" i="35"/>
  <c r="D21" i="35" s="1"/>
  <c r="E21" i="35" s="1"/>
  <c r="E23" i="26"/>
  <c r="F23" i="26"/>
  <c r="F20" i="35"/>
  <c r="E20" i="35"/>
  <c r="D24" i="26"/>
  <c r="B25" i="26"/>
  <c r="M24" i="26" l="1"/>
  <c r="H26" i="26"/>
  <c r="K25" i="26"/>
  <c r="J25" i="26"/>
  <c r="L25" i="26"/>
  <c r="F21" i="35"/>
  <c r="C22" i="35"/>
  <c r="D22" i="35" s="1"/>
  <c r="E22" i="35" s="1"/>
  <c r="E24" i="26"/>
  <c r="F24" i="26"/>
  <c r="D25" i="26"/>
  <c r="B26" i="26"/>
  <c r="M25" i="26" l="1"/>
  <c r="H27" i="26"/>
  <c r="K26" i="26"/>
  <c r="J26" i="26"/>
  <c r="M26" i="26" s="1"/>
  <c r="L26" i="26"/>
  <c r="J22" i="35"/>
  <c r="O24" i="26"/>
  <c r="N24" i="26"/>
  <c r="F22" i="35"/>
  <c r="C23" i="35"/>
  <c r="D23" i="35" s="1"/>
  <c r="E23" i="35" s="1"/>
  <c r="E25" i="26"/>
  <c r="F25" i="26"/>
  <c r="D26" i="26"/>
  <c r="B27" i="26"/>
  <c r="J24" i="35" l="1"/>
  <c r="N26" i="26"/>
  <c r="O26" i="26"/>
  <c r="H28" i="26"/>
  <c r="J27" i="26"/>
  <c r="L27" i="26"/>
  <c r="K27" i="26"/>
  <c r="J23" i="35"/>
  <c r="N25" i="26"/>
  <c r="O25" i="26"/>
  <c r="F23" i="35"/>
  <c r="F26" i="26"/>
  <c r="E26" i="26"/>
  <c r="C24" i="35"/>
  <c r="D24" i="35" s="1"/>
  <c r="D27" i="26"/>
  <c r="B28" i="26"/>
  <c r="M27" i="26" l="1"/>
  <c r="H29" i="26"/>
  <c r="J28" i="26"/>
  <c r="L28" i="26"/>
  <c r="K28" i="26"/>
  <c r="F27" i="26"/>
  <c r="E27" i="26"/>
  <c r="E24" i="35"/>
  <c r="F24" i="35"/>
  <c r="D28" i="26"/>
  <c r="C25" i="35"/>
  <c r="D25" i="35" s="1"/>
  <c r="B29" i="26"/>
  <c r="M28" i="26" l="1"/>
  <c r="H30" i="26"/>
  <c r="J29" i="26"/>
  <c r="K29" i="26"/>
  <c r="L29" i="26"/>
  <c r="O27" i="26"/>
  <c r="J25" i="35"/>
  <c r="N27" i="26"/>
  <c r="C26" i="35"/>
  <c r="D26" i="35" s="1"/>
  <c r="E26" i="35" s="1"/>
  <c r="F28" i="26"/>
  <c r="E28" i="26"/>
  <c r="F25" i="35"/>
  <c r="E25" i="35"/>
  <c r="D29" i="26"/>
  <c r="B30" i="26"/>
  <c r="M29" i="26" l="1"/>
  <c r="H31" i="26"/>
  <c r="L30" i="26"/>
  <c r="K30" i="26"/>
  <c r="J30" i="26"/>
  <c r="N28" i="26"/>
  <c r="J26" i="35"/>
  <c r="O28" i="26"/>
  <c r="F26" i="35"/>
  <c r="F29" i="26"/>
  <c r="E29" i="26"/>
  <c r="C27" i="35"/>
  <c r="D27" i="35" s="1"/>
  <c r="D30" i="26"/>
  <c r="B31" i="26"/>
  <c r="M30" i="26" l="1"/>
  <c r="N30" i="26"/>
  <c r="J28" i="35"/>
  <c r="O30" i="26"/>
  <c r="H32" i="26"/>
  <c r="L31" i="26"/>
  <c r="K31" i="26"/>
  <c r="J31" i="26"/>
  <c r="N29" i="26"/>
  <c r="J27" i="35"/>
  <c r="O29" i="26"/>
  <c r="C28" i="35"/>
  <c r="D28" i="35" s="1"/>
  <c r="F28" i="35" s="1"/>
  <c r="E30" i="26"/>
  <c r="F30" i="26"/>
  <c r="F27" i="35"/>
  <c r="E27" i="35"/>
  <c r="D31" i="26"/>
  <c r="E31" i="26" s="1"/>
  <c r="B32" i="26"/>
  <c r="M31" i="26" l="1"/>
  <c r="J29" i="35"/>
  <c r="N31" i="26"/>
  <c r="O31" i="26"/>
  <c r="H33" i="26"/>
  <c r="K32" i="26"/>
  <c r="J32" i="26"/>
  <c r="L32" i="26"/>
  <c r="E28" i="35"/>
  <c r="C29" i="35"/>
  <c r="D29" i="35" s="1"/>
  <c r="F29" i="35" s="1"/>
  <c r="F31" i="26"/>
  <c r="D32" i="26"/>
  <c r="B33" i="26"/>
  <c r="M32" i="26" l="1"/>
  <c r="J30" i="35"/>
  <c r="N32" i="26"/>
  <c r="O32" i="26"/>
  <c r="H34" i="26"/>
  <c r="K33" i="26"/>
  <c r="J33" i="26"/>
  <c r="L33" i="26"/>
  <c r="E29" i="35"/>
  <c r="C30" i="35"/>
  <c r="D30" i="35" s="1"/>
  <c r="E30" i="35" s="1"/>
  <c r="E32" i="26"/>
  <c r="F32" i="26"/>
  <c r="D33" i="26"/>
  <c r="B34" i="26"/>
  <c r="M33" i="26" l="1"/>
  <c r="J31" i="35"/>
  <c r="O33" i="26"/>
  <c r="N33" i="26"/>
  <c r="H35" i="26"/>
  <c r="K34" i="26"/>
  <c r="J34" i="26"/>
  <c r="L34" i="26"/>
  <c r="F30" i="35"/>
  <c r="C31" i="35"/>
  <c r="D31" i="35" s="1"/>
  <c r="E31" i="35" s="1"/>
  <c r="F33" i="26"/>
  <c r="E33" i="26"/>
  <c r="D34" i="26"/>
  <c r="B35" i="26"/>
  <c r="M34" i="26" l="1"/>
  <c r="H36" i="26"/>
  <c r="L35" i="26"/>
  <c r="J35" i="26"/>
  <c r="K35" i="26"/>
  <c r="F31" i="35"/>
  <c r="C32" i="35"/>
  <c r="D32" i="35" s="1"/>
  <c r="E32" i="35" s="1"/>
  <c r="F34" i="26"/>
  <c r="E34" i="26"/>
  <c r="D35" i="26"/>
  <c r="B36" i="26"/>
  <c r="M35" i="26" l="1"/>
  <c r="H37" i="26"/>
  <c r="L36" i="26"/>
  <c r="K36" i="26"/>
  <c r="J36" i="26"/>
  <c r="M36" i="26" s="1"/>
  <c r="N35" i="26"/>
  <c r="O35" i="26"/>
  <c r="J33" i="35"/>
  <c r="J32" i="35"/>
  <c r="O34" i="26"/>
  <c r="N34" i="26"/>
  <c r="F32" i="35"/>
  <c r="C33" i="35"/>
  <c r="D33" i="35" s="1"/>
  <c r="E33" i="35" s="1"/>
  <c r="F35" i="26"/>
  <c r="E35" i="26"/>
  <c r="D36" i="26"/>
  <c r="B37" i="26"/>
  <c r="N36" i="26" l="1"/>
  <c r="O36" i="26"/>
  <c r="J34" i="35"/>
  <c r="N34" i="35" s="1"/>
  <c r="H38" i="26"/>
  <c r="L37" i="26"/>
  <c r="K37" i="26"/>
  <c r="J37" i="26"/>
  <c r="F33" i="35"/>
  <c r="C34" i="35"/>
  <c r="D34" i="35" s="1"/>
  <c r="F34" i="35" s="1"/>
  <c r="F36" i="26"/>
  <c r="E36" i="26"/>
  <c r="D37" i="26"/>
  <c r="B38" i="26"/>
  <c r="H39" i="26" l="1"/>
  <c r="K38" i="26"/>
  <c r="L38" i="26"/>
  <c r="J38" i="26"/>
  <c r="M38" i="26" s="1"/>
  <c r="M37" i="26"/>
  <c r="P34" i="35"/>
  <c r="O34" i="35"/>
  <c r="E34" i="35"/>
  <c r="C35" i="35"/>
  <c r="D35" i="35" s="1"/>
  <c r="E35" i="35" s="1"/>
  <c r="E37" i="26"/>
  <c r="F37" i="26"/>
  <c r="D38" i="26"/>
  <c r="B39" i="26"/>
  <c r="N38" i="26" l="1"/>
  <c r="J36" i="35"/>
  <c r="N36" i="35" s="1"/>
  <c r="O38" i="26"/>
  <c r="J35" i="35"/>
  <c r="N35" i="35" s="1"/>
  <c r="O37" i="26"/>
  <c r="N37" i="26"/>
  <c r="H40" i="26"/>
  <c r="K39" i="26"/>
  <c r="L39" i="26"/>
  <c r="J39" i="26"/>
  <c r="F35" i="35"/>
  <c r="C36" i="35"/>
  <c r="D36" i="35" s="1"/>
  <c r="F36" i="35" s="1"/>
  <c r="E38" i="26"/>
  <c r="F38" i="26"/>
  <c r="D39" i="26"/>
  <c r="B40" i="26"/>
  <c r="P35" i="35" l="1"/>
  <c r="O35" i="35"/>
  <c r="J40" i="26"/>
  <c r="K40" i="26"/>
  <c r="K41" i="26" s="1"/>
  <c r="L40" i="26"/>
  <c r="L41" i="26" s="1"/>
  <c r="M39" i="26"/>
  <c r="P36" i="35"/>
  <c r="O36" i="35"/>
  <c r="E36" i="35"/>
  <c r="C37" i="35"/>
  <c r="D37" i="35" s="1"/>
  <c r="F37" i="35" s="1"/>
  <c r="E39" i="26"/>
  <c r="F39" i="26"/>
  <c r="D40" i="26"/>
  <c r="N39" i="26" l="1"/>
  <c r="O39" i="26"/>
  <c r="J37" i="35"/>
  <c r="N37" i="35" s="1"/>
  <c r="M40" i="26"/>
  <c r="J41" i="26"/>
  <c r="E37" i="35"/>
  <c r="E40" i="26"/>
  <c r="E41" i="26" s="1"/>
  <c r="F40" i="26"/>
  <c r="F41" i="26" s="1"/>
  <c r="D41" i="26"/>
  <c r="C38" i="35"/>
  <c r="D38" i="35" s="1"/>
  <c r="G37" i="28"/>
  <c r="N40" i="26" l="1"/>
  <c r="O40" i="26"/>
  <c r="J38" i="35"/>
  <c r="M41" i="26"/>
  <c r="C7" i="39" s="1"/>
  <c r="P37" i="35"/>
  <c r="O37" i="35"/>
  <c r="O41" i="26"/>
  <c r="E7" i="39" s="1"/>
  <c r="N41" i="26"/>
  <c r="D7" i="39" s="1"/>
  <c r="C39" i="35"/>
  <c r="F38" i="35"/>
  <c r="E38" i="35"/>
  <c r="K37" i="28"/>
  <c r="D8" i="39" s="1"/>
  <c r="J37" i="28"/>
  <c r="C8" i="39" s="1"/>
  <c r="N38" i="35" l="1"/>
  <c r="J39" i="35"/>
  <c r="D9" i="35"/>
  <c r="O38" i="35" l="1"/>
  <c r="P38" i="35"/>
  <c r="F9" i="35"/>
  <c r="F39" i="35" s="1"/>
  <c r="E9" i="35"/>
  <c r="E39" i="35" s="1"/>
  <c r="D10" i="39" s="1"/>
  <c r="D39" i="35"/>
  <c r="C10" i="39" s="1"/>
  <c r="C3" i="35" l="1"/>
  <c r="D3" i="35"/>
  <c r="E10" i="39"/>
  <c r="R51" i="32" l="1"/>
  <c r="S51" i="32" s="1"/>
  <c r="L32" i="35" s="1"/>
  <c r="N32" i="35" s="1"/>
  <c r="R47" i="32"/>
  <c r="S47" i="32" s="1"/>
  <c r="L28" i="35" s="1"/>
  <c r="N28" i="35" s="1"/>
  <c r="R49" i="32"/>
  <c r="S49" i="32" s="1"/>
  <c r="L30" i="35" s="1"/>
  <c r="N30" i="35" s="1"/>
  <c r="R33" i="32"/>
  <c r="R40" i="32"/>
  <c r="S40" i="32" s="1"/>
  <c r="L21" i="35" s="1"/>
  <c r="N21" i="35" s="1"/>
  <c r="R48" i="32"/>
  <c r="S48" i="32" s="1"/>
  <c r="L29" i="35" s="1"/>
  <c r="N29" i="35" s="1"/>
  <c r="R52" i="32"/>
  <c r="S52" i="32" s="1"/>
  <c r="L33" i="35" s="1"/>
  <c r="N33" i="35" s="1"/>
  <c r="T48" i="32" l="1"/>
  <c r="U48" i="32"/>
  <c r="T49" i="32"/>
  <c r="U49" i="32"/>
  <c r="U52" i="32"/>
  <c r="T52" i="32"/>
  <c r="T47" i="32"/>
  <c r="U47" i="32"/>
  <c r="T40" i="32"/>
  <c r="U40" i="32"/>
  <c r="U51" i="32"/>
  <c r="T51" i="32"/>
  <c r="R45" i="32"/>
  <c r="S45" i="32" s="1"/>
  <c r="L26" i="35" s="1"/>
  <c r="N26" i="35" s="1"/>
  <c r="R50" i="32"/>
  <c r="S50" i="32" s="1"/>
  <c r="L31" i="35" s="1"/>
  <c r="N31" i="35" s="1"/>
  <c r="R37" i="32"/>
  <c r="S37" i="32" s="1"/>
  <c r="L18" i="35" s="1"/>
  <c r="N18" i="35" s="1"/>
  <c r="R43" i="32"/>
  <c r="S43" i="32" s="1"/>
  <c r="L24" i="35" s="1"/>
  <c r="N24" i="35" s="1"/>
  <c r="R41" i="32"/>
  <c r="S41" i="32" s="1"/>
  <c r="L22" i="35" s="1"/>
  <c r="N22" i="35" s="1"/>
  <c r="R42" i="32"/>
  <c r="S42" i="32" s="1"/>
  <c r="L23" i="35" s="1"/>
  <c r="N23" i="35" s="1"/>
  <c r="R36" i="32"/>
  <c r="S36" i="32" s="1"/>
  <c r="L17" i="35" s="1"/>
  <c r="N17" i="35" s="1"/>
  <c r="R34" i="32"/>
  <c r="S34" i="32" s="1"/>
  <c r="L15" i="35" s="1"/>
  <c r="N15" i="35" s="1"/>
  <c r="R35" i="32"/>
  <c r="S35" i="32" s="1"/>
  <c r="L16" i="35" s="1"/>
  <c r="N16" i="35" s="1"/>
  <c r="R39" i="32"/>
  <c r="S39" i="32" s="1"/>
  <c r="L20" i="35" s="1"/>
  <c r="N20" i="35" s="1"/>
  <c r="R38" i="32"/>
  <c r="S38" i="32" s="1"/>
  <c r="L19" i="35" s="1"/>
  <c r="N19" i="35" s="1"/>
  <c r="R44" i="32"/>
  <c r="S44" i="32" s="1"/>
  <c r="L25" i="35" s="1"/>
  <c r="N25" i="35" s="1"/>
  <c r="R46" i="32"/>
  <c r="S46" i="32" s="1"/>
  <c r="L27" i="35" s="1"/>
  <c r="N27" i="35" s="1"/>
  <c r="S33" i="32"/>
  <c r="L14" i="35" s="1"/>
  <c r="L39" i="35" l="1"/>
  <c r="N14" i="35"/>
  <c r="N39" i="35" s="1"/>
  <c r="T38" i="32"/>
  <c r="U38" i="32"/>
  <c r="U50" i="32"/>
  <c r="T50" i="32"/>
  <c r="U44" i="32"/>
  <c r="T44" i="32"/>
  <c r="T39" i="32"/>
  <c r="U39" i="32"/>
  <c r="T45" i="32"/>
  <c r="U45" i="32"/>
  <c r="U36" i="32"/>
  <c r="T36" i="32"/>
  <c r="U43" i="32"/>
  <c r="T43" i="32"/>
  <c r="U35" i="32"/>
  <c r="T35" i="32"/>
  <c r="T33" i="32"/>
  <c r="U33" i="32"/>
  <c r="T42" i="32"/>
  <c r="U42" i="32"/>
  <c r="T37" i="32"/>
  <c r="U37" i="32"/>
  <c r="T34" i="32"/>
  <c r="U34" i="32"/>
  <c r="T46" i="32"/>
  <c r="U46" i="32"/>
  <c r="T41" i="32"/>
  <c r="U41" i="32"/>
  <c r="S65" i="32"/>
  <c r="C9" i="39" s="1"/>
  <c r="R65" i="32"/>
  <c r="U65" i="32" l="1"/>
  <c r="E3" i="39" s="1"/>
  <c r="E9" i="39" s="1"/>
  <c r="E11" i="39" s="1"/>
  <c r="T65" i="32"/>
  <c r="D3" i="39" s="1"/>
  <c r="D9" i="39" s="1"/>
  <c r="C11" i="39" l="1"/>
  <c r="P28" i="35" l="1"/>
  <c r="O28" i="35"/>
  <c r="P33" i="35" l="1"/>
  <c r="O33" i="35"/>
  <c r="P21" i="35"/>
  <c r="O21" i="35"/>
  <c r="P26" i="35"/>
  <c r="O26" i="35"/>
  <c r="P22" i="35"/>
  <c r="O22" i="35"/>
  <c r="P16" i="35"/>
  <c r="O16" i="35"/>
  <c r="P32" i="35" l="1"/>
  <c r="O32" i="35"/>
  <c r="P29" i="35"/>
  <c r="O29" i="35"/>
  <c r="P30" i="35"/>
  <c r="O30" i="35"/>
  <c r="P20" i="35"/>
  <c r="O20" i="35"/>
  <c r="P18" i="35"/>
  <c r="O18" i="35"/>
  <c r="P17" i="35"/>
  <c r="O17" i="35"/>
  <c r="P25" i="35"/>
  <c r="O25" i="35"/>
  <c r="O14" i="35"/>
  <c r="P14" i="35"/>
  <c r="P27" i="35" l="1"/>
  <c r="O27" i="35"/>
  <c r="P23" i="35"/>
  <c r="O23" i="35"/>
  <c r="P31" i="35"/>
  <c r="O31" i="35"/>
  <c r="O24" i="35"/>
  <c r="P24" i="35"/>
  <c r="O19" i="35"/>
  <c r="P19" i="35"/>
  <c r="O15" i="35"/>
  <c r="P15" i="35"/>
  <c r="D11" i="39"/>
  <c r="C2" i="35"/>
  <c r="P39" i="35" l="1"/>
  <c r="D2" i="35" s="1"/>
  <c r="D5" i="35" s="1"/>
  <c r="C5" i="35"/>
  <c r="O39" i="35"/>
  <c r="D4" i="35" l="1"/>
  <c r="C4" i="35"/>
</calcChain>
</file>

<file path=xl/sharedStrings.xml><?xml version="1.0" encoding="utf-8"?>
<sst xmlns="http://schemas.openxmlformats.org/spreadsheetml/2006/main" count="319" uniqueCount="196">
  <si>
    <t>Project Information</t>
  </si>
  <si>
    <t>Project</t>
  </si>
  <si>
    <t>Grant</t>
  </si>
  <si>
    <t>INFRA 2021</t>
  </si>
  <si>
    <t>Project Schedule</t>
  </si>
  <si>
    <t>Base Year</t>
  </si>
  <si>
    <t>Project Start</t>
  </si>
  <si>
    <t>Construction Start</t>
  </si>
  <si>
    <t>Construction Years</t>
  </si>
  <si>
    <t>Project Use Start</t>
  </si>
  <si>
    <t>Total Analysis Period</t>
  </si>
  <si>
    <t>years</t>
  </si>
  <si>
    <t>Days / year</t>
  </si>
  <si>
    <t>Guidance Source</t>
  </si>
  <si>
    <t>Primary Guidance Source</t>
  </si>
  <si>
    <t>USDOT Benefit-Cost Analysis Guidance for Discretionary Grant Programs 2021</t>
  </si>
  <si>
    <t>Possible Societal Benefits for Consideration</t>
  </si>
  <si>
    <t>Key Benefits Quantified</t>
  </si>
  <si>
    <t>Total Benefits</t>
  </si>
  <si>
    <t>Present Value (3% Discount Rate)</t>
  </si>
  <si>
    <t>Present Value (7% Discount Rate)</t>
  </si>
  <si>
    <t>Safety</t>
  </si>
  <si>
    <t>Crash Savings</t>
  </si>
  <si>
    <t>Reduction in injury and PDO crashes</t>
  </si>
  <si>
    <t>Economic Competitiveness</t>
  </si>
  <si>
    <t>Economic Output and Increased Earnings</t>
  </si>
  <si>
    <t>Final demand economic output and earnings based on construction investment on specific project elements</t>
  </si>
  <si>
    <t>Other</t>
  </si>
  <si>
    <t>Residual Value</t>
  </si>
  <si>
    <t>Residual value of assets at the end of the analysis period</t>
  </si>
  <si>
    <t>Maintenance Costs</t>
  </si>
  <si>
    <t>Cost of regular maintenance and inspection of assets</t>
  </si>
  <si>
    <t>Total Costs</t>
  </si>
  <si>
    <t>Benefit / Cost Ratio</t>
  </si>
  <si>
    <t>Undiscounted</t>
  </si>
  <si>
    <t>7% discount</t>
  </si>
  <si>
    <t>Benefits</t>
  </si>
  <si>
    <t>Costs</t>
  </si>
  <si>
    <t>BCR</t>
  </si>
  <si>
    <t>NPV</t>
  </si>
  <si>
    <t>Calendar Year</t>
  </si>
  <si>
    <t>Project Year</t>
  </si>
  <si>
    <t>Construction</t>
  </si>
  <si>
    <t>Maintenance</t>
  </si>
  <si>
    <t>Economic Output</t>
  </si>
  <si>
    <t>Total</t>
  </si>
  <si>
    <t>DETAILED COST ESTIMATE</t>
  </si>
  <si>
    <t>MR MICCI PROJECT</t>
  </si>
  <si>
    <t>DESCRIPTION</t>
  </si>
  <si>
    <t>Lifespan</t>
  </si>
  <si>
    <t>CLEARING &amp; GRUBBING</t>
  </si>
  <si>
    <t>No Residual</t>
  </si>
  <si>
    <t>30 Year Life Span</t>
  </si>
  <si>
    <t xml:space="preserve">CRASH WALL </t>
  </si>
  <si>
    <t>75 Year Life Span</t>
  </si>
  <si>
    <t>CROSSINGS</t>
  </si>
  <si>
    <t xml:space="preserve">ROW </t>
  </si>
  <si>
    <t xml:space="preserve">D/B DESIGN </t>
  </si>
  <si>
    <t>DRAINAGE</t>
  </si>
  <si>
    <t>EARTHWORK</t>
  </si>
  <si>
    <t>Annual Construction Costs</t>
  </si>
  <si>
    <t>EROSION CONTROL</t>
  </si>
  <si>
    <t>INTELLIGENT TRAFFIC SYSTEM (ITS)</t>
  </si>
  <si>
    <t>LIGHTING</t>
  </si>
  <si>
    <t>MAINTENANCE OF TRAFFIC (MOT)</t>
  </si>
  <si>
    <t>MISCELLANEOUS</t>
  </si>
  <si>
    <t>MOBILIZATION</t>
  </si>
  <si>
    <t>NOISE WALLS</t>
  </si>
  <si>
    <t>NON-BID</t>
  </si>
  <si>
    <t>Check</t>
  </si>
  <si>
    <t>PLATFORM</t>
  </si>
  <si>
    <t>REMOVAL OF EXISTING STRUCTURES</t>
  </si>
  <si>
    <t>RETAINING WALLS SYSTEMS PERMANENT</t>
  </si>
  <si>
    <t>SIGNALIZATION</t>
  </si>
  <si>
    <t>STRUCTURES</t>
  </si>
  <si>
    <t>SIGNING &amp; PAVEMENT MARKINGS</t>
  </si>
  <si>
    <t>TEMPORARY-CRITICAL SHEET PILING</t>
  </si>
  <si>
    <t>TRACKS</t>
  </si>
  <si>
    <t>Residual Calculation</t>
  </si>
  <si>
    <t>30 year lifespan</t>
  </si>
  <si>
    <t>75 year lifespan</t>
  </si>
  <si>
    <t>ROW</t>
  </si>
  <si>
    <t>Construction Cost</t>
  </si>
  <si>
    <t>Design Service Life (years)</t>
  </si>
  <si>
    <t>Analysis Period (years)</t>
  </si>
  <si>
    <t>Residual ratio at end of analysis (linear depreciation)</t>
  </si>
  <si>
    <t>Residual Value at end of analysis</t>
  </si>
  <si>
    <t>Construction Costs (Cost)</t>
  </si>
  <si>
    <t>Residual Value (Benefit)</t>
  </si>
  <si>
    <t>Project Cost</t>
  </si>
  <si>
    <t>30 Year Lifespan</t>
  </si>
  <si>
    <t>75 Year Lifespan</t>
  </si>
  <si>
    <t>Total Benefit</t>
  </si>
  <si>
    <t xml:space="preserve">Annual Maintenance </t>
  </si>
  <si>
    <t>Cost</t>
  </si>
  <si>
    <t>Frequency (years)</t>
  </si>
  <si>
    <t>Start year</t>
  </si>
  <si>
    <t xml:space="preserve">New Bridge - Recurring Maintenance &amp; Inspection </t>
  </si>
  <si>
    <t>No Build - Recurring Maintenance &amp; Inspection</t>
  </si>
  <si>
    <t xml:space="preserve">No Build - Major Maintenance </t>
  </si>
  <si>
    <t>Project Use Year - No Build</t>
  </si>
  <si>
    <t>Project Use Year - Build</t>
  </si>
  <si>
    <t>Build - New Bridge, No Existing Bridge</t>
  </si>
  <si>
    <t>Sources and Notes:</t>
  </si>
  <si>
    <t>Average Annual Total Crashes from 2015-2019 (No-Build)</t>
  </si>
  <si>
    <t>Average Annual Total Crashes from 2015-2019 (Build)</t>
  </si>
  <si>
    <t>KABCO</t>
  </si>
  <si>
    <t>#</t>
  </si>
  <si>
    <t>At-Grade Crossing</t>
  </si>
  <si>
    <t>At-Grade Crossing Description</t>
  </si>
  <si>
    <t>Years</t>
  </si>
  <si>
    <t>Total Number of Crashes</t>
  </si>
  <si>
    <t>K – Killed</t>
  </si>
  <si>
    <t>A – Incapacitating</t>
  </si>
  <si>
    <t>B – Non-incapacitating</t>
  </si>
  <si>
    <t>C – Possible Injury</t>
  </si>
  <si>
    <t>O – No Injury</t>
  </si>
  <si>
    <t>Night Time Crashes*</t>
  </si>
  <si>
    <t>KABCO Level</t>
  </si>
  <si>
    <t>Description</t>
  </si>
  <si>
    <t>Level</t>
  </si>
  <si>
    <t>Monetized value ($2019)</t>
  </si>
  <si>
    <t>Old NW 28th Street</t>
  </si>
  <si>
    <t>At-grade crossing at Old NW 28th Street and existing rail</t>
  </si>
  <si>
    <t>no injury</t>
  </si>
  <si>
    <t>O</t>
  </si>
  <si>
    <t>NW South River Drive</t>
  </si>
  <si>
    <t>possible injury</t>
  </si>
  <si>
    <t>C</t>
  </si>
  <si>
    <t>NW North River Drive</t>
  </si>
  <si>
    <t>At-grade crossing at NW North River Drive and existing rail</t>
  </si>
  <si>
    <t>non-incapacitating</t>
  </si>
  <si>
    <t>B</t>
  </si>
  <si>
    <t>NW 36th Street</t>
  </si>
  <si>
    <t>At-grade crossing at NW 36th Street and existing rail</t>
  </si>
  <si>
    <t>incapacitating</t>
  </si>
  <si>
    <t>A</t>
  </si>
  <si>
    <t xml:space="preserve">NW 46th Street </t>
  </si>
  <si>
    <t>At-grade crossing at NW 46th Street and existing rail</t>
  </si>
  <si>
    <t>killed</t>
  </si>
  <si>
    <t>K</t>
  </si>
  <si>
    <t># accidents reported</t>
  </si>
  <si>
    <t># Accidents Reported (Unknown if Injured)</t>
  </si>
  <si>
    <t>Total Avg monetized value ($2019) - no-build</t>
  </si>
  <si>
    <t>Total Avg monetized value ($2019) - build</t>
  </si>
  <si>
    <t>No Build - Monetized Value</t>
  </si>
  <si>
    <t>Build - Monetized Value</t>
  </si>
  <si>
    <t>Project Use Year</t>
  </si>
  <si>
    <t xml:space="preserve">Total </t>
  </si>
  <si>
    <t>BEA RIMS II Multipliers: Construction Industry</t>
  </si>
  <si>
    <t>Economic Impacts</t>
  </si>
  <si>
    <t>Project Component</t>
  </si>
  <si>
    <t>Estimated Construction Cost</t>
  </si>
  <si>
    <t>50 Percent Net New Federal</t>
  </si>
  <si>
    <t>Net New Expenditures</t>
  </si>
  <si>
    <t>Output</t>
  </si>
  <si>
    <t>Earnings</t>
  </si>
  <si>
    <t xml:space="preserve">Employment </t>
  </si>
  <si>
    <t>Output ($)</t>
  </si>
  <si>
    <t>Earnings ($)</t>
  </si>
  <si>
    <t>Employment</t>
  </si>
  <si>
    <t>Benefit</t>
  </si>
  <si>
    <t>Annual Construction Schedule</t>
  </si>
  <si>
    <t>Entire Project</t>
  </si>
  <si>
    <t>AMOUNT (2018$)</t>
  </si>
  <si>
    <t>AMOUNT (2019$)</t>
  </si>
  <si>
    <t>DESIGN SUPPORT/PRELIMINARY ENGINEERING</t>
  </si>
  <si>
    <t xml:space="preserve">CONSTRUCTION </t>
  </si>
  <si>
    <t>CEI ENGINEERING INSPECTION</t>
  </si>
  <si>
    <t>UTILITIES</t>
  </si>
  <si>
    <t>RAILROAD COSTS</t>
  </si>
  <si>
    <t>RIGHT OF WAY COSTS</t>
  </si>
  <si>
    <t>ENVIRONMENTAL MITIGATION</t>
  </si>
  <si>
    <t>OTHERS (INSPECTION, UTILITIES, ROW, ENVIRONMENTAL, ETC.)</t>
  </si>
  <si>
    <t xml:space="preserve">POST DESIGN PE </t>
  </si>
  <si>
    <t>% complete</t>
  </si>
  <si>
    <t>*20 years of operation + 3 years of construction</t>
  </si>
  <si>
    <t>*Maintenance of No-Build does not start until 2024 because the No Build maintenance costs would have to incur in previous years regardless.</t>
  </si>
  <si>
    <t>No-Build Cost</t>
  </si>
  <si>
    <t>Build Cost</t>
  </si>
  <si>
    <t xml:space="preserve">Source and Notes: </t>
  </si>
  <si>
    <t>Safety Countermeasures: Systemic Application of Multiple Low-Cost Countermeasures at Stop-Controlled Intersections - Safety | Federal Highway Administration (dot.gov)</t>
  </si>
  <si>
    <t xml:space="preserve">Sources and Notes: </t>
  </si>
  <si>
    <t>Crash Data: FDOT (Signal Four Analytics) from 2015-2019 (*Night time crashes not factored into calculation)</t>
  </si>
  <si>
    <t>KABCO Monetized Values: USDOT Benefit-Cost Analysis Guidance for Discretionary Grant Programs 2021</t>
  </si>
  <si>
    <t xml:space="preserve">Treatments: Dynamic envelopes at 36th Street and 46th Street were implemented in 2020 as a part of the MR MICCI project. Thus, these improvements were included in the Build scenario as benefits. </t>
  </si>
  <si>
    <t>MR-MICCI Value Engineering Study Report (Appendix D, January 2020) - Base Cost Estimate Used</t>
  </si>
  <si>
    <t xml:space="preserve">Average maintenance and operation cost from the environmental assessment (MR MICCI Environmental Assessment, August 2017). </t>
  </si>
  <si>
    <t>Calculated using the BEA RIMS II regional economic output, household earnings, and employment multipliers, as identified in RIMS II Multipliers (2012/2018); Table 2.5 Total Multipliers for Output, Earnings, Employment, and Value Added by Industry Aggregation Florida (Type II)</t>
  </si>
  <si>
    <t>*2018 to 2019 monetary conversion rate based on USDOT Benefit-Cost Analysis Guidance</t>
  </si>
  <si>
    <t>*Construction cost schedule follows other commuter rail construction timelines and percent completes. Assumes preliminary/site work and mobilization start in 2024; Large infrastructure items ramp up with signalization being installed last. A small portion of costs remain for testing/commissioning post-tie to existing track.</t>
  </si>
  <si>
    <t>At-Grade Intersections: MR-MICCI Value Engineering Study Report (January 2020)</t>
  </si>
  <si>
    <t>At-grade crossing at NW South River Drive and existing rail</t>
  </si>
  <si>
    <t>unknown if injured</t>
  </si>
  <si>
    <t>50 Percent Net New Other</t>
  </si>
  <si>
    <t>MR-MICCI Benefit-Cost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</si>
</sst>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0.000"/>
    <numFmt numFmtId="166" formatCode="&quot;$&quot;#,##0.00"/>
    <numFmt numFmtId="167" formatCode="#,##0.0"/>
    <numFmt numFmtId="168" formatCode="_(&quot;$&quot;* #,##0_);_(&quot;$&quot;* \(#,##0\);_(&quot;$&quot;* &quot;-&quot;??_);_(@_)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9"/>
      <name val="Calibri"/>
      <family val="2"/>
      <scheme val="minor"/>
    </font>
    <font>
      <sz val="11"/>
      <color rgb="FF0099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8000"/>
      <name val="Calibri"/>
      <family val="2"/>
      <scheme val="minor"/>
    </font>
    <font>
      <sz val="10"/>
      <color rgb="FF0000FF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1">
    <xf numFmtId="0" fontId="0" fillId="0" borderId="0"/>
    <xf numFmtId="44" fontId="8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7" fillId="0" borderId="0"/>
    <xf numFmtId="9" fontId="13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4" fillId="0" borderId="0"/>
  </cellStyleXfs>
  <cellXfs count="321">
    <xf numFmtId="0" fontId="0" fillId="0" borderId="0" xfId="0"/>
    <xf numFmtId="0" fontId="0" fillId="0" borderId="0" xfId="0" applyBorder="1"/>
    <xf numFmtId="0" fontId="12" fillId="0" borderId="0" xfId="2" applyFont="1" applyFill="1" applyBorder="1"/>
    <xf numFmtId="0" fontId="9" fillId="0" borderId="0" xfId="0" applyFont="1" applyFill="1"/>
    <xf numFmtId="0" fontId="9" fillId="0" borderId="0" xfId="2" applyFont="1" applyFill="1" applyAlignment="1">
      <alignment horizontal="left"/>
    </xf>
    <xf numFmtId="0" fontId="14" fillId="0" borderId="0" xfId="6" applyFont="1"/>
    <xf numFmtId="0" fontId="9" fillId="0" borderId="0" xfId="6" applyFont="1" applyAlignment="1">
      <alignment horizontal="left" vertical="center" wrapText="1"/>
    </xf>
    <xf numFmtId="0" fontId="11" fillId="0" borderId="0" xfId="0" applyFont="1"/>
    <xf numFmtId="0" fontId="6" fillId="0" borderId="0" xfId="6" applyFont="1"/>
    <xf numFmtId="0" fontId="10" fillId="0" borderId="1" xfId="0" applyFont="1" applyBorder="1" applyAlignment="1">
      <alignment horizontal="centerContinuous"/>
    </xf>
    <xf numFmtId="0" fontId="6" fillId="0" borderId="0" xfId="6" applyFont="1" applyAlignment="1">
      <alignment horizontal="center"/>
    </xf>
    <xf numFmtId="0" fontId="15" fillId="0" borderId="17" xfId="6" applyFont="1" applyBorder="1" applyAlignment="1">
      <alignment horizontal="center" wrapText="1"/>
    </xf>
    <xf numFmtId="0" fontId="10" fillId="0" borderId="0" xfId="0" applyFont="1" applyAlignment="1">
      <alignment wrapText="1"/>
    </xf>
    <xf numFmtId="0" fontId="10" fillId="0" borderId="0" xfId="0" applyFont="1" applyBorder="1" applyAlignment="1">
      <alignment horizontal="center" wrapText="1"/>
    </xf>
    <xf numFmtId="3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/>
    <xf numFmtId="164" fontId="12" fillId="0" borderId="0" xfId="0" applyNumberFormat="1" applyFont="1"/>
    <xf numFmtId="0" fontId="9" fillId="0" borderId="18" xfId="0" applyFont="1" applyBorder="1" applyAlignment="1">
      <alignment horizontal="center"/>
    </xf>
    <xf numFmtId="164" fontId="9" fillId="0" borderId="0" xfId="6" applyNumberFormat="1" applyFont="1" applyBorder="1" applyAlignment="1">
      <alignment horizontal="right" vertical="center"/>
    </xf>
    <xf numFmtId="0" fontId="6" fillId="0" borderId="0" xfId="6" applyFont="1" applyAlignment="1">
      <alignment wrapText="1"/>
    </xf>
    <xf numFmtId="0" fontId="10" fillId="0" borderId="1" xfId="6" applyFont="1" applyFill="1" applyBorder="1" applyAlignment="1">
      <alignment horizontal="center" wrapText="1"/>
    </xf>
    <xf numFmtId="3" fontId="9" fillId="0" borderId="0" xfId="6" applyNumberFormat="1" applyFont="1" applyBorder="1" applyAlignment="1">
      <alignment horizontal="right" vertical="center"/>
    </xf>
    <xf numFmtId="0" fontId="10" fillId="0" borderId="0" xfId="0" applyFont="1" applyFill="1" applyAlignment="1">
      <alignment horizontal="left"/>
    </xf>
    <xf numFmtId="166" fontId="9" fillId="0" borderId="0" xfId="6" applyNumberFormat="1" applyFont="1" applyBorder="1" applyAlignment="1">
      <alignment horizontal="right" vertical="center"/>
    </xf>
    <xf numFmtId="0" fontId="10" fillId="0" borderId="3" xfId="6" applyFont="1" applyFill="1" applyBorder="1" applyAlignment="1">
      <alignment horizontal="center" wrapText="1"/>
    </xf>
    <xf numFmtId="0" fontId="10" fillId="0" borderId="17" xfId="6" applyFont="1" applyFill="1" applyBorder="1" applyAlignment="1">
      <alignment horizontal="center" wrapText="1"/>
    </xf>
    <xf numFmtId="0" fontId="10" fillId="0" borderId="1" xfId="0" applyFont="1" applyBorder="1" applyAlignment="1">
      <alignment wrapText="1"/>
    </xf>
    <xf numFmtId="164" fontId="9" fillId="0" borderId="18" xfId="0" applyNumberFormat="1" applyFont="1" applyBorder="1"/>
    <xf numFmtId="0" fontId="15" fillId="0" borderId="19" xfId="6" applyFont="1" applyBorder="1" applyAlignment="1">
      <alignment horizontal="center" wrapText="1"/>
    </xf>
    <xf numFmtId="0" fontId="9" fillId="0" borderId="0" xfId="0" applyFont="1" applyFill="1" applyAlignment="1">
      <alignment horizontal="left"/>
    </xf>
    <xf numFmtId="0" fontId="12" fillId="0" borderId="0" xfId="0" applyFont="1" applyFill="1"/>
    <xf numFmtId="164" fontId="16" fillId="0" borderId="0" xfId="6" applyNumberFormat="1" applyFont="1" applyFill="1" applyBorder="1" applyAlignment="1">
      <alignment horizontal="right"/>
    </xf>
    <xf numFmtId="0" fontId="17" fillId="3" borderId="7" xfId="0" applyFont="1" applyFill="1" applyBorder="1" applyAlignment="1">
      <alignment horizontal="centerContinuous" vertical="center"/>
    </xf>
    <xf numFmtId="0" fontId="18" fillId="4" borderId="8" xfId="0" applyFont="1" applyFill="1" applyBorder="1" applyAlignment="1">
      <alignment horizontal="centerContinuous" vertical="center"/>
    </xf>
    <xf numFmtId="0" fontId="19" fillId="0" borderId="10" xfId="0" applyFont="1" applyBorder="1" applyAlignment="1">
      <alignment horizontal="center" vertical="center"/>
    </xf>
    <xf numFmtId="0" fontId="18" fillId="5" borderId="12" xfId="0" applyFont="1" applyFill="1" applyBorder="1" applyAlignment="1">
      <alignment horizontal="center" vertical="center"/>
    </xf>
    <xf numFmtId="0" fontId="10" fillId="0" borderId="0" xfId="0" applyFont="1"/>
    <xf numFmtId="0" fontId="9" fillId="0" borderId="24" xfId="0" applyFont="1" applyBorder="1"/>
    <xf numFmtId="0" fontId="9" fillId="0" borderId="15" xfId="0" applyFont="1" applyBorder="1"/>
    <xf numFmtId="164" fontId="9" fillId="0" borderId="0" xfId="0" applyNumberFormat="1" applyFont="1" applyBorder="1"/>
    <xf numFmtId="164" fontId="9" fillId="0" borderId="9" xfId="0" applyNumberFormat="1" applyFont="1" applyBorder="1"/>
    <xf numFmtId="0" fontId="9" fillId="2" borderId="15" xfId="0" applyFont="1" applyFill="1" applyBorder="1"/>
    <xf numFmtId="4" fontId="9" fillId="2" borderId="0" xfId="0" applyNumberFormat="1" applyFont="1" applyFill="1" applyBorder="1"/>
    <xf numFmtId="4" fontId="9" fillId="2" borderId="9" xfId="0" applyNumberFormat="1" applyFont="1" applyFill="1" applyBorder="1"/>
    <xf numFmtId="0" fontId="9" fillId="0" borderId="23" xfId="0" applyFont="1" applyBorder="1"/>
    <xf numFmtId="164" fontId="9" fillId="0" borderId="6" xfId="0" applyNumberFormat="1" applyFont="1" applyBorder="1"/>
    <xf numFmtId="164" fontId="9" fillId="0" borderId="11" xfId="0" applyNumberFormat="1" applyFont="1" applyBorder="1"/>
    <xf numFmtId="0" fontId="9" fillId="0" borderId="0" xfId="0" applyFont="1" applyAlignment="1">
      <alignment wrapText="1"/>
    </xf>
    <xf numFmtId="0" fontId="10" fillId="0" borderId="0" xfId="0" applyFont="1" applyFill="1" applyAlignment="1">
      <alignment horizontal="right" wrapText="1"/>
    </xf>
    <xf numFmtId="0" fontId="10" fillId="0" borderId="0" xfId="0" applyFont="1" applyFill="1" applyAlignment="1">
      <alignment horizontal="center" wrapText="1"/>
    </xf>
    <xf numFmtId="0" fontId="9" fillId="0" borderId="0" xfId="0" applyFont="1" applyFill="1" applyAlignment="1">
      <alignment wrapText="1"/>
    </xf>
    <xf numFmtId="0" fontId="9" fillId="0" borderId="0" xfId="0" applyFont="1" applyFill="1" applyBorder="1" applyAlignment="1">
      <alignment horizontal="right"/>
    </xf>
    <xf numFmtId="164" fontId="21" fillId="0" borderId="0" xfId="0" applyNumberFormat="1" applyFont="1" applyFill="1" applyBorder="1" applyAlignment="1"/>
    <xf numFmtId="0" fontId="9" fillId="0" borderId="0" xfId="0" applyFont="1" applyFill="1" applyBorder="1" applyAlignment="1"/>
    <xf numFmtId="0" fontId="12" fillId="0" borderId="0" xfId="0" applyFont="1" applyFill="1" applyBorder="1" applyAlignment="1"/>
    <xf numFmtId="0" fontId="21" fillId="0" borderId="0" xfId="0" applyFont="1" applyFill="1" applyBorder="1"/>
    <xf numFmtId="0" fontId="9" fillId="0" borderId="0" xfId="0" applyFont="1" applyFill="1" applyAlignment="1">
      <alignment horizontal="right"/>
    </xf>
    <xf numFmtId="165" fontId="9" fillId="0" borderId="0" xfId="0" applyNumberFormat="1" applyFont="1"/>
    <xf numFmtId="164" fontId="9" fillId="0" borderId="0" xfId="1" applyNumberFormat="1" applyFont="1"/>
    <xf numFmtId="164" fontId="9" fillId="0" borderId="0" xfId="0" applyNumberFormat="1" applyFont="1" applyFill="1"/>
    <xf numFmtId="0" fontId="10" fillId="0" borderId="1" xfId="0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22" fillId="0" borderId="0" xfId="0" applyFont="1" applyFill="1"/>
    <xf numFmtId="0" fontId="23" fillId="0" borderId="0" xfId="0" applyFont="1" applyFill="1"/>
    <xf numFmtId="0" fontId="22" fillId="0" borderId="0" xfId="0" applyFont="1" applyFill="1" applyAlignment="1">
      <alignment horizontal="left"/>
    </xf>
    <xf numFmtId="0" fontId="10" fillId="0" borderId="17" xfId="0" applyFont="1" applyBorder="1" applyAlignment="1">
      <alignment wrapText="1"/>
    </xf>
    <xf numFmtId="164" fontId="16" fillId="0" borderId="2" xfId="6" applyNumberFormat="1" applyFont="1" applyFill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22" xfId="0" applyFont="1" applyBorder="1" applyAlignment="1">
      <alignment horizontal="right"/>
    </xf>
    <xf numFmtId="0" fontId="24" fillId="6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5" fillId="0" borderId="26" xfId="0" applyFont="1" applyBorder="1" applyAlignment="1">
      <alignment vertical="center" wrapText="1"/>
    </xf>
    <xf numFmtId="164" fontId="25" fillId="0" borderId="26" xfId="0" applyNumberFormat="1" applyFont="1" applyBorder="1" applyAlignment="1">
      <alignment horizontal="center" vertical="center" wrapText="1"/>
    </xf>
    <xf numFmtId="0" fontId="24" fillId="3" borderId="26" xfId="0" applyFont="1" applyFill="1" applyBorder="1" applyAlignment="1">
      <alignment vertical="center"/>
    </xf>
    <xf numFmtId="0" fontId="24" fillId="3" borderId="26" xfId="0" applyFont="1" applyFill="1" applyBorder="1" applyAlignment="1">
      <alignment vertical="center" wrapText="1"/>
    </xf>
    <xf numFmtId="164" fontId="24" fillId="3" borderId="26" xfId="0" applyNumberFormat="1" applyFont="1" applyFill="1" applyBorder="1" applyAlignment="1">
      <alignment vertical="center" wrapText="1"/>
    </xf>
    <xf numFmtId="0" fontId="24" fillId="6" borderId="26" xfId="0" applyFont="1" applyFill="1" applyBorder="1" applyAlignment="1">
      <alignment vertical="center"/>
    </xf>
    <xf numFmtId="0" fontId="24" fillId="6" borderId="26" xfId="0" applyFont="1" applyFill="1" applyBorder="1" applyAlignment="1">
      <alignment horizontal="right" vertical="center" wrapText="1"/>
    </xf>
    <xf numFmtId="164" fontId="24" fillId="6" borderId="26" xfId="0" applyNumberFormat="1" applyFont="1" applyFill="1" applyBorder="1" applyAlignment="1">
      <alignment horizontal="center" vertical="center" wrapText="1"/>
    </xf>
    <xf numFmtId="0" fontId="24" fillId="6" borderId="28" xfId="0" applyFont="1" applyFill="1" applyBorder="1" applyAlignment="1">
      <alignment vertical="center"/>
    </xf>
    <xf numFmtId="0" fontId="24" fillId="6" borderId="28" xfId="0" applyFont="1" applyFill="1" applyBorder="1" applyAlignment="1">
      <alignment horizontal="right" vertical="center" wrapText="1"/>
    </xf>
    <xf numFmtId="164" fontId="24" fillId="6" borderId="28" xfId="0" applyNumberFormat="1" applyFont="1" applyFill="1" applyBorder="1" applyAlignment="1">
      <alignment horizontal="center" vertical="center" wrapText="1"/>
    </xf>
    <xf numFmtId="0" fontId="25" fillId="0" borderId="27" xfId="0" applyFont="1" applyBorder="1" applyAlignment="1">
      <alignment vertical="center" wrapText="1"/>
    </xf>
    <xf numFmtId="164" fontId="25" fillId="0" borderId="27" xfId="0" applyNumberFormat="1" applyFont="1" applyBorder="1" applyAlignment="1">
      <alignment horizontal="center" vertical="center" wrapText="1"/>
    </xf>
    <xf numFmtId="0" fontId="24" fillId="6" borderId="27" xfId="0" applyFont="1" applyFill="1" applyBorder="1" applyAlignment="1">
      <alignment vertical="center"/>
    </xf>
    <xf numFmtId="0" fontId="24" fillId="6" borderId="27" xfId="0" applyFont="1" applyFill="1" applyBorder="1" applyAlignment="1">
      <alignment horizontal="right" vertical="center" wrapText="1"/>
    </xf>
    <xf numFmtId="40" fontId="24" fillId="6" borderId="27" xfId="0" applyNumberFormat="1" applyFont="1" applyFill="1" applyBorder="1" applyAlignment="1">
      <alignment horizontal="center" vertical="center"/>
    </xf>
    <xf numFmtId="0" fontId="10" fillId="0" borderId="1" xfId="6" applyFont="1" applyFill="1" applyBorder="1" applyAlignment="1">
      <alignment horizontal="center" vertical="center" wrapText="1"/>
    </xf>
    <xf numFmtId="0" fontId="10" fillId="0" borderId="19" xfId="6" applyFont="1" applyFill="1" applyBorder="1" applyAlignment="1">
      <alignment horizontal="center" vertical="center" wrapText="1"/>
    </xf>
    <xf numFmtId="0" fontId="10" fillId="0" borderId="25" xfId="6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7" fillId="0" borderId="0" xfId="6" applyFont="1" applyAlignment="1">
      <alignment horizontal="right"/>
    </xf>
    <xf numFmtId="0" fontId="27" fillId="0" borderId="0" xfId="6" applyFont="1"/>
    <xf numFmtId="0" fontId="18" fillId="5" borderId="29" xfId="0" applyFont="1" applyFill="1" applyBorder="1" applyAlignment="1">
      <alignment vertical="center"/>
    </xf>
    <xf numFmtId="0" fontId="18" fillId="5" borderId="30" xfId="0" applyFont="1" applyFill="1" applyBorder="1" applyAlignment="1">
      <alignment vertical="center"/>
    </xf>
    <xf numFmtId="0" fontId="17" fillId="3" borderId="34" xfId="0" applyFont="1" applyFill="1" applyBorder="1" applyAlignment="1">
      <alignment horizontal="centerContinuous" vertical="center"/>
    </xf>
    <xf numFmtId="0" fontId="18" fillId="4" borderId="9" xfId="0" applyFont="1" applyFill="1" applyBorder="1" applyAlignment="1">
      <alignment horizontal="centerContinuous" vertical="center"/>
    </xf>
    <xf numFmtId="0" fontId="18" fillId="0" borderId="11" xfId="0" applyFont="1" applyBorder="1" applyAlignment="1">
      <alignment horizontal="center" vertical="center"/>
    </xf>
    <xf numFmtId="3" fontId="9" fillId="0" borderId="0" xfId="0" applyNumberFormat="1" applyFont="1" applyFill="1" applyBorder="1"/>
    <xf numFmtId="3" fontId="9" fillId="0" borderId="2" xfId="6" applyNumberFormat="1" applyFont="1" applyFill="1" applyBorder="1" applyAlignment="1">
      <alignment horizontal="right"/>
    </xf>
    <xf numFmtId="0" fontId="15" fillId="0" borderId="16" xfId="6" applyFont="1" applyBorder="1" applyAlignment="1">
      <alignment horizontal="center" wrapText="1"/>
    </xf>
    <xf numFmtId="0" fontId="27" fillId="0" borderId="0" xfId="6" applyFont="1" applyBorder="1" applyAlignment="1">
      <alignment horizontal="right"/>
    </xf>
    <xf numFmtId="0" fontId="10" fillId="0" borderId="0" xfId="6" applyFont="1" applyFill="1" applyBorder="1" applyAlignment="1">
      <alignment horizontal="center" wrapText="1"/>
    </xf>
    <xf numFmtId="0" fontId="18" fillId="0" borderId="30" xfId="0" applyFont="1" applyFill="1" applyBorder="1" applyAlignment="1">
      <alignment vertical="center"/>
    </xf>
    <xf numFmtId="0" fontId="18" fillId="0" borderId="32" xfId="0" applyFont="1" applyFill="1" applyBorder="1" applyAlignment="1">
      <alignment vertical="center"/>
    </xf>
    <xf numFmtId="0" fontId="15" fillId="0" borderId="14" xfId="6" applyFont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15" fillId="0" borderId="0" xfId="6" applyFont="1" applyBorder="1" applyAlignment="1">
      <alignment horizontal="centerContinuous"/>
    </xf>
    <xf numFmtId="0" fontId="15" fillId="0" borderId="0" xfId="6" applyFont="1" applyBorder="1" applyAlignment="1">
      <alignment horizontal="center" wrapText="1"/>
    </xf>
    <xf numFmtId="9" fontId="16" fillId="0" borderId="0" xfId="7" applyNumberFormat="1" applyFont="1" applyBorder="1" applyAlignment="1">
      <alignment horizontal="center"/>
    </xf>
    <xf numFmtId="0" fontId="12" fillId="0" borderId="0" xfId="6" applyFont="1" applyBorder="1" applyAlignment="1">
      <alignment horizontal="left" vertical="center" wrapText="1"/>
    </xf>
    <xf numFmtId="167" fontId="9" fillId="0" borderId="4" xfId="0" applyNumberFormat="1" applyFont="1" applyFill="1" applyBorder="1" applyAlignment="1">
      <alignment horizontal="center" vertical="center"/>
    </xf>
    <xf numFmtId="167" fontId="9" fillId="0" borderId="0" xfId="0" applyNumberFormat="1" applyFont="1" applyFill="1" applyBorder="1" applyAlignment="1">
      <alignment horizontal="center" vertical="center"/>
    </xf>
    <xf numFmtId="167" fontId="9" fillId="0" borderId="18" xfId="0" applyNumberFormat="1" applyFont="1" applyFill="1" applyBorder="1" applyAlignment="1">
      <alignment horizontal="center" vertical="center"/>
    </xf>
    <xf numFmtId="167" fontId="9" fillId="0" borderId="21" xfId="0" applyNumberFormat="1" applyFont="1" applyFill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9" fillId="0" borderId="20" xfId="0" applyNumberFormat="1" applyFont="1" applyBorder="1" applyAlignment="1">
      <alignment horizontal="center" vertical="center"/>
    </xf>
    <xf numFmtId="167" fontId="9" fillId="0" borderId="0" xfId="0" applyNumberFormat="1" applyFont="1" applyBorder="1" applyAlignment="1">
      <alignment horizontal="center" vertical="center"/>
    </xf>
    <xf numFmtId="167" fontId="9" fillId="0" borderId="18" xfId="0" applyNumberFormat="1" applyFont="1" applyBorder="1" applyAlignment="1">
      <alignment horizontal="center" vertical="center"/>
    </xf>
    <xf numFmtId="167" fontId="9" fillId="0" borderId="35" xfId="0" applyNumberFormat="1" applyFont="1" applyFill="1" applyBorder="1" applyAlignment="1">
      <alignment horizontal="center" vertical="center"/>
    </xf>
    <xf numFmtId="167" fontId="9" fillId="0" borderId="1" xfId="0" applyNumberFormat="1" applyFont="1" applyFill="1" applyBorder="1" applyAlignment="1">
      <alignment horizontal="center" vertical="center"/>
    </xf>
    <xf numFmtId="167" fontId="9" fillId="0" borderId="19" xfId="0" applyNumberFormat="1" applyFont="1" applyFill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167" fontId="9" fillId="0" borderId="19" xfId="0" applyNumberFormat="1" applyFont="1" applyBorder="1" applyAlignment="1">
      <alignment horizontal="center" vertical="center"/>
    </xf>
    <xf numFmtId="0" fontId="15" fillId="7" borderId="25" xfId="6" applyFont="1" applyFill="1" applyBorder="1" applyAlignment="1">
      <alignment horizontal="center" wrapText="1"/>
    </xf>
    <xf numFmtId="167" fontId="9" fillId="7" borderId="2" xfId="0" applyNumberFormat="1" applyFont="1" applyFill="1" applyBorder="1" applyAlignment="1">
      <alignment horizontal="center" vertical="center"/>
    </xf>
    <xf numFmtId="167" fontId="9" fillId="7" borderId="3" xfId="0" applyNumberFormat="1" applyFont="1" applyFill="1" applyBorder="1" applyAlignment="1">
      <alignment horizontal="center" vertical="center"/>
    </xf>
    <xf numFmtId="167" fontId="9" fillId="7" borderId="36" xfId="0" applyNumberFormat="1" applyFont="1" applyFill="1" applyBorder="1" applyAlignment="1">
      <alignment horizontal="center" vertical="center"/>
    </xf>
    <xf numFmtId="164" fontId="9" fillId="0" borderId="0" xfId="6" applyNumberFormat="1" applyFont="1" applyAlignment="1">
      <alignment horizontal="right" vertical="center"/>
    </xf>
    <xf numFmtId="0" fontId="10" fillId="0" borderId="25" xfId="6" applyFont="1" applyFill="1" applyBorder="1" applyAlignment="1">
      <alignment horizontal="center" wrapText="1"/>
    </xf>
    <xf numFmtId="0" fontId="12" fillId="0" borderId="0" xfId="6" applyFont="1" applyAlignment="1">
      <alignment horizontal="center" vertical="center" wrapText="1"/>
    </xf>
    <xf numFmtId="0" fontId="8" fillId="0" borderId="0" xfId="2"/>
    <xf numFmtId="0" fontId="26" fillId="0" borderId="25" xfId="2" applyFont="1" applyBorder="1" applyAlignment="1">
      <alignment horizontal="center" vertical="center"/>
    </xf>
    <xf numFmtId="0" fontId="26" fillId="0" borderId="25" xfId="2" applyFont="1" applyBorder="1" applyAlignment="1">
      <alignment horizontal="center" wrapText="1"/>
    </xf>
    <xf numFmtId="0" fontId="9" fillId="0" borderId="0" xfId="2" applyFont="1"/>
    <xf numFmtId="0" fontId="11" fillId="0" borderId="0" xfId="2" applyFont="1" applyAlignment="1">
      <alignment horizontal="right"/>
    </xf>
    <xf numFmtId="0" fontId="9" fillId="0" borderId="0" xfId="2" applyFont="1" applyAlignment="1">
      <alignment horizontal="right"/>
    </xf>
    <xf numFmtId="0" fontId="26" fillId="0" borderId="25" xfId="2" applyFont="1" applyBorder="1" applyAlignment="1">
      <alignment horizontal="center" vertical="center" wrapText="1"/>
    </xf>
    <xf numFmtId="9" fontId="16" fillId="0" borderId="0" xfId="3" applyFont="1"/>
    <xf numFmtId="9" fontId="12" fillId="0" borderId="0" xfId="3" applyFont="1"/>
    <xf numFmtId="0" fontId="26" fillId="0" borderId="25" xfId="2" applyFont="1" applyBorder="1"/>
    <xf numFmtId="168" fontId="29" fillId="0" borderId="25" xfId="1" applyNumberFormat="1" applyFont="1" applyFill="1" applyBorder="1" applyAlignment="1">
      <alignment horizontal="center" vertical="center"/>
    </xf>
    <xf numFmtId="168" fontId="30" fillId="0" borderId="25" xfId="1" applyNumberFormat="1" applyFont="1" applyFill="1" applyBorder="1" applyAlignment="1">
      <alignment horizontal="center" vertical="center"/>
    </xf>
    <xf numFmtId="168" fontId="11" fillId="0" borderId="25" xfId="1" applyNumberFormat="1" applyFont="1" applyFill="1" applyBorder="1" applyAlignment="1">
      <alignment horizontal="center" vertical="center"/>
    </xf>
    <xf numFmtId="168" fontId="26" fillId="0" borderId="25" xfId="1" applyNumberFormat="1" applyFont="1" applyFill="1" applyBorder="1" applyAlignment="1">
      <alignment horizontal="center" vertical="center"/>
    </xf>
    <xf numFmtId="0" fontId="30" fillId="0" borderId="25" xfId="2" applyFont="1" applyBorder="1" applyAlignment="1">
      <alignment horizontal="center" vertical="center"/>
    </xf>
    <xf numFmtId="1" fontId="26" fillId="0" borderId="25" xfId="2" applyNumberFormat="1" applyFont="1" applyBorder="1" applyAlignment="1">
      <alignment horizontal="center" vertical="center"/>
    </xf>
    <xf numFmtId="44" fontId="9" fillId="0" borderId="0" xfId="2" applyNumberFormat="1" applyFont="1"/>
    <xf numFmtId="44" fontId="8" fillId="0" borderId="0" xfId="2" applyNumberFormat="1"/>
    <xf numFmtId="0" fontId="10" fillId="0" borderId="0" xfId="2" applyFont="1"/>
    <xf numFmtId="164" fontId="10" fillId="0" borderId="0" xfId="2" applyNumberFormat="1" applyFont="1"/>
    <xf numFmtId="9" fontId="9" fillId="0" borderId="0" xfId="3" applyFont="1"/>
    <xf numFmtId="0" fontId="10" fillId="0" borderId="19" xfId="10" applyFont="1" applyBorder="1" applyAlignment="1">
      <alignment horizontal="center" wrapText="1"/>
    </xf>
    <xf numFmtId="0" fontId="10" fillId="0" borderId="35" xfId="2" applyFont="1" applyBorder="1" applyAlignment="1">
      <alignment horizontal="center" vertical="center" wrapText="1"/>
    </xf>
    <xf numFmtId="0" fontId="28" fillId="0" borderId="1" xfId="2" applyFont="1" applyBorder="1" applyAlignment="1">
      <alignment horizontal="center" wrapText="1"/>
    </xf>
    <xf numFmtId="0" fontId="12" fillId="0" borderId="18" xfId="10" applyFont="1" applyBorder="1" applyAlignment="1">
      <alignment horizontal="center"/>
    </xf>
    <xf numFmtId="164" fontId="9" fillId="0" borderId="18" xfId="2" applyNumberFormat="1" applyFont="1" applyBorder="1"/>
    <xf numFmtId="0" fontId="4" fillId="0" borderId="18" xfId="10" applyBorder="1" applyAlignment="1">
      <alignment horizontal="center"/>
    </xf>
    <xf numFmtId="9" fontId="26" fillId="0" borderId="25" xfId="2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164" fontId="12" fillId="0" borderId="0" xfId="0" applyNumberFormat="1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19" xfId="0" applyFont="1" applyBorder="1" applyAlignment="1">
      <alignment wrapText="1"/>
    </xf>
    <xf numFmtId="0" fontId="15" fillId="0" borderId="0" xfId="6" applyFont="1" applyAlignment="1">
      <alignment vertical="top"/>
    </xf>
    <xf numFmtId="0" fontId="10" fillId="0" borderId="19" xfId="2" applyFont="1" applyBorder="1" applyAlignment="1">
      <alignment horizontal="center" vertical="center" wrapText="1"/>
    </xf>
    <xf numFmtId="3" fontId="9" fillId="0" borderId="18" xfId="10" applyNumberFormat="1" applyFont="1" applyBorder="1" applyAlignment="1">
      <alignment horizontal="right" wrapText="1"/>
    </xf>
    <xf numFmtId="0" fontId="28" fillId="0" borderId="1" xfId="2" applyFont="1" applyBorder="1" applyAlignment="1">
      <alignment horizontal="centerContinuous" wrapText="1"/>
    </xf>
    <xf numFmtId="168" fontId="9" fillId="0" borderId="18" xfId="1" applyNumberFormat="1" applyFont="1" applyBorder="1"/>
    <xf numFmtId="0" fontId="3" fillId="0" borderId="0" xfId="6" applyFont="1" applyAlignment="1">
      <alignment horizontal="right" vertical="top"/>
    </xf>
    <xf numFmtId="0" fontId="15" fillId="0" borderId="1" xfId="6" applyFont="1" applyBorder="1" applyAlignment="1">
      <alignment horizontal="center"/>
    </xf>
    <xf numFmtId="0" fontId="3" fillId="0" borderId="18" xfId="6" applyFont="1" applyBorder="1" applyAlignment="1">
      <alignment horizontal="center"/>
    </xf>
    <xf numFmtId="0" fontId="3" fillId="0" borderId="0" xfId="6" applyFont="1" applyAlignment="1">
      <alignment horizontal="center"/>
    </xf>
    <xf numFmtId="0" fontId="3" fillId="0" borderId="0" xfId="6" applyFont="1"/>
    <xf numFmtId="0" fontId="3" fillId="0" borderId="0" xfId="6" applyFont="1" applyAlignment="1">
      <alignment horizontal="left" vertical="center" wrapText="1"/>
    </xf>
    <xf numFmtId="0" fontId="3" fillId="0" borderId="0" xfId="6" applyFont="1" applyAlignment="1">
      <alignment horizontal="right"/>
    </xf>
    <xf numFmtId="0" fontId="3" fillId="0" borderId="0" xfId="6" applyFont="1" applyAlignment="1">
      <alignment wrapText="1"/>
    </xf>
    <xf numFmtId="0" fontId="3" fillId="0" borderId="0" xfId="6" applyFont="1" applyAlignment="1">
      <alignment horizontal="right" wrapText="1"/>
    </xf>
    <xf numFmtId="0" fontId="3" fillId="0" borderId="0" xfId="6" applyFont="1" applyBorder="1" applyAlignment="1">
      <alignment wrapText="1"/>
    </xf>
    <xf numFmtId="0" fontId="3" fillId="0" borderId="0" xfId="6" applyFont="1" applyBorder="1"/>
    <xf numFmtId="9" fontId="3" fillId="0" borderId="0" xfId="5" applyFont="1"/>
    <xf numFmtId="164" fontId="3" fillId="0" borderId="2" xfId="6" applyNumberFormat="1" applyFont="1" applyFill="1" applyBorder="1" applyAlignment="1">
      <alignment horizontal="center"/>
    </xf>
    <xf numFmtId="164" fontId="3" fillId="0" borderId="18" xfId="6" applyNumberFormat="1" applyFont="1" applyFill="1" applyBorder="1" applyAlignment="1">
      <alignment horizontal="center"/>
    </xf>
    <xf numFmtId="0" fontId="17" fillId="3" borderId="37" xfId="0" applyFont="1" applyFill="1" applyBorder="1" applyAlignment="1">
      <alignment horizontal="centerContinuous" vertical="center"/>
    </xf>
    <xf numFmtId="0" fontId="18" fillId="4" borderId="0" xfId="0" applyFont="1" applyFill="1" applyBorder="1" applyAlignment="1">
      <alignment horizontal="centerContinuous" vertical="center"/>
    </xf>
    <xf numFmtId="0" fontId="19" fillId="0" borderId="6" xfId="0" applyFont="1" applyBorder="1" applyAlignment="1">
      <alignment horizontal="center" vertical="center"/>
    </xf>
    <xf numFmtId="0" fontId="18" fillId="5" borderId="38" xfId="0" applyFont="1" applyFill="1" applyBorder="1" applyAlignment="1">
      <alignment horizontal="center" vertical="center"/>
    </xf>
    <xf numFmtId="6" fontId="18" fillId="5" borderId="39" xfId="0" applyNumberFormat="1" applyFont="1" applyFill="1" applyBorder="1" applyAlignment="1">
      <alignment vertical="center"/>
    </xf>
    <xf numFmtId="6" fontId="18" fillId="5" borderId="40" xfId="0" applyNumberFormat="1" applyFont="1" applyFill="1" applyBorder="1" applyAlignment="1">
      <alignment vertical="center"/>
    </xf>
    <xf numFmtId="0" fontId="18" fillId="5" borderId="42" xfId="0" applyFont="1" applyFill="1" applyBorder="1" applyAlignment="1">
      <alignment horizontal="center" vertical="center"/>
    </xf>
    <xf numFmtId="6" fontId="18" fillId="5" borderId="43" xfId="0" applyNumberFormat="1" applyFont="1" applyFill="1" applyBorder="1" applyAlignment="1">
      <alignment vertical="center"/>
    </xf>
    <xf numFmtId="6" fontId="18" fillId="5" borderId="25" xfId="0" applyNumberFormat="1" applyFont="1" applyFill="1" applyBorder="1" applyAlignment="1">
      <alignment vertical="center"/>
    </xf>
    <xf numFmtId="6" fontId="18" fillId="0" borderId="25" xfId="0" applyNumberFormat="1" applyFont="1" applyFill="1" applyBorder="1" applyAlignment="1">
      <alignment vertical="center"/>
    </xf>
    <xf numFmtId="6" fontId="18" fillId="0" borderId="44" xfId="0" applyNumberFormat="1" applyFont="1" applyFill="1" applyBorder="1" applyAlignment="1">
      <alignment vertical="center"/>
    </xf>
    <xf numFmtId="0" fontId="31" fillId="0" borderId="0" xfId="0" applyFont="1"/>
    <xf numFmtId="0" fontId="32" fillId="0" borderId="0" xfId="0" applyFont="1"/>
    <xf numFmtId="6" fontId="18" fillId="5" borderId="41" xfId="0" applyNumberFormat="1" applyFont="1" applyFill="1" applyBorder="1" applyAlignment="1">
      <alignment vertical="center"/>
    </xf>
    <xf numFmtId="0" fontId="18" fillId="5" borderId="45" xfId="0" applyFont="1" applyFill="1" applyBorder="1" applyAlignment="1">
      <alignment horizontal="left" vertical="center"/>
    </xf>
    <xf numFmtId="168" fontId="18" fillId="5" borderId="46" xfId="1" applyNumberFormat="1" applyFont="1" applyFill="1" applyBorder="1" applyAlignment="1">
      <alignment horizontal="center" vertical="center"/>
    </xf>
    <xf numFmtId="168" fontId="18" fillId="5" borderId="39" xfId="0" applyNumberFormat="1" applyFont="1" applyFill="1" applyBorder="1" applyAlignment="1">
      <alignment horizontal="center" vertical="center"/>
    </xf>
    <xf numFmtId="0" fontId="18" fillId="5" borderId="8" xfId="0" applyFont="1" applyFill="1" applyBorder="1" applyAlignment="1">
      <alignment horizontal="left" vertical="center"/>
    </xf>
    <xf numFmtId="168" fontId="18" fillId="5" borderId="25" xfId="1" applyNumberFormat="1" applyFont="1" applyFill="1" applyBorder="1" applyAlignment="1">
      <alignment horizontal="center" vertical="center"/>
    </xf>
    <xf numFmtId="168" fontId="18" fillId="5" borderId="31" xfId="0" applyNumberFormat="1" applyFont="1" applyFill="1" applyBorder="1" applyAlignment="1">
      <alignment horizontal="center" vertical="center"/>
    </xf>
    <xf numFmtId="0" fontId="18" fillId="5" borderId="32" xfId="0" applyFont="1" applyFill="1" applyBorder="1" applyAlignment="1">
      <alignment vertical="center"/>
    </xf>
    <xf numFmtId="168" fontId="18" fillId="5" borderId="44" xfId="1" applyNumberFormat="1" applyFont="1" applyFill="1" applyBorder="1" applyAlignment="1">
      <alignment horizontal="center" vertical="center"/>
    </xf>
    <xf numFmtId="168" fontId="18" fillId="5" borderId="33" xfId="0" applyNumberFormat="1" applyFont="1" applyFill="1" applyBorder="1" applyAlignment="1">
      <alignment horizontal="center" vertical="center"/>
    </xf>
    <xf numFmtId="0" fontId="19" fillId="5" borderId="47" xfId="0" applyFont="1" applyFill="1" applyBorder="1" applyAlignment="1">
      <alignment vertical="center"/>
    </xf>
    <xf numFmtId="0" fontId="19" fillId="5" borderId="48" xfId="0" applyFont="1" applyFill="1" applyBorder="1" applyAlignment="1">
      <alignment vertical="center"/>
    </xf>
    <xf numFmtId="0" fontId="19" fillId="5" borderId="49" xfId="0" applyFont="1" applyFill="1" applyBorder="1" applyAlignment="1">
      <alignment vertical="center"/>
    </xf>
    <xf numFmtId="0" fontId="19" fillId="5" borderId="50" xfId="0" applyFont="1" applyFill="1" applyBorder="1" applyAlignment="1">
      <alignment vertical="center"/>
    </xf>
    <xf numFmtId="0" fontId="19" fillId="5" borderId="51" xfId="0" applyFont="1" applyFill="1" applyBorder="1" applyAlignment="1">
      <alignment vertical="center"/>
    </xf>
    <xf numFmtId="0" fontId="19" fillId="5" borderId="52" xfId="0" applyFont="1" applyFill="1" applyBorder="1" applyAlignment="1">
      <alignment vertical="center"/>
    </xf>
    <xf numFmtId="164" fontId="9" fillId="0" borderId="4" xfId="0" applyNumberFormat="1" applyFont="1" applyBorder="1"/>
    <xf numFmtId="0" fontId="2" fillId="0" borderId="0" xfId="6" applyFont="1" applyAlignment="1">
      <alignment horizontal="left" vertical="top"/>
    </xf>
    <xf numFmtId="3" fontId="9" fillId="0" borderId="20" xfId="10" applyNumberFormat="1" applyFont="1" applyBorder="1" applyAlignment="1">
      <alignment horizontal="right" wrapText="1"/>
    </xf>
    <xf numFmtId="0" fontId="28" fillId="0" borderId="19" xfId="2" applyFont="1" applyBorder="1" applyAlignment="1">
      <alignment horizontal="center" wrapText="1"/>
    </xf>
    <xf numFmtId="164" fontId="9" fillId="0" borderId="20" xfId="2" applyNumberFormat="1" applyFont="1" applyBorder="1"/>
    <xf numFmtId="0" fontId="33" fillId="0" borderId="0" xfId="0" applyFont="1"/>
    <xf numFmtId="0" fontId="2" fillId="0" borderId="0" xfId="6" applyFont="1" applyAlignment="1">
      <alignment vertical="top"/>
    </xf>
    <xf numFmtId="0" fontId="28" fillId="0" borderId="0" xfId="2" applyFont="1"/>
    <xf numFmtId="0" fontId="9" fillId="0" borderId="17" xfId="0" applyFont="1" applyBorder="1"/>
    <xf numFmtId="0" fontId="15" fillId="0" borderId="14" xfId="6" applyFont="1" applyBorder="1" applyAlignment="1">
      <alignment horizontal="centerContinuous"/>
    </xf>
    <xf numFmtId="0" fontId="15" fillId="0" borderId="17" xfId="6" applyFont="1" applyBorder="1" applyAlignment="1">
      <alignment horizontal="centerContinuous"/>
    </xf>
    <xf numFmtId="0" fontId="10" fillId="2" borderId="19" xfId="6" applyFont="1" applyFill="1" applyBorder="1" applyAlignment="1">
      <alignment horizontal="center"/>
    </xf>
    <xf numFmtId="164" fontId="10" fillId="2" borderId="3" xfId="6" applyNumberFormat="1" applyFont="1" applyFill="1" applyBorder="1" applyAlignment="1">
      <alignment horizontal="right"/>
    </xf>
    <xf numFmtId="164" fontId="10" fillId="2" borderId="1" xfId="0" applyNumberFormat="1" applyFont="1" applyFill="1" applyBorder="1"/>
    <xf numFmtId="164" fontId="10" fillId="2" borderId="19" xfId="0" applyNumberFormat="1" applyFont="1" applyFill="1" applyBorder="1"/>
    <xf numFmtId="0" fontId="9" fillId="0" borderId="36" xfId="0" applyFont="1" applyBorder="1"/>
    <xf numFmtId="0" fontId="10" fillId="0" borderId="3" xfId="6" applyFont="1" applyFill="1" applyBorder="1" applyAlignment="1">
      <alignment horizontal="center" vertical="center" wrapText="1"/>
    </xf>
    <xf numFmtId="0" fontId="16" fillId="0" borderId="2" xfId="6" applyFont="1" applyBorder="1" applyAlignment="1">
      <alignment horizontal="center"/>
    </xf>
    <xf numFmtId="0" fontId="3" fillId="0" borderId="2" xfId="6" applyFont="1" applyBorder="1" applyAlignment="1">
      <alignment horizontal="center"/>
    </xf>
    <xf numFmtId="0" fontId="10" fillId="2" borderId="3" xfId="6" applyFont="1" applyFill="1" applyBorder="1" applyAlignment="1">
      <alignment horizontal="center"/>
    </xf>
    <xf numFmtId="168" fontId="9" fillId="0" borderId="0" xfId="1" applyNumberFormat="1" applyFont="1" applyBorder="1"/>
    <xf numFmtId="164" fontId="10" fillId="2" borderId="35" xfId="6" applyNumberFormat="1" applyFont="1" applyFill="1" applyBorder="1" applyAlignment="1">
      <alignment horizontal="right"/>
    </xf>
    <xf numFmtId="164" fontId="10" fillId="2" borderId="1" xfId="6" applyNumberFormat="1" applyFont="1" applyFill="1" applyBorder="1" applyAlignment="1">
      <alignment horizontal="right"/>
    </xf>
    <xf numFmtId="0" fontId="18" fillId="5" borderId="53" xfId="0" applyFont="1" applyFill="1" applyBorder="1" applyAlignment="1">
      <alignment vertical="center"/>
    </xf>
    <xf numFmtId="168" fontId="18" fillId="5" borderId="3" xfId="1" applyNumberFormat="1" applyFont="1" applyFill="1" applyBorder="1" applyAlignment="1">
      <alignment horizontal="center" vertical="center"/>
    </xf>
    <xf numFmtId="168" fontId="18" fillId="5" borderId="54" xfId="0" applyNumberFormat="1" applyFont="1" applyFill="1" applyBorder="1" applyAlignment="1">
      <alignment horizontal="center" vertical="center"/>
    </xf>
    <xf numFmtId="0" fontId="19" fillId="5" borderId="55" xfId="0" applyFont="1" applyFill="1" applyBorder="1" applyAlignment="1">
      <alignment vertical="center"/>
    </xf>
    <xf numFmtId="0" fontId="19" fillId="5" borderId="56" xfId="0" applyFont="1" applyFill="1" applyBorder="1" applyAlignment="1">
      <alignment vertical="center"/>
    </xf>
    <xf numFmtId="0" fontId="19" fillId="5" borderId="38" xfId="0" applyFont="1" applyFill="1" applyBorder="1" applyAlignment="1">
      <alignment vertical="center"/>
    </xf>
    <xf numFmtId="0" fontId="9" fillId="0" borderId="25" xfId="0" applyFont="1" applyBorder="1"/>
    <xf numFmtId="164" fontId="9" fillId="0" borderId="25" xfId="0" applyNumberFormat="1" applyFont="1" applyBorder="1"/>
    <xf numFmtId="0" fontId="10" fillId="0" borderId="25" xfId="0" applyFont="1" applyBorder="1"/>
    <xf numFmtId="164" fontId="10" fillId="0" borderId="25" xfId="0" applyNumberFormat="1" applyFont="1" applyBorder="1"/>
    <xf numFmtId="0" fontId="11" fillId="0" borderId="25" xfId="0" applyFont="1" applyBorder="1" applyAlignment="1">
      <alignment horizontal="right"/>
    </xf>
    <xf numFmtId="9" fontId="12" fillId="0" borderId="25" xfId="5" applyFont="1" applyBorder="1"/>
    <xf numFmtId="164" fontId="11" fillId="0" borderId="25" xfId="0" applyNumberFormat="1" applyFont="1" applyBorder="1"/>
    <xf numFmtId="9" fontId="9" fillId="0" borderId="25" xfId="5" applyFont="1" applyBorder="1"/>
    <xf numFmtId="0" fontId="20" fillId="0" borderId="25" xfId="0" applyFont="1" applyBorder="1" applyAlignment="1">
      <alignment horizontal="right"/>
    </xf>
    <xf numFmtId="0" fontId="20" fillId="0" borderId="25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Fill="1"/>
    <xf numFmtId="0" fontId="10" fillId="0" borderId="16" xfId="0" applyFont="1" applyBorder="1" applyAlignment="1">
      <alignment horizontal="centerContinuous"/>
    </xf>
    <xf numFmtId="0" fontId="10" fillId="0" borderId="14" xfId="0" applyFont="1" applyBorder="1" applyAlignment="1">
      <alignment horizontal="centerContinuous"/>
    </xf>
    <xf numFmtId="0" fontId="10" fillId="0" borderId="17" xfId="0" applyFont="1" applyBorder="1" applyAlignment="1">
      <alignment horizontal="centerContinuous"/>
    </xf>
    <xf numFmtId="0" fontId="10" fillId="0" borderId="35" xfId="0" applyFont="1" applyFill="1" applyBorder="1" applyAlignment="1">
      <alignment horizontal="center" wrapText="1"/>
    </xf>
    <xf numFmtId="0" fontId="16" fillId="0" borderId="4" xfId="0" applyFont="1" applyBorder="1" applyAlignment="1">
      <alignment horizontal="center"/>
    </xf>
    <xf numFmtId="164" fontId="16" fillId="0" borderId="0" xfId="0" applyNumberFormat="1" applyFont="1" applyBorder="1"/>
    <xf numFmtId="0" fontId="9" fillId="0" borderId="4" xfId="0" applyFont="1" applyBorder="1" applyAlignment="1">
      <alignment horizontal="center"/>
    </xf>
    <xf numFmtId="0" fontId="10" fillId="2" borderId="35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 wrapText="1"/>
    </xf>
    <xf numFmtId="0" fontId="10" fillId="0" borderId="17" xfId="0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4" xfId="0" applyFont="1" applyBorder="1" applyAlignment="1">
      <alignment wrapText="1"/>
    </xf>
    <xf numFmtId="0" fontId="10" fillId="2" borderId="19" xfId="0" applyFont="1" applyFill="1" applyBorder="1" applyAlignment="1">
      <alignment horizontal="center"/>
    </xf>
    <xf numFmtId="0" fontId="10" fillId="0" borderId="25" xfId="0" applyFont="1" applyFill="1" applyBorder="1" applyAlignment="1">
      <alignment horizontal="center" wrapText="1"/>
    </xf>
    <xf numFmtId="0" fontId="16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0" borderId="35" xfId="6" applyFont="1" applyFill="1" applyBorder="1" applyAlignment="1">
      <alignment horizontal="center" wrapText="1"/>
    </xf>
    <xf numFmtId="164" fontId="3" fillId="0" borderId="0" xfId="6" applyNumberFormat="1" applyFont="1" applyFill="1" applyBorder="1" applyAlignment="1">
      <alignment horizontal="center"/>
    </xf>
    <xf numFmtId="164" fontId="10" fillId="2" borderId="1" xfId="6" applyNumberFormat="1" applyFont="1" applyFill="1" applyBorder="1" applyAlignment="1">
      <alignment horizontal="center"/>
    </xf>
    <xf numFmtId="0" fontId="10" fillId="2" borderId="1" xfId="6" applyFont="1" applyFill="1" applyBorder="1" applyAlignment="1">
      <alignment horizontal="center"/>
    </xf>
    <xf numFmtId="164" fontId="10" fillId="2" borderId="3" xfId="6" applyNumberFormat="1" applyFont="1" applyFill="1" applyBorder="1" applyAlignment="1">
      <alignment horizontal="center"/>
    </xf>
    <xf numFmtId="0" fontId="3" fillId="0" borderId="36" xfId="6" applyFont="1" applyBorder="1"/>
    <xf numFmtId="0" fontId="3" fillId="0" borderId="5" xfId="6" applyFont="1" applyBorder="1"/>
    <xf numFmtId="0" fontId="3" fillId="0" borderId="0" xfId="6" applyFont="1" applyFill="1" applyBorder="1" applyAlignment="1">
      <alignment horizontal="center"/>
    </xf>
    <xf numFmtId="0" fontId="15" fillId="0" borderId="36" xfId="6" applyFont="1" applyBorder="1" applyAlignment="1">
      <alignment horizontal="centerContinuous"/>
    </xf>
    <xf numFmtId="164" fontId="3" fillId="0" borderId="4" xfId="6" applyNumberFormat="1" applyFont="1" applyFill="1" applyBorder="1" applyAlignment="1">
      <alignment horizontal="center"/>
    </xf>
    <xf numFmtId="164" fontId="10" fillId="2" borderId="35" xfId="6" applyNumberFormat="1" applyFont="1" applyFill="1" applyBorder="1" applyAlignment="1">
      <alignment horizontal="center"/>
    </xf>
    <xf numFmtId="0" fontId="9" fillId="0" borderId="20" xfId="2" applyFont="1" applyBorder="1"/>
    <xf numFmtId="0" fontId="9" fillId="0" borderId="5" xfId="2" applyFont="1" applyBorder="1"/>
    <xf numFmtId="0" fontId="15" fillId="0" borderId="14" xfId="10" applyFont="1" applyBorder="1" applyAlignment="1">
      <alignment horizontal="centerContinuous"/>
    </xf>
    <xf numFmtId="0" fontId="15" fillId="0" borderId="17" xfId="10" applyFont="1" applyBorder="1" applyAlignment="1">
      <alignment horizontal="centerContinuous"/>
    </xf>
    <xf numFmtId="3" fontId="9" fillId="0" borderId="0" xfId="10" applyNumberFormat="1" applyFont="1" applyBorder="1" applyAlignment="1">
      <alignment horizontal="right" wrapText="1"/>
    </xf>
    <xf numFmtId="164" fontId="9" fillId="0" borderId="0" xfId="2" applyNumberFormat="1" applyFont="1" applyBorder="1"/>
    <xf numFmtId="0" fontId="10" fillId="2" borderId="19" xfId="10" applyFont="1" applyFill="1" applyBorder="1" applyAlignment="1">
      <alignment horizontal="center"/>
    </xf>
    <xf numFmtId="0" fontId="10" fillId="2" borderId="1" xfId="10" applyFont="1" applyFill="1" applyBorder="1" applyAlignment="1">
      <alignment horizontal="center"/>
    </xf>
    <xf numFmtId="164" fontId="10" fillId="2" borderId="1" xfId="2" applyNumberFormat="1" applyFont="1" applyFill="1" applyBorder="1"/>
    <xf numFmtId="164" fontId="10" fillId="2" borderId="19" xfId="2" applyNumberFormat="1" applyFont="1" applyFill="1" applyBorder="1"/>
    <xf numFmtId="0" fontId="9" fillId="0" borderId="36" xfId="2" applyFont="1" applyBorder="1"/>
    <xf numFmtId="0" fontId="10" fillId="0" borderId="3" xfId="10" applyFont="1" applyBorder="1" applyAlignment="1">
      <alignment horizontal="center" wrapText="1"/>
    </xf>
    <xf numFmtId="0" fontId="16" fillId="0" borderId="2" xfId="10" applyFont="1" applyBorder="1" applyAlignment="1">
      <alignment horizontal="center"/>
    </xf>
    <xf numFmtId="0" fontId="4" fillId="0" borderId="2" xfId="10" applyBorder="1" applyAlignment="1">
      <alignment horizontal="center"/>
    </xf>
    <xf numFmtId="0" fontId="10" fillId="2" borderId="3" xfId="10" applyFont="1" applyFill="1" applyBorder="1" applyAlignment="1">
      <alignment horizontal="center"/>
    </xf>
    <xf numFmtId="164" fontId="3" fillId="0" borderId="21" xfId="6" applyNumberFormat="1" applyFont="1" applyFill="1" applyBorder="1" applyAlignment="1">
      <alignment horizontal="center"/>
    </xf>
    <xf numFmtId="164" fontId="3" fillId="0" borderId="5" xfId="6" applyNumberFormat="1" applyFont="1" applyFill="1" applyBorder="1" applyAlignment="1">
      <alignment horizontal="center"/>
    </xf>
    <xf numFmtId="164" fontId="3" fillId="0" borderId="20" xfId="6" applyNumberFormat="1" applyFont="1" applyFill="1" applyBorder="1" applyAlignment="1">
      <alignment horizontal="center"/>
    </xf>
    <xf numFmtId="164" fontId="10" fillId="2" borderId="19" xfId="6" applyNumberFormat="1" applyFont="1" applyFill="1" applyBorder="1" applyAlignment="1">
      <alignment horizontal="center"/>
    </xf>
    <xf numFmtId="0" fontId="10" fillId="0" borderId="21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164" fontId="9" fillId="0" borderId="21" xfId="0" applyNumberFormat="1" applyFont="1" applyBorder="1"/>
    <xf numFmtId="164" fontId="9" fillId="0" borderId="20" xfId="0" applyNumberFormat="1" applyFont="1" applyBorder="1"/>
    <xf numFmtId="164" fontId="10" fillId="2" borderId="35" xfId="0" applyNumberFormat="1" applyFont="1" applyFill="1" applyBorder="1"/>
    <xf numFmtId="0" fontId="1" fillId="0" borderId="0" xfId="6" applyFont="1" applyAlignment="1">
      <alignment horizontal="left" vertical="top"/>
    </xf>
    <xf numFmtId="0" fontId="1" fillId="0" borderId="0" xfId="6" applyFont="1" applyAlignment="1">
      <alignment horizontal="left" vertical="center" wrapText="1"/>
    </xf>
    <xf numFmtId="0" fontId="9" fillId="0" borderId="0" xfId="0" applyFont="1" applyAlignment="1">
      <alignment horizontal="center" wrapText="1"/>
    </xf>
    <xf numFmtId="0" fontId="31" fillId="0" borderId="0" xfId="0" applyFont="1" applyAlignment="1">
      <alignment horizontal="center" wrapText="1"/>
    </xf>
    <xf numFmtId="0" fontId="15" fillId="0" borderId="16" xfId="6" applyFont="1" applyBorder="1" applyAlignment="1">
      <alignment horizontal="center"/>
    </xf>
    <xf numFmtId="0" fontId="15" fillId="0" borderId="14" xfId="6" applyFont="1" applyBorder="1" applyAlignment="1">
      <alignment horizontal="center"/>
    </xf>
    <xf numFmtId="0" fontId="15" fillId="0" borderId="17" xfId="6" applyFont="1" applyBorder="1" applyAlignment="1">
      <alignment horizontal="center"/>
    </xf>
    <xf numFmtId="0" fontId="26" fillId="0" borderId="16" xfId="2" applyFont="1" applyBorder="1" applyAlignment="1">
      <alignment horizontal="center" vertical="center"/>
    </xf>
    <xf numFmtId="0" fontId="26" fillId="0" borderId="14" xfId="2" applyFont="1" applyBorder="1" applyAlignment="1">
      <alignment horizontal="center" vertical="center"/>
    </xf>
    <xf numFmtId="0" fontId="26" fillId="0" borderId="17" xfId="2" applyFont="1" applyBorder="1" applyAlignment="1">
      <alignment horizontal="center" vertical="center"/>
    </xf>
    <xf numFmtId="0" fontId="26" fillId="0" borderId="0" xfId="2" applyFont="1" applyAlignment="1">
      <alignment horizontal="left" vertical="top" wrapText="1"/>
    </xf>
  </cellXfs>
  <cellStyles count="11">
    <cellStyle name="Currency" xfId="1" builtinId="4"/>
    <cellStyle name="Currency 2" xfId="9" xr:uid="{00000000-0005-0000-0000-000034000000}"/>
    <cellStyle name="Normal" xfId="0" builtinId="0"/>
    <cellStyle name="Normal 2" xfId="4" xr:uid="{00000000-0005-0000-0000-00002F000000}"/>
    <cellStyle name="Normal 3" xfId="2" xr:uid="{00000000-0005-0000-0000-00002F000000}"/>
    <cellStyle name="Normal 4" xfId="6" xr:uid="{55C00F0B-D5A6-4C3C-9D5D-3E18DF1AA274}"/>
    <cellStyle name="Normal 4 2" xfId="10" xr:uid="{0FB8CD1D-0483-433E-8477-0AD5D72E68DB}"/>
    <cellStyle name="Normal 5" xfId="8" xr:uid="{00000000-0005-0000-0000-000035000000}"/>
    <cellStyle name="Percent" xfId="5" builtinId="5"/>
    <cellStyle name="Percent 2" xfId="3" xr:uid="{00000000-0005-0000-0000-000031000000}"/>
    <cellStyle name="Percent 3" xfId="7" xr:uid="{C6482003-D0DC-465F-A793-786E3CD81057}"/>
  </cellStyles>
  <dxfs count="0"/>
  <tableStyles count="0" defaultTableStyle="TableStyleMedium2" defaultPivotStyle="PivotStyleLight16"/>
  <colors>
    <mruColors>
      <color rgb="FFDCE6F1"/>
      <color rgb="FFF2F2F2"/>
      <color rgb="FF008000"/>
      <color rgb="FF0000FF"/>
      <color rgb="FF34411B"/>
      <color rgb="FF3E4D1F"/>
      <color rgb="FF00A8A4"/>
      <color rgb="FFEFFFFF"/>
      <color rgb="FFC9FFFE"/>
      <color rgb="FF00E2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essica.choi/Desktop/FDOT%20I-95%20_%20Build%202025%20BCA%20v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imleyhorn-my.sharepoint.com/personal/rebeccah_roberts_kimley-horn_com/Documents/Temp%20Project/FDOT%20BCAs%202021/I-95%20INFRA/Data%20and%20Info/topsbc_std_ver4_2028Buil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F - Maintenance Costs"/>
      <sheetName val="G - Safety"/>
      <sheetName val="H - Travel Time"/>
      <sheetName val="I - Environmental"/>
      <sheetName val="J-Technology"/>
      <sheetName val="K - Economic Output"/>
      <sheetName val="Wrong Way Detection_Backup"/>
      <sheetName val="En-Route Travel Info_Backup"/>
      <sheetName val="RAMP Metering_Backup"/>
      <sheetName val="RWM_Backup"/>
    </sheetNames>
    <sheetDataSet>
      <sheetData sheetId="0">
        <row r="6">
          <cell r="C6">
            <v>2019</v>
          </cell>
        </row>
        <row r="7">
          <cell r="C7">
            <v>2022</v>
          </cell>
        </row>
        <row r="10">
          <cell r="C10">
            <v>2028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structions"/>
      <sheetName val="Data Dictionary"/>
      <sheetName val="Admin"/>
      <sheetName val="links"/>
      <sheetName val="deployment support"/>
      <sheetName val="Link Characteristics"/>
      <sheetName val="OPENING SCREEN"/>
      <sheetName val="TOPS-BC INFO"/>
      <sheetName val="WHAT'S NEW"/>
      <sheetName val="LIST OF ALL WORKSHEETS"/>
      <sheetName val="GLOSSARY"/>
      <sheetName val="COST ESTIMATION"/>
      <sheetName val="Cost Default Matrix"/>
      <sheetName val="Costs Template"/>
      <sheetName val="En-Route Traveler Information"/>
      <sheetName val="ATIS-HAR"/>
      <sheetName val="Pre-Trip Traveler Information"/>
      <sheetName val="TSS - Preset Timing"/>
      <sheetName val="TSS-Traffic Actuated Timing"/>
      <sheetName val="TSS - Central Control"/>
      <sheetName val="TSS - Transit Signal Priority"/>
      <sheetName val="RM-Central Control"/>
      <sheetName val="RM-Actuated"/>
      <sheetName val="RM-Preset"/>
      <sheetName val="HERSLookupCategories"/>
      <sheetName val="HERS Cost Sheet"/>
      <sheetName val="FS- Truck Only"/>
      <sheetName val="FS- Compliance"/>
      <sheetName val="FS- Parking &amp; Reservation"/>
      <sheetName val="FS- Climbing Lanes"/>
      <sheetName val="FS- Off Hours"/>
      <sheetName val="Traffic Incident Management"/>
      <sheetName val="ATM- VSL"/>
      <sheetName val="ATM- PTSU"/>
      <sheetName val="ATDM-Speed"/>
      <sheetName val="Travel Demand Management"/>
      <sheetName val="ATDM-Shoulder"/>
      <sheetName val="HOT Lanes"/>
      <sheetName val="Road Weather Management"/>
      <sheetName val="Work Zone Management"/>
      <sheetName val="Shared Use Mobility"/>
      <sheetName val="COSTS SUMMARY"/>
      <sheetName val="BENEFIT ESTIMATE"/>
      <sheetName val="Parameters"/>
      <sheetName val="Strategy Default Impacts"/>
      <sheetName val="En - Route Traveler Information"/>
      <sheetName val="Ramp Metering"/>
      <sheetName val="RWM"/>
      <sheetName val="Benefit Template"/>
      <sheetName val="FS - Compliance"/>
      <sheetName val="Traffic Signal Control"/>
      <sheetName val="Traffic Incident Management "/>
      <sheetName val="Highway Advisory Radio"/>
      <sheetName val="Pre - Trip Traveler Information"/>
      <sheetName val="FS - Truck Only"/>
      <sheetName val="PCE Look Up"/>
      <sheetName val="FS - Parking &amp; Reservation"/>
      <sheetName val="FS - Climbing Lanes"/>
      <sheetName val="FS - Off Hours"/>
      <sheetName val="ATM - VSL"/>
      <sheetName val="ATM - PTSU"/>
      <sheetName val="HOT  Lanes"/>
      <sheetName val="Travel Demand Management "/>
      <sheetName val="Work Zone"/>
      <sheetName val="Speed"/>
      <sheetName val="Shared Use Mobility "/>
      <sheetName val="Summary of My Deployments"/>
      <sheetName val="Results Template"/>
    </sheetNames>
    <sheetDataSet>
      <sheetData sheetId="0"/>
      <sheetData sheetId="1"/>
      <sheetData sheetId="2"/>
      <sheetData sheetId="3"/>
      <sheetData sheetId="4"/>
      <sheetData sheetId="5">
        <row r="3">
          <cell r="F3" t="str">
            <v>Preset Timing</v>
          </cell>
          <cell r="G3" t="str">
            <v>RM-Preset</v>
          </cell>
          <cell r="H3">
            <v>0.08</v>
          </cell>
          <cell r="I3">
            <v>-0.35</v>
          </cell>
        </row>
        <row r="4">
          <cell r="F4" t="str">
            <v>Traffic Actuated</v>
          </cell>
          <cell r="G4" t="str">
            <v>RM-Actuated</v>
          </cell>
          <cell r="H4">
            <v>0.1</v>
          </cell>
          <cell r="I4">
            <v>-0.35</v>
          </cell>
        </row>
        <row r="5">
          <cell r="F5" t="str">
            <v>Central Control</v>
          </cell>
          <cell r="G5" t="str">
            <v>RM-Central Control</v>
          </cell>
          <cell r="H5">
            <v>0.12</v>
          </cell>
          <cell r="I5">
            <v>-0.35</v>
          </cell>
        </row>
      </sheetData>
      <sheetData sheetId="6">
        <row r="4">
          <cell r="C4">
            <v>1</v>
          </cell>
          <cell r="D4" t="str">
            <v>Rural Freeway</v>
          </cell>
          <cell r="E4">
            <v>2200</v>
          </cell>
          <cell r="F4">
            <v>70</v>
          </cell>
          <cell r="G4" t="str">
            <v>Freeways</v>
          </cell>
          <cell r="H4" t="str">
            <v>Freeways</v>
          </cell>
        </row>
        <row r="5">
          <cell r="C5">
            <v>2</v>
          </cell>
          <cell r="D5" t="str">
            <v>Urban Freeway</v>
          </cell>
          <cell r="E5">
            <v>2200</v>
          </cell>
          <cell r="F5">
            <v>55</v>
          </cell>
          <cell r="G5" t="str">
            <v>Freeways</v>
          </cell>
          <cell r="H5" t="str">
            <v>Freeways</v>
          </cell>
        </row>
        <row r="6">
          <cell r="C6">
            <v>3</v>
          </cell>
          <cell r="D6" t="str">
            <v>Principal Arterial</v>
          </cell>
          <cell r="E6">
            <v>1800</v>
          </cell>
          <cell r="F6">
            <v>45</v>
          </cell>
          <cell r="G6" t="str">
            <v>Arterials</v>
          </cell>
          <cell r="H6" t="str">
            <v>Arterials</v>
          </cell>
        </row>
        <row r="7">
          <cell r="C7">
            <v>4</v>
          </cell>
          <cell r="D7" t="str">
            <v>Ramp</v>
          </cell>
          <cell r="E7">
            <v>1600</v>
          </cell>
          <cell r="F7">
            <v>35</v>
          </cell>
          <cell r="G7" t="str">
            <v>Ramps</v>
          </cell>
          <cell r="H7" t="str">
            <v>Arterials</v>
          </cell>
        </row>
        <row r="10">
          <cell r="C10"/>
          <cell r="D10"/>
          <cell r="E10"/>
          <cell r="F10"/>
          <cell r="G10"/>
        </row>
        <row r="11">
          <cell r="C11"/>
          <cell r="D11"/>
          <cell r="E11"/>
          <cell r="F11"/>
          <cell r="G11"/>
        </row>
        <row r="12">
          <cell r="C12"/>
          <cell r="D12"/>
          <cell r="E12"/>
          <cell r="F12"/>
          <cell r="G12"/>
        </row>
        <row r="13">
          <cell r="C13"/>
          <cell r="D13"/>
          <cell r="E13"/>
          <cell r="F13"/>
          <cell r="G13"/>
        </row>
        <row r="14">
          <cell r="C14"/>
          <cell r="D14"/>
          <cell r="E14"/>
          <cell r="F14"/>
          <cell r="G14"/>
        </row>
        <row r="15">
          <cell r="C15"/>
          <cell r="D15"/>
          <cell r="E15"/>
          <cell r="F15"/>
          <cell r="G15"/>
        </row>
        <row r="16">
          <cell r="C16"/>
          <cell r="D16"/>
          <cell r="E16"/>
          <cell r="F16"/>
          <cell r="G16"/>
        </row>
        <row r="17">
          <cell r="C17"/>
          <cell r="D17"/>
          <cell r="E17"/>
          <cell r="F17"/>
          <cell r="G17"/>
        </row>
        <row r="18">
          <cell r="C18"/>
          <cell r="D18"/>
          <cell r="E18"/>
          <cell r="F18"/>
          <cell r="G18"/>
        </row>
        <row r="19">
          <cell r="C19"/>
          <cell r="D19"/>
          <cell r="E19"/>
          <cell r="F19"/>
          <cell r="G19"/>
        </row>
      </sheetData>
      <sheetData sheetId="7">
        <row r="24">
          <cell r="B24" t="str">
            <v>FHWA Tool for Operations Benefit/Cost (TOPS-BC):  Version 4.0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9">
          <cell r="AN9">
            <v>26.2</v>
          </cell>
        </row>
        <row r="10">
          <cell r="AN10">
            <v>18.8</v>
          </cell>
        </row>
        <row r="11">
          <cell r="W11">
            <v>30.8</v>
          </cell>
          <cell r="Z11" t="str">
            <v>Freeways</v>
          </cell>
          <cell r="AA11"/>
          <cell r="AB11">
            <v>0.2</v>
          </cell>
          <cell r="AC11">
            <v>0.99997589519681684</v>
          </cell>
        </row>
        <row r="12">
          <cell r="W12">
            <v>16.5</v>
          </cell>
          <cell r="Z12"/>
          <cell r="AA12"/>
          <cell r="AB12">
            <v>0.3</v>
          </cell>
          <cell r="AC12">
            <v>0.99973821471643498</v>
          </cell>
          <cell r="AP12">
            <v>1</v>
          </cell>
          <cell r="AQ12">
            <v>5.0000000745057997E-2</v>
          </cell>
          <cell r="AR12">
            <v>3.4378498270370897E-8</v>
          </cell>
          <cell r="AS12">
            <v>1.4375299839386399E-9</v>
          </cell>
          <cell r="AT12">
            <v>4.3918900634320999E-12</v>
          </cell>
        </row>
        <row r="13">
          <cell r="W13">
            <v>27.9</v>
          </cell>
          <cell r="Z13"/>
          <cell r="AA13"/>
          <cell r="AB13">
            <v>0.5</v>
          </cell>
          <cell r="AC13">
            <v>0.99474097618293567</v>
          </cell>
          <cell r="AP13"/>
          <cell r="AQ13">
            <v>0.10000000149011599</v>
          </cell>
          <cell r="AR13">
            <v>5.2400400818442005E-7</v>
          </cell>
          <cell r="AS13">
            <v>4.6320998592364002E-8</v>
          </cell>
          <cell r="AT13">
            <v>5.8198701413658599E-10</v>
          </cell>
        </row>
        <row r="14">
          <cell r="Z14"/>
          <cell r="AA14"/>
          <cell r="AB14">
            <v>0.7</v>
          </cell>
          <cell r="AC14">
            <v>0.9631399630200248</v>
          </cell>
          <cell r="AP14"/>
          <cell r="AQ14">
            <v>0.15000000596046401</v>
          </cell>
          <cell r="AR14">
            <v>2.57854003393731E-6</v>
          </cell>
          <cell r="AS14">
            <v>3.5318001323503199E-7</v>
          </cell>
          <cell r="AT14">
            <v>1.0147400253401799E-8</v>
          </cell>
        </row>
        <row r="15">
          <cell r="W15">
            <v>30.8</v>
          </cell>
          <cell r="Z15"/>
          <cell r="AA15"/>
          <cell r="AB15">
            <v>0.8</v>
          </cell>
          <cell r="AC15">
            <v>0.92254975673796347</v>
          </cell>
          <cell r="AP15"/>
          <cell r="AQ15">
            <v>0.20000000298023199</v>
          </cell>
          <cell r="AR15">
            <v>7.9869796536513604E-6</v>
          </cell>
          <cell r="AS15">
            <v>1.4925800542187001E-6</v>
          </cell>
          <cell r="AT15">
            <v>7.7121399044699501E-8</v>
          </cell>
        </row>
        <row r="16">
          <cell r="W16">
            <v>16.5</v>
          </cell>
          <cell r="Z16"/>
          <cell r="AA16"/>
          <cell r="AB16">
            <v>0.9</v>
          </cell>
          <cell r="AC16">
            <v>0.85626246752641844</v>
          </cell>
          <cell r="AP16"/>
          <cell r="AQ16">
            <v>0.25</v>
          </cell>
          <cell r="AR16">
            <v>1.9197299479856102E-5</v>
          </cell>
          <cell r="AS16">
            <v>4.5651800064660998E-6</v>
          </cell>
          <cell r="AT16">
            <v>3.7186899248808898E-7</v>
          </cell>
        </row>
        <row r="17">
          <cell r="W17">
            <v>27.9</v>
          </cell>
          <cell r="Z17"/>
          <cell r="AA17"/>
          <cell r="AB17">
            <v>1</v>
          </cell>
          <cell r="AC17">
            <v>0.76219512195121952</v>
          </cell>
          <cell r="AP17"/>
          <cell r="AQ17">
            <v>0.30000001192092901</v>
          </cell>
          <cell r="AR17">
            <v>3.9302598452195498E-5</v>
          </cell>
          <cell r="AS17">
            <v>1.1380399882909799E-5</v>
          </cell>
          <cell r="AT17">
            <v>1.3446799584926301E-6</v>
          </cell>
        </row>
        <row r="18">
          <cell r="Z18"/>
          <cell r="AA18"/>
          <cell r="AB18">
            <v>1.1000000000000001</v>
          </cell>
          <cell r="AC18">
            <v>0.64658057607853736</v>
          </cell>
          <cell r="AP18"/>
          <cell r="AQ18">
            <v>0.34999999403953502</v>
          </cell>
          <cell r="AR18">
            <v>7.2031500167213299E-5</v>
          </cell>
          <cell r="AS18">
            <v>2.46353993134107E-5</v>
          </cell>
          <cell r="AT18">
            <v>3.9865099097369196E-6</v>
          </cell>
        </row>
        <row r="19">
          <cell r="Z19"/>
          <cell r="AA19"/>
          <cell r="AB19">
            <v>1.2</v>
          </cell>
          <cell r="AC19">
            <v>0.5230223025061661</v>
          </cell>
          <cell r="AP19"/>
          <cell r="AQ19">
            <v>0.40000000596046398</v>
          </cell>
          <cell r="AR19">
            <v>1.21739998576231E-4</v>
          </cell>
          <cell r="AS19">
            <v>4.8094898374984E-5</v>
          </cell>
          <cell r="AT19">
            <v>1.02195999716059E-5</v>
          </cell>
        </row>
        <row r="20">
          <cell r="W20">
            <v>12071000</v>
          </cell>
          <cell r="Z20"/>
          <cell r="AA20"/>
          <cell r="AB20">
            <v>1.4</v>
          </cell>
          <cell r="AC20">
            <v>0.30688686525764458</v>
          </cell>
          <cell r="AP20"/>
          <cell r="AQ20">
            <v>0.44999998807907099</v>
          </cell>
          <cell r="AR20">
            <v>1.9340700237080401E-4</v>
          </cell>
          <cell r="AS20">
            <v>8.6770902271382497E-5</v>
          </cell>
          <cell r="AT20">
            <v>2.34456001635408E-5</v>
          </cell>
        </row>
        <row r="21">
          <cell r="W21">
            <v>284100</v>
          </cell>
          <cell r="Z21"/>
          <cell r="AA21"/>
          <cell r="AB21">
            <v>1.6</v>
          </cell>
          <cell r="AC21">
            <v>0.16794258809305412</v>
          </cell>
          <cell r="AP21"/>
          <cell r="AQ21">
            <v>0.5</v>
          </cell>
          <cell r="AR21">
            <v>2.9264501063153099E-4</v>
          </cell>
          <cell r="AS21">
            <v>1.4710400137119001E-4</v>
          </cell>
          <cell r="AT21">
            <v>4.9277801736025099E-5</v>
          </cell>
        </row>
        <row r="22">
          <cell r="P22">
            <v>8.6900000000000005E-2</v>
          </cell>
          <cell r="W22">
            <v>4500</v>
          </cell>
          <cell r="Z22"/>
          <cell r="AA22"/>
          <cell r="AB22">
            <v>1.8</v>
          </cell>
          <cell r="AC22">
            <v>9.1687963712172985E-2</v>
          </cell>
          <cell r="AP22"/>
          <cell r="AQ22">
            <v>0.55000001192092896</v>
          </cell>
          <cell r="AR22">
            <v>4.2577399290166801E-4</v>
          </cell>
          <cell r="AS22">
            <v>2.37155007198453E-4</v>
          </cell>
          <cell r="AT22">
            <v>9.6487303380854401E-5</v>
          </cell>
        </row>
        <row r="23">
          <cell r="P23">
            <v>0.2</v>
          </cell>
          <cell r="Z23"/>
          <cell r="AA23"/>
          <cell r="AB23">
            <v>2</v>
          </cell>
          <cell r="AC23">
            <v>5.1513054154259788E-2</v>
          </cell>
          <cell r="AP23"/>
          <cell r="AQ23">
            <v>0.60000002384185702</v>
          </cell>
          <cell r="AR23">
            <v>6.0015200870111498E-4</v>
          </cell>
          <cell r="AS23">
            <v>3.6684799124486701E-4</v>
          </cell>
          <cell r="AT23">
            <v>1.7818900232668901E-4</v>
          </cell>
        </row>
        <row r="24">
          <cell r="P24">
            <v>1.67</v>
          </cell>
          <cell r="Z24"/>
          <cell r="AA24"/>
          <cell r="AB24">
            <v>2.5</v>
          </cell>
          <cell r="AC24">
            <v>1.4403351291415541E-2</v>
          </cell>
          <cell r="AP24"/>
          <cell r="AQ24">
            <v>0.64999997615814198</v>
          </cell>
          <cell r="AR24">
            <v>8.2539697177708095E-4</v>
          </cell>
          <cell r="AS24">
            <v>5.4846797138452497E-4</v>
          </cell>
          <cell r="AT24">
            <v>3.1330098863690999E-4</v>
          </cell>
        </row>
        <row r="25">
          <cell r="W25">
            <v>2.82</v>
          </cell>
          <cell r="Z25"/>
          <cell r="AA25"/>
          <cell r="AB25">
            <v>3</v>
          </cell>
          <cell r="AC25">
            <v>4.9747945134242929E-3</v>
          </cell>
          <cell r="AP25"/>
          <cell r="AQ25">
            <v>0.69999998807907104</v>
          </cell>
          <cell r="AR25">
            <v>1.1174599640071301E-3</v>
          </cell>
          <cell r="AS25">
            <v>7.9827697481960004E-4</v>
          </cell>
          <cell r="AT25">
            <v>5.2834302186965899E-4</v>
          </cell>
        </row>
        <row r="26">
          <cell r="Z26"/>
          <cell r="AA26"/>
          <cell r="AB26">
            <v>4</v>
          </cell>
          <cell r="AC26">
            <v>9.1944759741879162E-4</v>
          </cell>
          <cell r="AP26"/>
          <cell r="AQ26">
            <v>0.75</v>
          </cell>
          <cell r="AR26">
            <v>1.5108600491657799E-3</v>
          </cell>
          <cell r="AS26">
            <v>1.1423700489103701E-3</v>
          </cell>
          <cell r="AT26">
            <v>8.5988797945901697E-4</v>
          </cell>
        </row>
        <row r="27">
          <cell r="Z27"/>
          <cell r="AA27"/>
          <cell r="AB27">
            <v>5</v>
          </cell>
          <cell r="AC27">
            <v>2.4756961372172844E-4</v>
          </cell>
          <cell r="AP27"/>
          <cell r="AQ27">
            <v>0.80000001192092896</v>
          </cell>
          <cell r="AR27">
            <v>2.0928799640387301E-3</v>
          </cell>
          <cell r="AS27">
            <v>1.6373799880966501E-3</v>
          </cell>
          <cell r="AT27">
            <v>1.35971000418067E-3</v>
          </cell>
        </row>
        <row r="28">
          <cell r="Z28"/>
          <cell r="AA28"/>
          <cell r="AB28">
            <v>6</v>
          </cell>
          <cell r="AC28">
            <v>8.4711975262117615E-5</v>
          </cell>
          <cell r="AP28"/>
          <cell r="AQ28">
            <v>0.85000002384185702</v>
          </cell>
          <cell r="AR28">
            <v>3.09209991246461E-3</v>
          </cell>
          <cell r="AS28">
            <v>2.4384700227528802E-3</v>
          </cell>
          <cell r="AT28">
            <v>2.11483007296919E-3</v>
          </cell>
        </row>
        <row r="29">
          <cell r="Z29"/>
          <cell r="AA29"/>
          <cell r="AB29">
            <v>12</v>
          </cell>
          <cell r="AC29">
            <v>1.4355605396039601E-6</v>
          </cell>
          <cell r="AP29"/>
          <cell r="AQ29">
            <v>0.89999997615814198</v>
          </cell>
          <cell r="AR29">
            <v>5.0949798896908699E-3</v>
          </cell>
          <cell r="AS29">
            <v>4.0077199228107903E-3</v>
          </cell>
          <cell r="AT29">
            <v>3.3482699654996399E-3</v>
          </cell>
        </row>
        <row r="30">
          <cell r="Z30" t="str">
            <v>Arterials</v>
          </cell>
          <cell r="AA30"/>
          <cell r="AB30">
            <v>0.2</v>
          </cell>
          <cell r="AC30">
            <v>0.99591139798077677</v>
          </cell>
          <cell r="AP30"/>
          <cell r="AQ30">
            <v>0.94999998807907104</v>
          </cell>
          <cell r="AR30">
            <v>9.5471199601888605E-3</v>
          </cell>
          <cell r="AS30">
            <v>7.7119697816669898E-3</v>
          </cell>
          <cell r="AT30">
            <v>5.9221801348030498E-3</v>
          </cell>
        </row>
        <row r="31">
          <cell r="Z31"/>
          <cell r="AA31"/>
          <cell r="AB31">
            <v>0.3</v>
          </cell>
          <cell r="AC31">
            <v>0.98632820751539418</v>
          </cell>
          <cell r="AP31"/>
          <cell r="AQ31">
            <v>1</v>
          </cell>
          <cell r="AR31">
            <v>1.9859999418258601E-2</v>
          </cell>
          <cell r="AS31">
            <v>1.7440000548958699E-2</v>
          </cell>
          <cell r="AT31">
            <v>1.36799998581409E-2</v>
          </cell>
        </row>
        <row r="32">
          <cell r="Z32"/>
          <cell r="AA32"/>
          <cell r="AB32">
            <v>0.5</v>
          </cell>
          <cell r="AC32">
            <v>0.93966815442360063</v>
          </cell>
          <cell r="AP32">
            <v>2</v>
          </cell>
          <cell r="AQ32">
            <v>0.10000000149011599</v>
          </cell>
          <cell r="AR32">
            <v>3.5302299750128401E-8</v>
          </cell>
          <cell r="AS32">
            <v>1.49765000401203E-9</v>
          </cell>
          <cell r="AT32">
            <v>4.7395498983804303E-12</v>
          </cell>
        </row>
        <row r="33">
          <cell r="Z33"/>
          <cell r="AA33"/>
          <cell r="AB33">
            <v>0.7</v>
          </cell>
          <cell r="AC33">
            <v>0.8501672624164951</v>
          </cell>
          <cell r="AP33"/>
          <cell r="AQ33">
            <v>0.20000000298023199</v>
          </cell>
          <cell r="AR33">
            <v>5.3808400934940405E-7</v>
          </cell>
          <cell r="AS33">
            <v>4.82582009908583E-8</v>
          </cell>
          <cell r="AT33">
            <v>6.2805699529988601E-10</v>
          </cell>
        </row>
        <row r="34">
          <cell r="Z34"/>
          <cell r="AA34"/>
          <cell r="AB34">
            <v>0.8</v>
          </cell>
          <cell r="AC34">
            <v>0.79169713500298222</v>
          </cell>
          <cell r="AP34"/>
          <cell r="AQ34">
            <v>0.30000001192092901</v>
          </cell>
          <cell r="AR34">
            <v>2.6478201107238398E-6</v>
          </cell>
          <cell r="AS34">
            <v>3.6794901348002901E-7</v>
          </cell>
          <cell r="AT34">
            <v>1.09506999024233E-8</v>
          </cell>
        </row>
        <row r="35">
          <cell r="Z35"/>
          <cell r="AA35"/>
          <cell r="AB35">
            <v>0.9</v>
          </cell>
          <cell r="AC35">
            <v>0.72744915466320226</v>
          </cell>
          <cell r="AP35"/>
          <cell r="AQ35">
            <v>0.40000000596046398</v>
          </cell>
          <cell r="AR35">
            <v>8.2015903899446096E-6</v>
          </cell>
          <cell r="AS35">
            <v>1.5550000398434301E-6</v>
          </cell>
          <cell r="AT35">
            <v>8.3226197489238905E-8</v>
          </cell>
        </row>
        <row r="36">
          <cell r="Z36"/>
          <cell r="AA36"/>
          <cell r="AB36">
            <v>1</v>
          </cell>
          <cell r="AC36">
            <v>0.66050198150594452</v>
          </cell>
          <cell r="AP36"/>
          <cell r="AQ36">
            <v>0.5</v>
          </cell>
          <cell r="AR36">
            <v>1.9713099391083199E-5</v>
          </cell>
          <cell r="AS36">
            <v>4.7560902203258499E-6</v>
          </cell>
          <cell r="AT36">
            <v>4.0130601064447499E-7</v>
          </cell>
        </row>
        <row r="37">
          <cell r="Z37"/>
          <cell r="AA37"/>
          <cell r="AB37">
            <v>1.1000000000000001</v>
          </cell>
          <cell r="AC37">
            <v>0.59375399016044705</v>
          </cell>
          <cell r="AP37"/>
          <cell r="AQ37">
            <v>0.60000002384185702</v>
          </cell>
          <cell r="AR37">
            <v>4.0358700061915402E-5</v>
          </cell>
          <cell r="AS37">
            <v>1.18563002615701E-5</v>
          </cell>
          <cell r="AT37">
            <v>1.4511200561173601E-6</v>
          </cell>
        </row>
        <row r="38">
          <cell r="Z38"/>
          <cell r="AA38"/>
          <cell r="AB38">
            <v>1.2</v>
          </cell>
          <cell r="AC38">
            <v>0.52956173777991644</v>
          </cell>
          <cell r="AP38"/>
          <cell r="AQ38">
            <v>0.69999998807907104</v>
          </cell>
          <cell r="AR38">
            <v>7.3966999480035102E-5</v>
          </cell>
          <cell r="AS38">
            <v>2.5665600333013501E-5</v>
          </cell>
          <cell r="AT38">
            <v>4.3020800148951804E-6</v>
          </cell>
        </row>
        <row r="39">
          <cell r="Z39"/>
          <cell r="AA39"/>
          <cell r="AB39">
            <v>1.4</v>
          </cell>
          <cell r="AC39">
            <v>0.41478447054174505</v>
          </cell>
          <cell r="AP39"/>
          <cell r="AQ39">
            <v>0.80000001192092896</v>
          </cell>
          <cell r="AR39">
            <v>1.25011007185094E-4</v>
          </cell>
          <cell r="AS39">
            <v>5.0106198614230298E-5</v>
          </cell>
          <cell r="AT39">
            <v>1.10286000563064E-5</v>
          </cell>
        </row>
        <row r="40">
          <cell r="Z40"/>
          <cell r="AA40"/>
          <cell r="AB40">
            <v>1.6</v>
          </cell>
          <cell r="AC40">
            <v>0.32192290972906806</v>
          </cell>
          <cell r="AP40"/>
          <cell r="AQ40">
            <v>0.89999997615814198</v>
          </cell>
          <cell r="AR40">
            <v>1.9860599422827301E-4</v>
          </cell>
          <cell r="AS40">
            <v>9.0399902546778294E-5</v>
          </cell>
          <cell r="AT40">
            <v>2.5301500500063398E-5</v>
          </cell>
        </row>
        <row r="41">
          <cell r="Z41"/>
          <cell r="AA41"/>
          <cell r="AB41">
            <v>1.8</v>
          </cell>
          <cell r="AC41">
            <v>0.25003684946476989</v>
          </cell>
          <cell r="AP41"/>
          <cell r="AQ41">
            <v>1</v>
          </cell>
          <cell r="AR41">
            <v>3.0052699730731498E-4</v>
          </cell>
          <cell r="AS41">
            <v>1.53258006321266E-4</v>
          </cell>
          <cell r="AT41">
            <v>5.3178700909484103E-5</v>
          </cell>
        </row>
        <row r="42">
          <cell r="Z42"/>
          <cell r="AA42"/>
          <cell r="AB42">
            <v>2</v>
          </cell>
          <cell r="AC42">
            <v>0.1955091084941625</v>
          </cell>
          <cell r="AP42"/>
          <cell r="AQ42">
            <v>1.1000000238418499</v>
          </cell>
          <cell r="AR42">
            <v>4.3732600170187598E-4</v>
          </cell>
          <cell r="AS42">
            <v>2.4708898854441897E-4</v>
          </cell>
          <cell r="AT42">
            <v>1.0412499977974199E-4</v>
          </cell>
        </row>
        <row r="43">
          <cell r="Z43"/>
          <cell r="AA43"/>
          <cell r="AB43">
            <v>2.5</v>
          </cell>
          <cell r="AC43">
            <v>0.11063645205918823</v>
          </cell>
          <cell r="AP43"/>
          <cell r="AQ43">
            <v>1.20000004768371</v>
          </cell>
          <cell r="AR43">
            <v>6.16846024058759E-4</v>
          </cell>
          <cell r="AS43">
            <v>3.8229700294323201E-4</v>
          </cell>
          <cell r="AT43">
            <v>1.9229500321671299E-4</v>
          </cell>
        </row>
        <row r="44">
          <cell r="Z44"/>
          <cell r="AA44"/>
          <cell r="AB44">
            <v>3</v>
          </cell>
          <cell r="AC44">
            <v>6.7144489596794865E-2</v>
          </cell>
          <cell r="AP44"/>
          <cell r="AQ44">
            <v>1.29999995231628</v>
          </cell>
          <cell r="AR44">
            <v>8.5011200280860001E-4</v>
          </cell>
          <cell r="AS44">
            <v>5.7204801123589201E-4</v>
          </cell>
          <cell r="AT44">
            <v>3.3811401226557699E-4</v>
          </cell>
        </row>
        <row r="45">
          <cell r="Z45"/>
          <cell r="AA45"/>
          <cell r="AB45">
            <v>4</v>
          </cell>
          <cell r="AC45">
            <v>2.9462340136876448E-2</v>
          </cell>
          <cell r="AP45"/>
          <cell r="AQ45">
            <v>1.3999999761581401</v>
          </cell>
          <cell r="AR45">
            <v>1.1576199904084199E-3</v>
          </cell>
          <cell r="AS45">
            <v>8.3501602057367498E-4</v>
          </cell>
          <cell r="AT45">
            <v>5.7029601885005799E-4</v>
          </cell>
        </row>
        <row r="46">
          <cell r="Z46"/>
          <cell r="AA46"/>
          <cell r="AB46">
            <v>5</v>
          </cell>
          <cell r="AC46">
            <v>1.5301401737737691E-2</v>
          </cell>
          <cell r="AP46"/>
          <cell r="AQ46">
            <v>1.5</v>
          </cell>
          <cell r="AR46">
            <v>1.5882999869063501E-3</v>
          </cell>
          <cell r="AS46">
            <v>1.2057799613103199E-3</v>
          </cell>
          <cell r="AT46">
            <v>9.2915201094001499E-4</v>
          </cell>
        </row>
        <row r="47">
          <cell r="Z47"/>
          <cell r="AA47"/>
          <cell r="AB47">
            <v>6</v>
          </cell>
          <cell r="AC47">
            <v>8.9108208645114501E-3</v>
          </cell>
          <cell r="AP47"/>
          <cell r="AQ47">
            <v>1.6000000238418499</v>
          </cell>
          <cell r="AR47">
            <v>2.2722599096596202E-3</v>
          </cell>
          <cell r="AS47">
            <v>1.77176995202899E-3</v>
          </cell>
          <cell r="AT47">
            <v>1.4768800465389999E-3</v>
          </cell>
        </row>
        <row r="48">
          <cell r="Z48"/>
          <cell r="AA48"/>
          <cell r="AB48">
            <v>12</v>
          </cell>
          <cell r="AC48">
            <v>1.1218285391159583E-3</v>
          </cell>
          <cell r="AP48"/>
          <cell r="AQ48">
            <v>1.70000004768371</v>
          </cell>
          <cell r="AR48">
            <v>3.5578000824898399E-3</v>
          </cell>
          <cell r="AS48">
            <v>2.7951800730079399E-3</v>
          </cell>
          <cell r="AT48">
            <v>2.3492099717259398E-3</v>
          </cell>
        </row>
        <row r="49">
          <cell r="Z49" t="str">
            <v>Ramps</v>
          </cell>
          <cell r="AA49"/>
          <cell r="AB49">
            <v>0.2</v>
          </cell>
          <cell r="AC49">
            <v>0.99997589519681684</v>
          </cell>
          <cell r="AP49"/>
          <cell r="AQ49">
            <v>1.79999995231628</v>
          </cell>
          <cell r="AR49">
            <v>6.3460902310907797E-3</v>
          </cell>
          <cell r="AS49">
            <v>5.0866100937127998E-3</v>
          </cell>
          <cell r="AT49">
            <v>4.0342002175748296E-3</v>
          </cell>
        </row>
        <row r="50">
          <cell r="Z50"/>
          <cell r="AA50"/>
          <cell r="AB50">
            <v>0.3</v>
          </cell>
          <cell r="AC50">
            <v>0.99973821471643498</v>
          </cell>
          <cell r="AP50"/>
          <cell r="AQ50">
            <v>1.8999999761581401</v>
          </cell>
          <cell r="AR50">
            <v>1.2865999713539999E-2</v>
          </cell>
          <cell r="AS50">
            <v>1.10772997140884E-2</v>
          </cell>
          <cell r="AT50">
            <v>8.7860198691487295E-3</v>
          </cell>
        </row>
        <row r="51">
          <cell r="Z51"/>
          <cell r="AA51"/>
          <cell r="AB51">
            <v>0.5</v>
          </cell>
          <cell r="AC51">
            <v>0.99474097618293567</v>
          </cell>
          <cell r="AP51"/>
          <cell r="AQ51">
            <v>2</v>
          </cell>
          <cell r="AR51">
            <v>1.9859999418258601E-2</v>
          </cell>
          <cell r="AS51">
            <v>1.7440000548958699E-2</v>
          </cell>
          <cell r="AT51">
            <v>1.36799998581409E-2</v>
          </cell>
        </row>
        <row r="52">
          <cell r="Z52"/>
          <cell r="AA52"/>
          <cell r="AB52">
            <v>0.7</v>
          </cell>
          <cell r="AC52">
            <v>0.9631399630200248</v>
          </cell>
          <cell r="AP52">
            <v>3</v>
          </cell>
          <cell r="AQ52">
            <v>0.15000000596046401</v>
          </cell>
          <cell r="AR52">
            <v>3.7135500008389499E-8</v>
          </cell>
          <cell r="AS52">
            <v>1.61786994912205E-9</v>
          </cell>
          <cell r="AT52">
            <v>5.4500202094354101E-12</v>
          </cell>
        </row>
        <row r="53">
          <cell r="Z53"/>
          <cell r="AA53"/>
          <cell r="AB53">
            <v>0.8</v>
          </cell>
          <cell r="AC53">
            <v>0.92254975673796347</v>
          </cell>
          <cell r="AP53"/>
          <cell r="AQ53">
            <v>0.30000001192092901</v>
          </cell>
          <cell r="AR53">
            <v>5.6602698350616202E-7</v>
          </cell>
          <cell r="AS53">
            <v>5.2131998273807701E-8</v>
          </cell>
          <cell r="AT53">
            <v>7.2220401881040103E-10</v>
          </cell>
        </row>
        <row r="54">
          <cell r="Z54"/>
          <cell r="AA54"/>
          <cell r="AB54">
            <v>0.9</v>
          </cell>
          <cell r="AC54">
            <v>0.85626246752641844</v>
          </cell>
          <cell r="AP54"/>
          <cell r="AQ54">
            <v>0.44999998807907099</v>
          </cell>
          <cell r="AR54">
            <v>2.7853300252900201E-6</v>
          </cell>
          <cell r="AS54">
            <v>3.9748599078848201E-7</v>
          </cell>
          <cell r="AT54">
            <v>1.25922001714684E-8</v>
          </cell>
        </row>
        <row r="55">
          <cell r="Z55"/>
          <cell r="AA55"/>
          <cell r="AB55">
            <v>1</v>
          </cell>
          <cell r="AC55">
            <v>0.76219512195121952</v>
          </cell>
          <cell r="AP55"/>
          <cell r="AQ55">
            <v>0.60000002384185702</v>
          </cell>
          <cell r="AR55">
            <v>8.6275103967636807E-6</v>
          </cell>
          <cell r="AS55">
            <v>1.6798300066511699E-6</v>
          </cell>
          <cell r="AT55">
            <v>9.5701999214270406E-8</v>
          </cell>
        </row>
        <row r="56">
          <cell r="Z56"/>
          <cell r="AA56"/>
          <cell r="AB56">
            <v>1.1000000000000001</v>
          </cell>
          <cell r="AC56">
            <v>0.64658057607853736</v>
          </cell>
          <cell r="AP56"/>
          <cell r="AQ56">
            <v>0.75</v>
          </cell>
          <cell r="AR56">
            <v>2.07367993425577E-5</v>
          </cell>
          <cell r="AS56">
            <v>5.1378801799728501E-6</v>
          </cell>
          <cell r="AT56">
            <v>4.6146300292093598E-7</v>
          </cell>
        </row>
        <row r="57">
          <cell r="Z57"/>
          <cell r="AA57"/>
          <cell r="AB57">
            <v>1.2</v>
          </cell>
          <cell r="AC57">
            <v>0.5230223025061661</v>
          </cell>
          <cell r="AP57"/>
          <cell r="AQ57">
            <v>0.89999997615814198</v>
          </cell>
          <cell r="AR57">
            <v>4.24544996349141E-5</v>
          </cell>
          <cell r="AS57">
            <v>1.2808000064978799E-5</v>
          </cell>
          <cell r="AT57">
            <v>1.6686500430296201E-6</v>
          </cell>
        </row>
        <row r="58">
          <cell r="Z58"/>
          <cell r="AA58"/>
          <cell r="AB58">
            <v>1.4</v>
          </cell>
          <cell r="AC58">
            <v>0.30688686525764458</v>
          </cell>
          <cell r="AP58"/>
          <cell r="AQ58">
            <v>1.04999995231628</v>
          </cell>
          <cell r="AR58">
            <v>7.7808203059248599E-5</v>
          </cell>
          <cell r="AS58">
            <v>2.7725900508812602E-5</v>
          </cell>
          <cell r="AT58">
            <v>4.9469699661131E-6</v>
          </cell>
        </row>
        <row r="59">
          <cell r="Z59"/>
          <cell r="AA59"/>
          <cell r="AB59">
            <v>1.6</v>
          </cell>
          <cell r="AC59">
            <v>0.16794258809305412</v>
          </cell>
          <cell r="AP59"/>
          <cell r="AQ59">
            <v>1.20000004768371</v>
          </cell>
          <cell r="AR59">
            <v>1.3150399900041499E-4</v>
          </cell>
          <cell r="AS59">
            <v>5.4128398915054202E-5</v>
          </cell>
          <cell r="AT59">
            <v>1.26819004435674E-5</v>
          </cell>
        </row>
        <row r="60">
          <cell r="Z60"/>
          <cell r="AA60"/>
          <cell r="AB60">
            <v>1.8</v>
          </cell>
          <cell r="AC60">
            <v>9.1687963712172985E-2</v>
          </cell>
          <cell r="AP60"/>
          <cell r="AQ60">
            <v>1.3500000238418499</v>
          </cell>
          <cell r="AR60">
            <v>2.08926998311653E-4</v>
          </cell>
          <cell r="AS60">
            <v>9.7657102742232301E-5</v>
          </cell>
          <cell r="AT60">
            <v>2.90943007712485E-5</v>
          </cell>
        </row>
        <row r="61">
          <cell r="Z61"/>
          <cell r="AA61"/>
          <cell r="AB61">
            <v>2</v>
          </cell>
          <cell r="AC61">
            <v>5.1513054154259788E-2</v>
          </cell>
          <cell r="AP61"/>
          <cell r="AQ61">
            <v>1.5</v>
          </cell>
          <cell r="AR61">
            <v>3.1618401408195501E-4</v>
          </cell>
          <cell r="AS61">
            <v>1.6556600166950299E-4</v>
          </cell>
          <cell r="AT61">
            <v>6.1150298279244399E-5</v>
          </cell>
        </row>
        <row r="62">
          <cell r="Z62"/>
          <cell r="AA62"/>
          <cell r="AB62">
            <v>2.5</v>
          </cell>
          <cell r="AC62">
            <v>1.4403351291415541E-2</v>
          </cell>
          <cell r="AP62"/>
          <cell r="AQ62">
            <v>1.6499999761581401</v>
          </cell>
          <cell r="AR62">
            <v>4.6033700346015302E-4</v>
          </cell>
          <cell r="AS62">
            <v>2.6697100838646201E-4</v>
          </cell>
          <cell r="AT62">
            <v>1.19734002510085E-4</v>
          </cell>
        </row>
        <row r="63">
          <cell r="Z63"/>
          <cell r="AA63"/>
          <cell r="AB63">
            <v>3</v>
          </cell>
          <cell r="AC63">
            <v>4.9747945134242929E-3</v>
          </cell>
          <cell r="AP63"/>
          <cell r="AQ63">
            <v>1.79999995231628</v>
          </cell>
          <cell r="AR63">
            <v>6.5040698973461996E-4</v>
          </cell>
          <cell r="AS63">
            <v>4.1331499232910498E-4</v>
          </cell>
          <cell r="AT63">
            <v>2.2112499573267999E-4</v>
          </cell>
        </row>
        <row r="64">
          <cell r="Z64"/>
          <cell r="AA64"/>
          <cell r="AB64">
            <v>4</v>
          </cell>
          <cell r="AC64">
            <v>9.1944759741879162E-4</v>
          </cell>
          <cell r="AP64"/>
          <cell r="AQ64">
            <v>1.95000004768371</v>
          </cell>
          <cell r="AR64">
            <v>9.0108200674876495E-4</v>
          </cell>
          <cell r="AS64">
            <v>6.1993201961740797E-4</v>
          </cell>
          <cell r="AT64">
            <v>3.8885298999957702E-4</v>
          </cell>
        </row>
        <row r="65">
          <cell r="Z65"/>
          <cell r="AA65"/>
          <cell r="AB65">
            <v>5</v>
          </cell>
          <cell r="AC65">
            <v>2.4756961372172844E-4</v>
          </cell>
          <cell r="AP65"/>
          <cell r="AQ65">
            <v>2.0999999046325599</v>
          </cell>
          <cell r="AR65">
            <v>1.2450199574232099E-3</v>
          </cell>
          <cell r="AS65">
            <v>9.12301009520888E-4</v>
          </cell>
          <cell r="AT65">
            <v>6.5638602245598999E-4</v>
          </cell>
        </row>
        <row r="66">
          <cell r="Z66"/>
          <cell r="AA66"/>
          <cell r="AB66">
            <v>6</v>
          </cell>
          <cell r="AC66">
            <v>8.4711975262117615E-5</v>
          </cell>
          <cell r="AP66"/>
          <cell r="AQ66">
            <v>2.25</v>
          </cell>
          <cell r="AR66">
            <v>1.7698999727144801E-3</v>
          </cell>
          <cell r="AS66">
            <v>1.35033996775746E-3</v>
          </cell>
          <cell r="AT66">
            <v>1.0739599820226401E-3</v>
          </cell>
        </row>
        <row r="67">
          <cell r="Z67"/>
          <cell r="AA67"/>
          <cell r="AB67">
            <v>12</v>
          </cell>
          <cell r="AC67">
            <v>1.4355605396039601E-6</v>
          </cell>
          <cell r="AP67"/>
          <cell r="AQ67">
            <v>2.4000000953674299</v>
          </cell>
          <cell r="AR67">
            <v>2.7216400485485701E-3</v>
          </cell>
          <cell r="AS67">
            <v>2.1154501009732398E-3</v>
          </cell>
          <cell r="AT67">
            <v>1.74234004225581E-3</v>
          </cell>
        </row>
        <row r="68">
          <cell r="Z68"/>
          <cell r="AA68"/>
          <cell r="AB68"/>
          <cell r="AC68"/>
          <cell r="AP68"/>
          <cell r="AQ68">
            <v>2.5499999523162802</v>
          </cell>
          <cell r="AR68">
            <v>4.77219000458717E-3</v>
          </cell>
          <cell r="AS68">
            <v>3.7981700152158698E-3</v>
          </cell>
          <cell r="AT68">
            <v>3.0110799707472298E-3</v>
          </cell>
        </row>
        <row r="69">
          <cell r="AP69"/>
          <cell r="AQ69">
            <v>2.70000004768371</v>
          </cell>
          <cell r="AR69">
            <v>9.67399962246418E-3</v>
          </cell>
          <cell r="AS69">
            <v>8.2803200930356893E-3</v>
          </cell>
          <cell r="AT69">
            <v>6.5856399014592101E-3</v>
          </cell>
        </row>
        <row r="70">
          <cell r="AP70"/>
          <cell r="AQ70">
            <v>2.8499999046325599</v>
          </cell>
          <cell r="AR70">
            <v>1.48590002208948E-2</v>
          </cell>
          <cell r="AS70">
            <v>1.29658998921513E-2</v>
          </cell>
          <cell r="AT70">
            <v>1.02306995540857E-2</v>
          </cell>
        </row>
        <row r="71">
          <cell r="AP71"/>
          <cell r="AQ71">
            <v>3</v>
          </cell>
          <cell r="AR71">
            <v>1.9859999418258601E-2</v>
          </cell>
          <cell r="AS71">
            <v>1.7440000548958699E-2</v>
          </cell>
          <cell r="AT71">
            <v>1.36799998581409E-2</v>
          </cell>
        </row>
        <row r="72">
          <cell r="AP72">
            <v>4</v>
          </cell>
          <cell r="AQ72">
            <v>0.20000000298023199</v>
          </cell>
          <cell r="AR72">
            <v>4.2178299963779798E-8</v>
          </cell>
          <cell r="AS72">
            <v>1.9484500679567402E-9</v>
          </cell>
          <cell r="AT72">
            <v>7.4387102380612999E-12</v>
          </cell>
        </row>
        <row r="73">
          <cell r="AP73"/>
          <cell r="AQ73">
            <v>0.40000000596046398</v>
          </cell>
          <cell r="AR73">
            <v>6.4289099555025999E-7</v>
          </cell>
          <cell r="AS73">
            <v>6.2783897192275604E-8</v>
          </cell>
          <cell r="AT73">
            <v>9.8573305074012296E-10</v>
          </cell>
        </row>
        <row r="74">
          <cell r="AP74"/>
          <cell r="AQ74">
            <v>0.60000002384185702</v>
          </cell>
          <cell r="AR74">
            <v>3.1635599953006001E-6</v>
          </cell>
          <cell r="AS74">
            <v>4.7870298658381195E-7</v>
          </cell>
          <cell r="AT74">
            <v>1.7187099743409801E-8</v>
          </cell>
        </row>
        <row r="75">
          <cell r="AP75"/>
          <cell r="AQ75">
            <v>0.80000001192092896</v>
          </cell>
          <cell r="AR75">
            <v>9.7990696303895607E-6</v>
          </cell>
          <cell r="AS75">
            <v>2.02306000574026E-6</v>
          </cell>
          <cell r="AT75">
            <v>1.3062299331068E-7</v>
          </cell>
        </row>
        <row r="76">
          <cell r="AP76"/>
          <cell r="AQ76">
            <v>1</v>
          </cell>
          <cell r="AR76">
            <v>2.3552700440632101E-5</v>
          </cell>
          <cell r="AS76">
            <v>6.1876799009041801E-6</v>
          </cell>
          <cell r="AT76">
            <v>6.2984901205709299E-7</v>
          </cell>
        </row>
        <row r="77">
          <cell r="AP77"/>
          <cell r="AQ77">
            <v>1.20000004768371</v>
          </cell>
          <cell r="AR77">
            <v>4.8219601012533497E-5</v>
          </cell>
          <cell r="AS77">
            <v>1.5424999219248999E-5</v>
          </cell>
          <cell r="AT77">
            <v>2.27753002945974E-6</v>
          </cell>
        </row>
        <row r="78">
          <cell r="AP78"/>
          <cell r="AQ78">
            <v>1.3999999761581401</v>
          </cell>
          <cell r="AR78">
            <v>8.8374399638269097E-5</v>
          </cell>
          <cell r="AS78">
            <v>3.3390999305993298E-5</v>
          </cell>
          <cell r="AT78">
            <v>6.7521000346459897E-6</v>
          </cell>
        </row>
        <row r="79">
          <cell r="AP79"/>
          <cell r="AQ79">
            <v>1.6000000238418499</v>
          </cell>
          <cell r="AR79">
            <v>1.4936500519979699E-4</v>
          </cell>
          <cell r="AS79">
            <v>6.5188498410861899E-5</v>
          </cell>
          <cell r="AT79">
            <v>1.73093994817463E-5</v>
          </cell>
        </row>
        <row r="80">
          <cell r="AP80"/>
          <cell r="AQ80">
            <v>1.79999995231628</v>
          </cell>
          <cell r="AR80">
            <v>2.3732800036668699E-4</v>
          </cell>
          <cell r="AS80">
            <v>1.17613999464083E-4</v>
          </cell>
          <cell r="AT80">
            <v>3.9710699638817398E-5</v>
          </cell>
        </row>
        <row r="81">
          <cell r="AP81"/>
          <cell r="AQ81">
            <v>2</v>
          </cell>
          <cell r="AR81">
            <v>3.5933399340137801E-4</v>
          </cell>
          <cell r="AS81">
            <v>1.99425005121156E-4</v>
          </cell>
          <cell r="AT81">
            <v>8.3463899500202306E-5</v>
          </cell>
        </row>
        <row r="82">
          <cell r="AP82"/>
          <cell r="AQ82">
            <v>2.20000004768371</v>
          </cell>
          <cell r="AR82">
            <v>5.2412197692319697E-4</v>
          </cell>
          <cell r="AS82">
            <v>3.2176499371416802E-4</v>
          </cell>
          <cell r="AT82">
            <v>1.6342700109817001E-4</v>
          </cell>
        </row>
        <row r="83">
          <cell r="AP83"/>
          <cell r="AQ83">
            <v>2.4000000953674299</v>
          </cell>
          <cell r="AR83">
            <v>7.4521201895549796E-4</v>
          </cell>
          <cell r="AS83">
            <v>4.9947202205657905E-4</v>
          </cell>
          <cell r="AT83">
            <v>3.0185299692675401E-4</v>
          </cell>
        </row>
        <row r="84">
          <cell r="AP84"/>
          <cell r="AQ84">
            <v>2.5999999046325599</v>
          </cell>
          <cell r="AR84">
            <v>1.05240999255329E-3</v>
          </cell>
          <cell r="AS84">
            <v>7.5676699634641398E-4</v>
          </cell>
          <cell r="AT84">
            <v>5.3127302089705998E-4</v>
          </cell>
        </row>
        <row r="85">
          <cell r="AP85"/>
          <cell r="AQ85">
            <v>2.7999999523162802</v>
          </cell>
          <cell r="AR85">
            <v>1.5298799844458699E-3</v>
          </cell>
          <cell r="AS85">
            <v>1.15178001578897E-3</v>
          </cell>
          <cell r="AT85">
            <v>9.0162898413836902E-4</v>
          </cell>
        </row>
        <row r="86">
          <cell r="AP86"/>
          <cell r="AQ86">
            <v>3</v>
          </cell>
          <cell r="AR86">
            <v>2.4309901054948499E-3</v>
          </cell>
          <cell r="AS86">
            <v>1.8734500044956799E-3</v>
          </cell>
          <cell r="AT86">
            <v>1.5185499796643799E-3</v>
          </cell>
        </row>
        <row r="87">
          <cell r="AQ87">
            <v>3.20000004768371</v>
          </cell>
          <cell r="AR87">
            <v>4.4977799989282998E-3</v>
          </cell>
          <cell r="AS87">
            <v>3.5902499221265299E-3</v>
          </cell>
          <cell r="AT87">
            <v>2.7980499435216102E-3</v>
          </cell>
        </row>
        <row r="88">
          <cell r="AQ88">
            <v>3.4000000953674299</v>
          </cell>
          <cell r="AR88">
            <v>8.5121197625994596E-3</v>
          </cell>
          <cell r="AS88">
            <v>7.2244601324200604E-3</v>
          </cell>
          <cell r="AT88">
            <v>5.6865899823605997E-3</v>
          </cell>
        </row>
        <row r="89">
          <cell r="AQ89">
            <v>3.5999999046325599</v>
          </cell>
          <cell r="AR89">
            <v>1.2545799836516301E-2</v>
          </cell>
          <cell r="AS89">
            <v>1.0862999595701601E-2</v>
          </cell>
          <cell r="AT89">
            <v>8.5518900305032695E-3</v>
          </cell>
        </row>
        <row r="90">
          <cell r="AQ90">
            <v>3.7999999523162802</v>
          </cell>
          <cell r="AR90">
            <v>1.6119599342346101E-2</v>
          </cell>
          <cell r="AS90">
            <v>1.41131002455949E-2</v>
          </cell>
          <cell r="AT90">
            <v>1.10863000154495E-2</v>
          </cell>
        </row>
        <row r="91">
          <cell r="AQ91">
            <v>4</v>
          </cell>
          <cell r="AR91">
            <v>1.9859999418258601E-2</v>
          </cell>
          <cell r="AS91">
            <v>1.7440000548958699E-2</v>
          </cell>
          <cell r="AT91">
            <v>1.36799998581409E-2</v>
          </cell>
        </row>
      </sheetData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687DE-1C04-497C-8D0C-6B8CCAF80A1A}">
  <dimension ref="A1:E17"/>
  <sheetViews>
    <sheetView view="pageLayout" zoomScaleNormal="100" zoomScaleSheetLayoutView="115" workbookViewId="0">
      <selection activeCell="F8" sqref="F8"/>
    </sheetView>
  </sheetViews>
  <sheetFormatPr defaultColWidth="8.7109375" defaultRowHeight="15" x14ac:dyDescent="0.25"/>
  <cols>
    <col min="1" max="1" width="6.140625" style="65" customWidth="1"/>
    <col min="2" max="2" width="31.140625" style="30" bestFit="1" customWidth="1"/>
    <col min="3" max="3" width="12.42578125" style="3" bestFit="1" customWidth="1"/>
    <col min="4" max="4" width="11.140625" style="3" bestFit="1" customWidth="1"/>
    <col min="5" max="7" width="11.140625" style="3" customWidth="1"/>
    <col min="8" max="8" width="8.7109375" style="3"/>
    <col min="9" max="9" width="10.140625" style="3" bestFit="1" customWidth="1"/>
    <col min="10" max="16384" width="8.7109375" style="3"/>
  </cols>
  <sheetData>
    <row r="1" spans="1:5" x14ac:dyDescent="0.25">
      <c r="A1" s="64" t="s">
        <v>0</v>
      </c>
    </row>
    <row r="2" spans="1:5" x14ac:dyDescent="0.25">
      <c r="B2" s="4" t="s">
        <v>1</v>
      </c>
      <c r="C2" s="3" t="s">
        <v>195</v>
      </c>
    </row>
    <row r="3" spans="1:5" x14ac:dyDescent="0.25">
      <c r="B3" s="4" t="s">
        <v>2</v>
      </c>
      <c r="C3" s="3" t="s">
        <v>3</v>
      </c>
    </row>
    <row r="5" spans="1:5" x14ac:dyDescent="0.25">
      <c r="A5" s="64" t="s">
        <v>4</v>
      </c>
    </row>
    <row r="6" spans="1:5" x14ac:dyDescent="0.25">
      <c r="A6" s="64"/>
      <c r="B6" s="30" t="s">
        <v>5</v>
      </c>
      <c r="C6" s="2">
        <v>2019</v>
      </c>
    </row>
    <row r="7" spans="1:5" x14ac:dyDescent="0.25">
      <c r="B7" s="4" t="s">
        <v>6</v>
      </c>
      <c r="C7" s="2">
        <v>2021</v>
      </c>
    </row>
    <row r="8" spans="1:5" x14ac:dyDescent="0.25">
      <c r="B8" s="4" t="s">
        <v>7</v>
      </c>
      <c r="C8" s="2">
        <v>2025</v>
      </c>
    </row>
    <row r="9" spans="1:5" x14ac:dyDescent="0.25">
      <c r="B9" s="4" t="s">
        <v>8</v>
      </c>
      <c r="C9" s="2">
        <v>3</v>
      </c>
    </row>
    <row r="10" spans="1:5" x14ac:dyDescent="0.25">
      <c r="B10" s="4" t="s">
        <v>9</v>
      </c>
      <c r="C10" s="2">
        <f>C8+C9</f>
        <v>2028</v>
      </c>
    </row>
    <row r="11" spans="1:5" x14ac:dyDescent="0.25">
      <c r="B11" s="4" t="s">
        <v>10</v>
      </c>
      <c r="C11" s="2">
        <v>23</v>
      </c>
      <c r="D11" s="3" t="s">
        <v>11</v>
      </c>
      <c r="E11" s="3" t="s">
        <v>176</v>
      </c>
    </row>
    <row r="12" spans="1:5" x14ac:dyDescent="0.25">
      <c r="B12" s="30" t="s">
        <v>12</v>
      </c>
      <c r="C12" s="2">
        <v>365</v>
      </c>
    </row>
    <row r="14" spans="1:5" x14ac:dyDescent="0.25">
      <c r="A14" s="66" t="s">
        <v>13</v>
      </c>
    </row>
    <row r="15" spans="1:5" x14ac:dyDescent="0.25">
      <c r="B15" s="30" t="s">
        <v>14</v>
      </c>
      <c r="C15" s="31" t="s">
        <v>15</v>
      </c>
    </row>
    <row r="17" spans="3:3" x14ac:dyDescent="0.25">
      <c r="C17" s="2"/>
    </row>
  </sheetData>
  <pageMargins left="0.7" right="0.7" top="0.75" bottom="0.75" header="0.3" footer="0.3"/>
  <pageSetup scale="85" fitToWidth="0" fitToHeight="2" orientation="landscape" horizontalDpi="300" r:id="rId1"/>
  <headerFooter>
    <oddHeader>&amp;L&amp;"Arial,Bold"MR-MICCI Benefit-Cost Analysis&amp;R&amp;"Arial,Bold"&amp;A</oddHeader>
    <oddFooter>&amp;CPage A-&amp;P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FCA3E-14C2-444B-87BE-49F57389257C}">
  <dimension ref="A1:E11"/>
  <sheetViews>
    <sheetView view="pageLayout" topLeftCell="A4" zoomScaleNormal="100" zoomScaleSheetLayoutView="110" workbookViewId="0">
      <selection activeCell="C9" sqref="C9:C11"/>
    </sheetView>
  </sheetViews>
  <sheetFormatPr defaultRowHeight="12.75" outlineLevelCol="1" x14ac:dyDescent="0.2"/>
  <cols>
    <col min="1" max="1" width="16.28515625" style="1" customWidth="1"/>
    <col min="2" max="2" width="25.140625" style="72" customWidth="1"/>
    <col min="3" max="3" width="12.5703125" style="1" customWidth="1"/>
    <col min="4" max="4" width="12.5703125" style="1" customWidth="1" outlineLevel="1"/>
    <col min="5" max="5" width="12.5703125" style="1" customWidth="1"/>
  </cols>
  <sheetData>
    <row r="1" spans="1:5" ht="45" customHeight="1" x14ac:dyDescent="0.2">
      <c r="A1" s="71" t="s">
        <v>16</v>
      </c>
      <c r="B1" s="71" t="s">
        <v>17</v>
      </c>
      <c r="C1" s="71" t="s">
        <v>18</v>
      </c>
      <c r="D1" s="71" t="s">
        <v>19</v>
      </c>
      <c r="E1" s="71" t="s">
        <v>20</v>
      </c>
    </row>
    <row r="2" spans="1:5" ht="14.1" customHeight="1" x14ac:dyDescent="0.2">
      <c r="A2" s="75" t="s">
        <v>21</v>
      </c>
      <c r="B2" s="76"/>
      <c r="C2" s="77"/>
      <c r="D2" s="77"/>
      <c r="E2" s="77"/>
    </row>
    <row r="3" spans="1:5" ht="30" customHeight="1" x14ac:dyDescent="0.2">
      <c r="A3" s="73" t="s">
        <v>22</v>
      </c>
      <c r="B3" s="73" t="s">
        <v>23</v>
      </c>
      <c r="C3" s="74">
        <f>'G - Safety'!$S$65</f>
        <v>3980821.9999999921</v>
      </c>
      <c r="D3" s="74">
        <f>'G - Safety'!$T$65</f>
        <v>2433793.90102104</v>
      </c>
      <c r="E3" s="74">
        <f>'G - Safety'!$U$65</f>
        <v>1330597.8725129121</v>
      </c>
    </row>
    <row r="4" spans="1:5" ht="14.1" customHeight="1" x14ac:dyDescent="0.2">
      <c r="A4" s="75" t="s">
        <v>24</v>
      </c>
      <c r="B4" s="76"/>
      <c r="C4" s="77"/>
      <c r="D4" s="77"/>
      <c r="E4" s="77"/>
    </row>
    <row r="5" spans="1:5" ht="48" x14ac:dyDescent="0.2">
      <c r="A5" s="73" t="s">
        <v>25</v>
      </c>
      <c r="B5" s="73" t="s">
        <v>26</v>
      </c>
      <c r="C5" s="74">
        <f>'H - Economic Output'!F44</f>
        <v>70679399.025093287</v>
      </c>
      <c r="D5" s="74">
        <f>'H - Economic Output'!G44</f>
        <v>57072883.124664553</v>
      </c>
      <c r="E5" s="74">
        <f>'H - Economic Output'!H44</f>
        <v>43385788.380422778</v>
      </c>
    </row>
    <row r="6" spans="1:5" ht="14.1" customHeight="1" x14ac:dyDescent="0.2">
      <c r="A6" s="75" t="s">
        <v>27</v>
      </c>
      <c r="B6" s="76"/>
      <c r="C6" s="77"/>
      <c r="D6" s="77"/>
      <c r="E6" s="77"/>
    </row>
    <row r="7" spans="1:5" ht="30" customHeight="1" x14ac:dyDescent="0.2">
      <c r="A7" s="73" t="s">
        <v>28</v>
      </c>
      <c r="B7" s="73" t="s">
        <v>29</v>
      </c>
      <c r="C7" s="74">
        <f>'E - Construction &amp; Residual'!M41</f>
        <v>26752082.964282002</v>
      </c>
      <c r="D7" s="74">
        <f>'E - Construction &amp; Residual'!N41</f>
        <v>12776943.813091053</v>
      </c>
      <c r="E7" s="74">
        <f>'E - Construction &amp; Residual'!O41</f>
        <v>4929049.2831756761</v>
      </c>
    </row>
    <row r="8" spans="1:5" ht="30" customHeight="1" x14ac:dyDescent="0.2">
      <c r="A8" s="84" t="s">
        <v>30</v>
      </c>
      <c r="B8" s="84" t="s">
        <v>31</v>
      </c>
      <c r="C8" s="85">
        <f>'F - Maintenance Costs'!J37</f>
        <v>5332000</v>
      </c>
      <c r="D8" s="85">
        <f>'F - Maintenance Costs'!K37</f>
        <v>4422097.4946409175</v>
      </c>
      <c r="E8" s="85">
        <f>'F - Maintenance Costs'!L37</f>
        <v>3488916.9889106462</v>
      </c>
    </row>
    <row r="9" spans="1:5" ht="14.1" customHeight="1" x14ac:dyDescent="0.2">
      <c r="A9" s="81" t="s">
        <v>18</v>
      </c>
      <c r="B9" s="82"/>
      <c r="C9" s="83">
        <f>SUM(C3:C8)</f>
        <v>106744303.98937528</v>
      </c>
      <c r="D9" s="83">
        <f t="shared" ref="D9:E9" si="0">SUM(D3:D8)</f>
        <v>76705718.333417565</v>
      </c>
      <c r="E9" s="83">
        <f t="shared" si="0"/>
        <v>53134352.525022015</v>
      </c>
    </row>
    <row r="10" spans="1:5" ht="14.1" customHeight="1" x14ac:dyDescent="0.2">
      <c r="A10" s="78" t="s">
        <v>32</v>
      </c>
      <c r="B10" s="79"/>
      <c r="C10" s="80">
        <f>-'C - Summary'!D39</f>
        <v>-47892261.163500004</v>
      </c>
      <c r="D10" s="80">
        <f>-'C - Summary'!E39</f>
        <v>-38672505.166461952</v>
      </c>
      <c r="E10" s="80">
        <f>-'C - Summary'!F39</f>
        <v>-29398149.058424428</v>
      </c>
    </row>
    <row r="11" spans="1:5" ht="14.1" customHeight="1" x14ac:dyDescent="0.2">
      <c r="A11" s="86" t="s">
        <v>33</v>
      </c>
      <c r="B11" s="87"/>
      <c r="C11" s="88">
        <f>-C9/C10</f>
        <v>2.2288424350013365</v>
      </c>
      <c r="D11" s="88">
        <f t="shared" ref="D11" si="1">-D9/D10</f>
        <v>1.9834690823168923</v>
      </c>
      <c r="E11" s="88">
        <f>-E9/E10</f>
        <v>1.8074046913438471</v>
      </c>
    </row>
  </sheetData>
  <pageMargins left="0.7" right="0.7" top="0.75" bottom="0.75" header="0.3" footer="0.3"/>
  <pageSetup scale="60" orientation="portrait" r:id="rId1"/>
  <headerFooter>
    <oddHeader>&amp;L&amp;"Arial,Bold"MR-MICCI Benefit-Cost Analysis
&amp;R&amp;"Arial,Bold"&amp;A</oddHeader>
    <oddFooter>&amp;CPage G-&amp;P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5649-4A09-4AFC-B219-95C4EB1F7038}">
  <dimension ref="A1:P39"/>
  <sheetViews>
    <sheetView view="pageLayout" topLeftCell="A10" zoomScaleNormal="100" zoomScaleSheetLayoutView="85" workbookViewId="0">
      <selection activeCell="G9" sqref="G9"/>
    </sheetView>
  </sheetViews>
  <sheetFormatPr defaultColWidth="8.7109375" defaultRowHeight="15" x14ac:dyDescent="0.25"/>
  <cols>
    <col min="1" max="1" width="8.7109375" style="16"/>
    <col min="2" max="2" width="10" style="16" bestFit="1" customWidth="1"/>
    <col min="3" max="4" width="14.140625" style="16" bestFit="1" customWidth="1"/>
    <col min="5" max="6" width="14.140625" style="16" customWidth="1"/>
    <col min="7" max="7" width="5.42578125" style="16" customWidth="1"/>
    <col min="8" max="9" width="8.7109375" style="16"/>
    <col min="10" max="13" width="13.140625" style="16" customWidth="1"/>
    <col min="14" max="14" width="14.140625" style="16" bestFit="1" customWidth="1"/>
    <col min="15" max="17" width="14.140625" style="16" customWidth="1"/>
    <col min="18" max="16384" width="8.7109375" style="16"/>
  </cols>
  <sheetData>
    <row r="1" spans="1:16" x14ac:dyDescent="0.25">
      <c r="B1" s="38"/>
      <c r="C1" s="69" t="s">
        <v>34</v>
      </c>
      <c r="D1" s="70" t="s">
        <v>35</v>
      </c>
    </row>
    <row r="2" spans="1:16" x14ac:dyDescent="0.25">
      <c r="B2" s="39" t="s">
        <v>36</v>
      </c>
      <c r="C2" s="40">
        <f>N39</f>
        <v>106744303.98937531</v>
      </c>
      <c r="D2" s="41">
        <f>P39</f>
        <v>53134352.525022015</v>
      </c>
    </row>
    <row r="3" spans="1:16" x14ac:dyDescent="0.25">
      <c r="B3" s="39" t="s">
        <v>37</v>
      </c>
      <c r="C3" s="40">
        <f>D39</f>
        <v>47892261.163500004</v>
      </c>
      <c r="D3" s="41">
        <f>F39</f>
        <v>29398149.058424428</v>
      </c>
    </row>
    <row r="4" spans="1:16" x14ac:dyDescent="0.25">
      <c r="B4" s="42" t="s">
        <v>38</v>
      </c>
      <c r="C4" s="43">
        <f>C2/C3</f>
        <v>2.2288424350013369</v>
      </c>
      <c r="D4" s="44">
        <f>D2/D3</f>
        <v>1.8074046913438471</v>
      </c>
    </row>
    <row r="5" spans="1:16" ht="15.75" thickBot="1" x14ac:dyDescent="0.3">
      <c r="B5" s="45" t="s">
        <v>39</v>
      </c>
      <c r="C5" s="46">
        <f>C2-C3</f>
        <v>58852042.825875305</v>
      </c>
      <c r="D5" s="47">
        <f>D2-D3</f>
        <v>23736203.466597587</v>
      </c>
    </row>
    <row r="7" spans="1:16" x14ac:dyDescent="0.25">
      <c r="A7" s="231"/>
      <c r="B7" s="224"/>
      <c r="C7" s="225" t="s">
        <v>37</v>
      </c>
      <c r="D7" s="225"/>
      <c r="E7" s="225"/>
      <c r="F7" s="226"/>
      <c r="H7" s="231"/>
      <c r="I7" s="224"/>
      <c r="J7" s="225" t="s">
        <v>36</v>
      </c>
      <c r="K7" s="225"/>
      <c r="L7" s="225"/>
      <c r="M7" s="225"/>
      <c r="N7" s="225"/>
      <c r="O7" s="225"/>
      <c r="P7" s="226"/>
    </row>
    <row r="8" spans="1:16" s="94" customFormat="1" ht="45" x14ac:dyDescent="0.2">
      <c r="A8" s="232" t="s">
        <v>40</v>
      </c>
      <c r="B8" s="90" t="s">
        <v>41</v>
      </c>
      <c r="C8" s="91" t="s">
        <v>42</v>
      </c>
      <c r="D8" s="92" t="s">
        <v>32</v>
      </c>
      <c r="E8" s="92" t="s">
        <v>19</v>
      </c>
      <c r="F8" s="93" t="s">
        <v>20</v>
      </c>
      <c r="H8" s="232" t="s">
        <v>40</v>
      </c>
      <c r="I8" s="90" t="s">
        <v>41</v>
      </c>
      <c r="J8" s="89" t="s">
        <v>28</v>
      </c>
      <c r="K8" s="89" t="s">
        <v>43</v>
      </c>
      <c r="L8" s="89" t="s">
        <v>21</v>
      </c>
      <c r="M8" s="89" t="s">
        <v>44</v>
      </c>
      <c r="N8" s="92" t="s">
        <v>18</v>
      </c>
      <c r="O8" s="92" t="s">
        <v>19</v>
      </c>
      <c r="P8" s="93" t="s">
        <v>20</v>
      </c>
    </row>
    <row r="9" spans="1:16" x14ac:dyDescent="0.25">
      <c r="A9" s="233">
        <f>'A - Inputs'!$C$7</f>
        <v>2021</v>
      </c>
      <c r="B9" s="175">
        <v>0</v>
      </c>
      <c r="C9" s="68">
        <f>'E - Construction &amp; Residual'!D11</f>
        <v>0</v>
      </c>
      <c r="D9" s="40">
        <f t="shared" ref="D9:D38" si="0">SUM(C9:C9)</f>
        <v>0</v>
      </c>
      <c r="E9" s="40">
        <f>$D9/(1+0.03)^($A9-'A - Inputs'!$C$6)</f>
        <v>0</v>
      </c>
      <c r="F9" s="28">
        <f>$D9/(1+0.07)^($A9-'A - Inputs'!$C$6)</f>
        <v>0</v>
      </c>
      <c r="H9" s="233">
        <f>'A - Inputs'!$C$7</f>
        <v>2021</v>
      </c>
      <c r="I9" s="175">
        <v>0</v>
      </c>
      <c r="J9" s="32">
        <f>'E - Construction &amp; Residual'!M11</f>
        <v>0</v>
      </c>
      <c r="K9" s="32">
        <f>'F - Maintenance Costs'!J7</f>
        <v>0</v>
      </c>
      <c r="L9" s="32">
        <f>'G - Safety'!S28</f>
        <v>0</v>
      </c>
      <c r="M9" s="32">
        <f>'H - Economic Output'!F7</f>
        <v>0</v>
      </c>
      <c r="N9" s="40">
        <f>SUM(J9:M9)</f>
        <v>0</v>
      </c>
      <c r="O9" s="236">
        <f>$N9/(1+0.03)^($A9-'A - Inputs'!$C$6)</f>
        <v>0</v>
      </c>
      <c r="P9" s="172">
        <f>$N9/(1+0.07)^($A9-'A - Inputs'!$C$6)</f>
        <v>0</v>
      </c>
    </row>
    <row r="10" spans="1:16" x14ac:dyDescent="0.25">
      <c r="A10" s="234">
        <f t="shared" ref="A10:A38" si="1">A9+1</f>
        <v>2022</v>
      </c>
      <c r="B10" s="175">
        <f t="shared" ref="B10:B38" si="2">B9+1</f>
        <v>1</v>
      </c>
      <c r="C10" s="68">
        <f>'E - Construction &amp; Residual'!D12</f>
        <v>0</v>
      </c>
      <c r="D10" s="40">
        <f t="shared" si="0"/>
        <v>0</v>
      </c>
      <c r="E10" s="40">
        <f>$D10/(1+0.03)^($A10-'A - Inputs'!$C$6)</f>
        <v>0</v>
      </c>
      <c r="F10" s="28">
        <f>$D10/(1+0.07)^($A10-'A - Inputs'!$C$6)</f>
        <v>0</v>
      </c>
      <c r="H10" s="234">
        <f t="shared" ref="H10:H38" si="3">H9+1</f>
        <v>2022</v>
      </c>
      <c r="I10" s="175">
        <f t="shared" ref="I10:I38" si="4">I9+1</f>
        <v>1</v>
      </c>
      <c r="J10" s="32">
        <f>'E - Construction &amp; Residual'!M12</f>
        <v>0</v>
      </c>
      <c r="K10" s="32">
        <f>'F - Maintenance Costs'!J8</f>
        <v>0</v>
      </c>
      <c r="L10" s="32">
        <f>'G - Safety'!S29</f>
        <v>0</v>
      </c>
      <c r="M10" s="32">
        <f>'H - Economic Output'!F8</f>
        <v>0</v>
      </c>
      <c r="N10" s="40">
        <f t="shared" ref="N10:N38" si="5">SUM(J10:M10)</f>
        <v>0</v>
      </c>
      <c r="O10" s="236">
        <f>$N10/(1+0.03)^($A10-'A - Inputs'!$C$6)</f>
        <v>0</v>
      </c>
      <c r="P10" s="172">
        <f>$N10/(1+0.07)^($A10-'A - Inputs'!$C$6)</f>
        <v>0</v>
      </c>
    </row>
    <row r="11" spans="1:16" x14ac:dyDescent="0.25">
      <c r="A11" s="234">
        <f t="shared" si="1"/>
        <v>2023</v>
      </c>
      <c r="B11" s="175">
        <f t="shared" si="2"/>
        <v>2</v>
      </c>
      <c r="C11" s="68">
        <f>'E - Construction &amp; Residual'!D13</f>
        <v>0</v>
      </c>
      <c r="D11" s="40">
        <f t="shared" si="0"/>
        <v>0</v>
      </c>
      <c r="E11" s="40">
        <f>$D11/(1+0.03)^($A11-'A - Inputs'!$C$6)</f>
        <v>0</v>
      </c>
      <c r="F11" s="28">
        <f>$D11/(1+0.07)^($A11-'A - Inputs'!$C$6)</f>
        <v>0</v>
      </c>
      <c r="H11" s="234">
        <f t="shared" si="3"/>
        <v>2023</v>
      </c>
      <c r="I11" s="175">
        <f t="shared" si="4"/>
        <v>2</v>
      </c>
      <c r="J11" s="32">
        <f>'E - Construction &amp; Residual'!M13</f>
        <v>0</v>
      </c>
      <c r="K11" s="32">
        <f>'F - Maintenance Costs'!J9</f>
        <v>0</v>
      </c>
      <c r="L11" s="32">
        <f>'G - Safety'!S30</f>
        <v>0</v>
      </c>
      <c r="M11" s="32">
        <f>'H - Economic Output'!F9</f>
        <v>0</v>
      </c>
      <c r="N11" s="40">
        <f t="shared" si="5"/>
        <v>0</v>
      </c>
      <c r="O11" s="236">
        <f>$N11/(1+0.03)^($A11-'A - Inputs'!$C$6)</f>
        <v>0</v>
      </c>
      <c r="P11" s="172">
        <f>$N11/(1+0.07)^($A11-'A - Inputs'!$C$6)</f>
        <v>0</v>
      </c>
    </row>
    <row r="12" spans="1:16" x14ac:dyDescent="0.25">
      <c r="A12" s="234">
        <f t="shared" si="1"/>
        <v>2024</v>
      </c>
      <c r="B12" s="175">
        <f t="shared" si="2"/>
        <v>3</v>
      </c>
      <c r="C12" s="68">
        <f>'E - Construction &amp; Residual'!D14</f>
        <v>2394613.0581750004</v>
      </c>
      <c r="D12" s="40">
        <f t="shared" si="0"/>
        <v>2394613.0581750004</v>
      </c>
      <c r="E12" s="40">
        <f>$D12/(1+0.03)^($A12-'A - Inputs'!$C$6)</f>
        <v>2065614.2591827826</v>
      </c>
      <c r="F12" s="28">
        <f>$D12/(1+0.07)^($A12-'A - Inputs'!$C$6)</f>
        <v>1707326.0156898969</v>
      </c>
      <c r="H12" s="234">
        <f t="shared" si="3"/>
        <v>2024</v>
      </c>
      <c r="I12" s="175">
        <f t="shared" si="4"/>
        <v>3</v>
      </c>
      <c r="J12" s="32">
        <f>'E - Construction &amp; Residual'!M14</f>
        <v>0</v>
      </c>
      <c r="K12" s="32">
        <f>'F - Maintenance Costs'!J10</f>
        <v>0</v>
      </c>
      <c r="L12" s="32">
        <f>'G - Safety'!S31</f>
        <v>0</v>
      </c>
      <c r="M12" s="32">
        <f>'H - Economic Output'!F10</f>
        <v>3533969.9512546654</v>
      </c>
      <c r="N12" s="40">
        <f t="shared" si="5"/>
        <v>3533969.9512546654</v>
      </c>
      <c r="O12" s="236">
        <f>$N12/(1+0.03)^($A12-'A - Inputs'!$C$6)</f>
        <v>3048433.5237019504</v>
      </c>
      <c r="P12" s="172">
        <f>$N12/(1+0.07)^($A12-'A - Inputs'!$C$6)</f>
        <v>2519671.7339551495</v>
      </c>
    </row>
    <row r="13" spans="1:16" x14ac:dyDescent="0.25">
      <c r="A13" s="234">
        <f t="shared" si="1"/>
        <v>2025</v>
      </c>
      <c r="B13" s="175">
        <f t="shared" si="2"/>
        <v>4</v>
      </c>
      <c r="C13" s="68">
        <f>'E - Construction &amp; Residual'!D15</f>
        <v>9578452.2327000014</v>
      </c>
      <c r="D13" s="40">
        <f t="shared" si="0"/>
        <v>9578452.2327000014</v>
      </c>
      <c r="E13" s="40">
        <f>$D13/(1+0.03)^($A13-'A - Inputs'!$C$6)</f>
        <v>8021802.9482826507</v>
      </c>
      <c r="F13" s="28">
        <f>$D13/(1+0.07)^($A13-'A - Inputs'!$C$6)</f>
        <v>6382527.1614575582</v>
      </c>
      <c r="H13" s="234">
        <f t="shared" si="3"/>
        <v>2025</v>
      </c>
      <c r="I13" s="175">
        <f t="shared" si="4"/>
        <v>4</v>
      </c>
      <c r="J13" s="32">
        <f>'E - Construction &amp; Residual'!M15</f>
        <v>0</v>
      </c>
      <c r="K13" s="32">
        <f>'F - Maintenance Costs'!J11</f>
        <v>5115000</v>
      </c>
      <c r="L13" s="32">
        <f>'G - Safety'!S32</f>
        <v>0</v>
      </c>
      <c r="M13" s="32">
        <f>'H - Economic Output'!F11</f>
        <v>14135879.805018662</v>
      </c>
      <c r="N13" s="40">
        <f t="shared" si="5"/>
        <v>19250879.805018663</v>
      </c>
      <c r="O13" s="236">
        <f>$N13/(1+0.03)^($A13-'A - Inputs'!$C$6)</f>
        <v>16122308.76401243</v>
      </c>
      <c r="P13" s="172">
        <f>$N13/(1+0.07)^($A13-'A - Inputs'!$C$6)</f>
        <v>12827674.059700528</v>
      </c>
    </row>
    <row r="14" spans="1:16" x14ac:dyDescent="0.25">
      <c r="A14" s="234">
        <f t="shared" si="1"/>
        <v>2026</v>
      </c>
      <c r="B14" s="175">
        <f t="shared" si="2"/>
        <v>5</v>
      </c>
      <c r="C14" s="68">
        <f>'E - Construction &amp; Residual'!D16</f>
        <v>14367678.34905</v>
      </c>
      <c r="D14" s="40">
        <f t="shared" si="0"/>
        <v>14367678.34905</v>
      </c>
      <c r="E14" s="40">
        <f>$D14/(1+0.03)^($A14-'A - Inputs'!$C$6)</f>
        <v>11682237.303324247</v>
      </c>
      <c r="F14" s="28">
        <f>$D14/(1+0.07)^($A14-'A - Inputs'!$C$6)</f>
        <v>8947467.9833517149</v>
      </c>
      <c r="H14" s="234">
        <f t="shared" si="3"/>
        <v>2026</v>
      </c>
      <c r="I14" s="175">
        <f t="shared" si="4"/>
        <v>5</v>
      </c>
      <c r="J14" s="32">
        <f>'E - Construction &amp; Residual'!M16</f>
        <v>0</v>
      </c>
      <c r="K14" s="32">
        <f>'F - Maintenance Costs'!J12</f>
        <v>15000</v>
      </c>
      <c r="L14" s="32">
        <f>'G - Safety'!S33</f>
        <v>0</v>
      </c>
      <c r="M14" s="32">
        <f>'H - Economic Output'!F12</f>
        <v>21203819.707527988</v>
      </c>
      <c r="N14" s="40">
        <f t="shared" si="5"/>
        <v>21218819.707527988</v>
      </c>
      <c r="O14" s="236">
        <f>$N14/(1+0.03)^($A14-'A - Inputs'!$C$6)</f>
        <v>17252842.184916072</v>
      </c>
      <c r="P14" s="172">
        <f>$N14/(1+0.07)^($A14-'A - Inputs'!$C$6)</f>
        <v>13214014.495958729</v>
      </c>
    </row>
    <row r="15" spans="1:16" x14ac:dyDescent="0.25">
      <c r="A15" s="234">
        <f t="shared" si="1"/>
        <v>2027</v>
      </c>
      <c r="B15" s="175">
        <f t="shared" si="2"/>
        <v>6</v>
      </c>
      <c r="C15" s="68">
        <f>'E - Construction &amp; Residual'!D17</f>
        <v>16762291.407225</v>
      </c>
      <c r="D15" s="40">
        <f t="shared" si="0"/>
        <v>16762291.407225</v>
      </c>
      <c r="E15" s="40">
        <f>$D15/(1+0.03)^($A15-'A - Inputs'!$C$6)</f>
        <v>13232307.625124551</v>
      </c>
      <c r="F15" s="28">
        <f>$D15/(1+0.07)^($A15-'A - Inputs'!$C$6)</f>
        <v>9755806.2123772595</v>
      </c>
      <c r="H15" s="234">
        <f t="shared" si="3"/>
        <v>2027</v>
      </c>
      <c r="I15" s="175">
        <f t="shared" si="4"/>
        <v>6</v>
      </c>
      <c r="J15" s="32">
        <f>'E - Construction &amp; Residual'!M17</f>
        <v>0</v>
      </c>
      <c r="K15" s="32">
        <f>'F - Maintenance Costs'!J13</f>
        <v>15000</v>
      </c>
      <c r="L15" s="32">
        <f>'G - Safety'!S34</f>
        <v>0</v>
      </c>
      <c r="M15" s="32">
        <f>'H - Economic Output'!F13</f>
        <v>24737789.658782654</v>
      </c>
      <c r="N15" s="40">
        <f t="shared" si="5"/>
        <v>24752789.658782654</v>
      </c>
      <c r="O15" s="236">
        <f>$N15/(1+0.03)^($A15-'A - Inputs'!$C$6)</f>
        <v>19540080.731673524</v>
      </c>
      <c r="P15" s="172">
        <f>$N15/(1+0.07)^($A15-'A - Inputs'!$C$6)</f>
        <v>14406348.944794836</v>
      </c>
    </row>
    <row r="16" spans="1:16" x14ac:dyDescent="0.25">
      <c r="A16" s="234">
        <f t="shared" si="1"/>
        <v>2028</v>
      </c>
      <c r="B16" s="175">
        <f t="shared" si="2"/>
        <v>7</v>
      </c>
      <c r="C16" s="68">
        <f>'E - Construction &amp; Residual'!D18</f>
        <v>4789226.1163500007</v>
      </c>
      <c r="D16" s="40">
        <f t="shared" si="0"/>
        <v>4789226.1163500007</v>
      </c>
      <c r="E16" s="40">
        <f>$D16/(1+0.03)^($A16-'A - Inputs'!$C$6)</f>
        <v>3670543.0305477264</v>
      </c>
      <c r="F16" s="28">
        <f>$D16/(1+0.07)^($A16-'A - Inputs'!$C$6)</f>
        <v>2605021.685548</v>
      </c>
      <c r="H16" s="234">
        <f t="shared" si="3"/>
        <v>2028</v>
      </c>
      <c r="I16" s="175">
        <f t="shared" si="4"/>
        <v>7</v>
      </c>
      <c r="J16" s="32">
        <f>'E - Construction &amp; Residual'!M18</f>
        <v>0</v>
      </c>
      <c r="K16" s="32">
        <f>'F - Maintenance Costs'!J14</f>
        <v>11000</v>
      </c>
      <c r="L16" s="32">
        <f>'G - Safety'!S35</f>
        <v>234165.99999999953</v>
      </c>
      <c r="M16" s="32">
        <f>'H - Economic Output'!F14</f>
        <v>7067939.9025093308</v>
      </c>
      <c r="N16" s="40">
        <f t="shared" si="5"/>
        <v>7313105.9025093298</v>
      </c>
      <c r="O16" s="236">
        <f>$N16/(1+0.03)^($A16-'A - Inputs'!$C$6)</f>
        <v>5604886.7290840913</v>
      </c>
      <c r="P16" s="172">
        <f>$N16/(1+0.07)^($A16-'A - Inputs'!$C$6)</f>
        <v>3977845.0634661233</v>
      </c>
    </row>
    <row r="17" spans="1:16" x14ac:dyDescent="0.25">
      <c r="A17" s="234">
        <f t="shared" si="1"/>
        <v>2029</v>
      </c>
      <c r="B17" s="175">
        <f t="shared" si="2"/>
        <v>8</v>
      </c>
      <c r="C17" s="68">
        <f>'E - Construction &amp; Residual'!D19</f>
        <v>0</v>
      </c>
      <c r="D17" s="40">
        <f t="shared" si="0"/>
        <v>0</v>
      </c>
      <c r="E17" s="40">
        <f>$D17/(1+0.03)^($A17-'A - Inputs'!$C$6)</f>
        <v>0</v>
      </c>
      <c r="F17" s="28">
        <f>$D17/(1+0.07)^($A17-'A - Inputs'!$C$6)</f>
        <v>0</v>
      </c>
      <c r="H17" s="234">
        <f t="shared" si="3"/>
        <v>2029</v>
      </c>
      <c r="I17" s="175">
        <f t="shared" si="4"/>
        <v>8</v>
      </c>
      <c r="J17" s="32">
        <f>'E - Construction &amp; Residual'!M19</f>
        <v>0</v>
      </c>
      <c r="K17" s="32">
        <f>'F - Maintenance Costs'!J15</f>
        <v>11000</v>
      </c>
      <c r="L17" s="32">
        <f>'G - Safety'!S36</f>
        <v>234165.99999999953</v>
      </c>
      <c r="M17" s="32">
        <f>'H - Economic Output'!F15</f>
        <v>0</v>
      </c>
      <c r="N17" s="40">
        <f t="shared" si="5"/>
        <v>245165.99999999953</v>
      </c>
      <c r="O17" s="236">
        <f>$N17/(1+0.03)^($A17-'A - Inputs'!$C$6)</f>
        <v>182426.52873957017</v>
      </c>
      <c r="P17" s="172">
        <f>$N17/(1+0.07)^($A17-'A - Inputs'!$C$6)</f>
        <v>124629.96255549998</v>
      </c>
    </row>
    <row r="18" spans="1:16" x14ac:dyDescent="0.25">
      <c r="A18" s="234">
        <f t="shared" si="1"/>
        <v>2030</v>
      </c>
      <c r="B18" s="175">
        <f t="shared" si="2"/>
        <v>9</v>
      </c>
      <c r="C18" s="68">
        <f>'E - Construction &amp; Residual'!D20</f>
        <v>0</v>
      </c>
      <c r="D18" s="40">
        <f t="shared" si="0"/>
        <v>0</v>
      </c>
      <c r="E18" s="40">
        <f>$D18/(1+0.03)^($A18-'A - Inputs'!$C$6)</f>
        <v>0</v>
      </c>
      <c r="F18" s="28">
        <f>$D18/(1+0.07)^($A18-'A - Inputs'!$C$6)</f>
        <v>0</v>
      </c>
      <c r="H18" s="234">
        <f t="shared" si="3"/>
        <v>2030</v>
      </c>
      <c r="I18" s="175">
        <f t="shared" si="4"/>
        <v>9</v>
      </c>
      <c r="J18" s="32">
        <f>'E - Construction &amp; Residual'!M20</f>
        <v>0</v>
      </c>
      <c r="K18" s="32">
        <f>'F - Maintenance Costs'!J16</f>
        <v>11000</v>
      </c>
      <c r="L18" s="32">
        <f>'G - Safety'!S37</f>
        <v>234165.99999999953</v>
      </c>
      <c r="M18" s="32">
        <f>'H - Economic Output'!F16</f>
        <v>0</v>
      </c>
      <c r="N18" s="40">
        <f t="shared" si="5"/>
        <v>245165.99999999953</v>
      </c>
      <c r="O18" s="236">
        <f>$N18/(1+0.03)^($A18-'A - Inputs'!$C$6)</f>
        <v>177113.13469861183</v>
      </c>
      <c r="P18" s="172">
        <f>$N18/(1+0.07)^($A18-'A - Inputs'!$C$6)</f>
        <v>116476.60051915885</v>
      </c>
    </row>
    <row r="19" spans="1:16" x14ac:dyDescent="0.25">
      <c r="A19" s="234">
        <f t="shared" si="1"/>
        <v>2031</v>
      </c>
      <c r="B19" s="175">
        <f t="shared" si="2"/>
        <v>10</v>
      </c>
      <c r="C19" s="68">
        <f>'E - Construction &amp; Residual'!D21</f>
        <v>0</v>
      </c>
      <c r="D19" s="40">
        <f t="shared" si="0"/>
        <v>0</v>
      </c>
      <c r="E19" s="40">
        <f>$D19/(1+0.03)^($A19-'A - Inputs'!$C$6)</f>
        <v>0</v>
      </c>
      <c r="F19" s="28">
        <f>$D19/(1+0.07)^($A19-'A - Inputs'!$C$6)</f>
        <v>0</v>
      </c>
      <c r="H19" s="234">
        <f t="shared" si="3"/>
        <v>2031</v>
      </c>
      <c r="I19" s="175">
        <f t="shared" si="4"/>
        <v>10</v>
      </c>
      <c r="J19" s="32">
        <f>'E - Construction &amp; Residual'!M21</f>
        <v>0</v>
      </c>
      <c r="K19" s="32">
        <f>'F - Maintenance Costs'!J17</f>
        <v>11000</v>
      </c>
      <c r="L19" s="32">
        <f>'G - Safety'!S38</f>
        <v>234165.99999999953</v>
      </c>
      <c r="M19" s="32">
        <f>'H - Economic Output'!F17</f>
        <v>0</v>
      </c>
      <c r="N19" s="40">
        <f t="shared" si="5"/>
        <v>245165.99999999953</v>
      </c>
      <c r="O19" s="236">
        <f>$N19/(1+0.03)^($A19-'A - Inputs'!$C$6)</f>
        <v>171954.49970739015</v>
      </c>
      <c r="P19" s="172">
        <f>$N19/(1+0.07)^($A19-'A - Inputs'!$C$6)</f>
        <v>108856.6359992139</v>
      </c>
    </row>
    <row r="20" spans="1:16" x14ac:dyDescent="0.25">
      <c r="A20" s="234">
        <f t="shared" si="1"/>
        <v>2032</v>
      </c>
      <c r="B20" s="175">
        <f t="shared" si="2"/>
        <v>11</v>
      </c>
      <c r="C20" s="68">
        <f>'E - Construction &amp; Residual'!D22</f>
        <v>0</v>
      </c>
      <c r="D20" s="40">
        <f t="shared" si="0"/>
        <v>0</v>
      </c>
      <c r="E20" s="40">
        <f>$D20/(1+0.03)^($A20-'A - Inputs'!$C$6)</f>
        <v>0</v>
      </c>
      <c r="F20" s="28">
        <f>$D20/(1+0.07)^($A20-'A - Inputs'!$C$6)</f>
        <v>0</v>
      </c>
      <c r="H20" s="234">
        <f t="shared" si="3"/>
        <v>2032</v>
      </c>
      <c r="I20" s="175">
        <f t="shared" si="4"/>
        <v>11</v>
      </c>
      <c r="J20" s="32">
        <f>'E - Construction &amp; Residual'!M22</f>
        <v>0</v>
      </c>
      <c r="K20" s="32">
        <f>'F - Maintenance Costs'!J18</f>
        <v>11000</v>
      </c>
      <c r="L20" s="32">
        <f>'G - Safety'!S39</f>
        <v>234165.99999999953</v>
      </c>
      <c r="M20" s="32">
        <f>'H - Economic Output'!F18</f>
        <v>0</v>
      </c>
      <c r="N20" s="40">
        <f t="shared" si="5"/>
        <v>245165.99999999953</v>
      </c>
      <c r="O20" s="236">
        <f>$N20/(1+0.03)^($A20-'A - Inputs'!$C$6)</f>
        <v>166946.11622076714</v>
      </c>
      <c r="P20" s="172">
        <f>$N20/(1+0.07)^($A20-'A - Inputs'!$C$6)</f>
        <v>101735.17383104101</v>
      </c>
    </row>
    <row r="21" spans="1:16" x14ac:dyDescent="0.25">
      <c r="A21" s="234">
        <f t="shared" si="1"/>
        <v>2033</v>
      </c>
      <c r="B21" s="175">
        <f t="shared" si="2"/>
        <v>12</v>
      </c>
      <c r="C21" s="68">
        <f>'E - Construction &amp; Residual'!D23</f>
        <v>0</v>
      </c>
      <c r="D21" s="40">
        <f t="shared" si="0"/>
        <v>0</v>
      </c>
      <c r="E21" s="40">
        <f>$D21/(1+0.03)^($A21-'A - Inputs'!$C$6)</f>
        <v>0</v>
      </c>
      <c r="F21" s="28">
        <f>$D21/(1+0.07)^($A21-'A - Inputs'!$C$6)</f>
        <v>0</v>
      </c>
      <c r="H21" s="234">
        <f t="shared" si="3"/>
        <v>2033</v>
      </c>
      <c r="I21" s="175">
        <f t="shared" si="4"/>
        <v>12</v>
      </c>
      <c r="J21" s="32">
        <f>'E - Construction &amp; Residual'!M23</f>
        <v>0</v>
      </c>
      <c r="K21" s="32">
        <f>'F - Maintenance Costs'!J19</f>
        <v>11000</v>
      </c>
      <c r="L21" s="32">
        <f>'G - Safety'!S40</f>
        <v>234165.99999999953</v>
      </c>
      <c r="M21" s="32">
        <f>'H - Economic Output'!F19</f>
        <v>0</v>
      </c>
      <c r="N21" s="40">
        <f t="shared" si="5"/>
        <v>245165.99999999953</v>
      </c>
      <c r="O21" s="236">
        <f>$N21/(1+0.03)^($A21-'A - Inputs'!$C$6)</f>
        <v>162083.60798132731</v>
      </c>
      <c r="P21" s="172">
        <f>$N21/(1+0.07)^($A21-'A - Inputs'!$C$6)</f>
        <v>95079.601711253301</v>
      </c>
    </row>
    <row r="22" spans="1:16" x14ac:dyDescent="0.25">
      <c r="A22" s="234">
        <f t="shared" si="1"/>
        <v>2034</v>
      </c>
      <c r="B22" s="175">
        <f t="shared" si="2"/>
        <v>13</v>
      </c>
      <c r="C22" s="68">
        <f>'E - Construction &amp; Residual'!D24</f>
        <v>0</v>
      </c>
      <c r="D22" s="40">
        <f t="shared" si="0"/>
        <v>0</v>
      </c>
      <c r="E22" s="40">
        <f>$D22/(1+0.03)^($A22-'A - Inputs'!$C$6)</f>
        <v>0</v>
      </c>
      <c r="F22" s="28">
        <f>$D22/(1+0.07)^($A22-'A - Inputs'!$C$6)</f>
        <v>0</v>
      </c>
      <c r="H22" s="234">
        <f t="shared" si="3"/>
        <v>2034</v>
      </c>
      <c r="I22" s="175">
        <f t="shared" si="4"/>
        <v>13</v>
      </c>
      <c r="J22" s="32">
        <f>'E - Construction &amp; Residual'!M24</f>
        <v>0</v>
      </c>
      <c r="K22" s="32">
        <f>'F - Maintenance Costs'!J20</f>
        <v>11000</v>
      </c>
      <c r="L22" s="32">
        <f>'G - Safety'!S41</f>
        <v>234165.99999999953</v>
      </c>
      <c r="M22" s="32">
        <f>'H - Economic Output'!F20</f>
        <v>0</v>
      </c>
      <c r="N22" s="40">
        <f t="shared" si="5"/>
        <v>245165.99999999953</v>
      </c>
      <c r="O22" s="236">
        <f>$N22/(1+0.03)^($A22-'A - Inputs'!$C$6)</f>
        <v>157362.72619546339</v>
      </c>
      <c r="P22" s="172">
        <f>$N22/(1+0.07)^($A22-'A - Inputs'!$C$6)</f>
        <v>88859.440851638588</v>
      </c>
    </row>
    <row r="23" spans="1:16" x14ac:dyDescent="0.25">
      <c r="A23" s="234">
        <f t="shared" si="1"/>
        <v>2035</v>
      </c>
      <c r="B23" s="175">
        <f t="shared" si="2"/>
        <v>14</v>
      </c>
      <c r="C23" s="68">
        <f>'E - Construction &amp; Residual'!D25</f>
        <v>0</v>
      </c>
      <c r="D23" s="40">
        <f t="shared" si="0"/>
        <v>0</v>
      </c>
      <c r="E23" s="40">
        <f>$D23/(1+0.03)^($A23-'A - Inputs'!$C$6)</f>
        <v>0</v>
      </c>
      <c r="F23" s="28">
        <f>$D23/(1+0.07)^($A23-'A - Inputs'!$C$6)</f>
        <v>0</v>
      </c>
      <c r="H23" s="234">
        <f t="shared" si="3"/>
        <v>2035</v>
      </c>
      <c r="I23" s="175">
        <f t="shared" si="4"/>
        <v>14</v>
      </c>
      <c r="J23" s="32">
        <f>'E - Construction &amp; Residual'!M25</f>
        <v>0</v>
      </c>
      <c r="K23" s="32">
        <f>'F - Maintenance Costs'!J21</f>
        <v>11000</v>
      </c>
      <c r="L23" s="32">
        <f>'G - Safety'!S42</f>
        <v>234165.99999999953</v>
      </c>
      <c r="M23" s="32">
        <f>'H - Economic Output'!F21</f>
        <v>0</v>
      </c>
      <c r="N23" s="40">
        <f t="shared" si="5"/>
        <v>245165.99999999953</v>
      </c>
      <c r="O23" s="236">
        <f>$N23/(1+0.03)^($A23-'A - Inputs'!$C$6)</f>
        <v>152779.34582083827</v>
      </c>
      <c r="P23" s="172">
        <f>$N23/(1+0.07)^($A23-'A - Inputs'!$C$6)</f>
        <v>83046.20640340056</v>
      </c>
    </row>
    <row r="24" spans="1:16" x14ac:dyDescent="0.25">
      <c r="A24" s="234">
        <f t="shared" si="1"/>
        <v>2036</v>
      </c>
      <c r="B24" s="175">
        <f t="shared" si="2"/>
        <v>15</v>
      </c>
      <c r="C24" s="68">
        <f>'E - Construction &amp; Residual'!D26</f>
        <v>0</v>
      </c>
      <c r="D24" s="40">
        <f t="shared" si="0"/>
        <v>0</v>
      </c>
      <c r="E24" s="40">
        <f>$D24/(1+0.03)^($A24-'A - Inputs'!$C$6)</f>
        <v>0</v>
      </c>
      <c r="F24" s="28">
        <f>$D24/(1+0.07)^($A24-'A - Inputs'!$C$6)</f>
        <v>0</v>
      </c>
      <c r="H24" s="234">
        <f t="shared" si="3"/>
        <v>2036</v>
      </c>
      <c r="I24" s="175">
        <f t="shared" si="4"/>
        <v>15</v>
      </c>
      <c r="J24" s="32">
        <f>'E - Construction &amp; Residual'!M26</f>
        <v>0</v>
      </c>
      <c r="K24" s="32">
        <f>'F - Maintenance Costs'!J22</f>
        <v>11000</v>
      </c>
      <c r="L24" s="32">
        <f>'G - Safety'!S43</f>
        <v>234165.99999999953</v>
      </c>
      <c r="M24" s="32">
        <f>'H - Economic Output'!F22</f>
        <v>0</v>
      </c>
      <c r="N24" s="40">
        <f t="shared" si="5"/>
        <v>245165.99999999953</v>
      </c>
      <c r="O24" s="236">
        <f>$N24/(1+0.03)^($A24-'A - Inputs'!$C$6)</f>
        <v>148329.4619619789</v>
      </c>
      <c r="P24" s="172">
        <f>$N24/(1+0.07)^($A24-'A - Inputs'!$C$6)</f>
        <v>77613.277012523889</v>
      </c>
    </row>
    <row r="25" spans="1:16" x14ac:dyDescent="0.25">
      <c r="A25" s="234">
        <f t="shared" si="1"/>
        <v>2037</v>
      </c>
      <c r="B25" s="175">
        <f t="shared" si="2"/>
        <v>16</v>
      </c>
      <c r="C25" s="68">
        <f>'E - Construction &amp; Residual'!D27</f>
        <v>0</v>
      </c>
      <c r="D25" s="40">
        <f t="shared" si="0"/>
        <v>0</v>
      </c>
      <c r="E25" s="40">
        <f>$D25/(1+0.03)^($A25-'A - Inputs'!$C$6)</f>
        <v>0</v>
      </c>
      <c r="F25" s="28">
        <f>$D25/(1+0.07)^($A25-'A - Inputs'!$C$6)</f>
        <v>0</v>
      </c>
      <c r="H25" s="234">
        <f t="shared" si="3"/>
        <v>2037</v>
      </c>
      <c r="I25" s="175">
        <f t="shared" si="4"/>
        <v>16</v>
      </c>
      <c r="J25" s="32">
        <f>'E - Construction &amp; Residual'!M27</f>
        <v>0</v>
      </c>
      <c r="K25" s="32">
        <f>'F - Maintenance Costs'!J23</f>
        <v>11000</v>
      </c>
      <c r="L25" s="32">
        <f>'G - Safety'!S44</f>
        <v>234165.99999999953</v>
      </c>
      <c r="M25" s="32">
        <f>'H - Economic Output'!F23</f>
        <v>0</v>
      </c>
      <c r="N25" s="40">
        <f t="shared" si="5"/>
        <v>245165.99999999953</v>
      </c>
      <c r="O25" s="236">
        <f>$N25/(1+0.03)^($A25-'A - Inputs'!$C$6)</f>
        <v>144009.18637085331</v>
      </c>
      <c r="P25" s="172">
        <f>$N25/(1+0.07)^($A25-'A - Inputs'!$C$6)</f>
        <v>72535.772908900821</v>
      </c>
    </row>
    <row r="26" spans="1:16" x14ac:dyDescent="0.25">
      <c r="A26" s="234">
        <f t="shared" si="1"/>
        <v>2038</v>
      </c>
      <c r="B26" s="175">
        <f t="shared" si="2"/>
        <v>17</v>
      </c>
      <c r="C26" s="68">
        <f>'E - Construction &amp; Residual'!D28</f>
        <v>0</v>
      </c>
      <c r="D26" s="40">
        <f t="shared" si="0"/>
        <v>0</v>
      </c>
      <c r="E26" s="40">
        <f>$D26/(1+0.03)^($A26-'A - Inputs'!$C$6)</f>
        <v>0</v>
      </c>
      <c r="F26" s="28">
        <f>$D26/(1+0.07)^($A26-'A - Inputs'!$C$6)</f>
        <v>0</v>
      </c>
      <c r="H26" s="234">
        <f t="shared" si="3"/>
        <v>2038</v>
      </c>
      <c r="I26" s="175">
        <f t="shared" si="4"/>
        <v>17</v>
      </c>
      <c r="J26" s="32">
        <f>'E - Construction &amp; Residual'!M28</f>
        <v>0</v>
      </c>
      <c r="K26" s="32">
        <f>'F - Maintenance Costs'!J24</f>
        <v>11000</v>
      </c>
      <c r="L26" s="32">
        <f>'G - Safety'!S45</f>
        <v>234165.99999999953</v>
      </c>
      <c r="M26" s="32">
        <f>'H - Economic Output'!F24</f>
        <v>0</v>
      </c>
      <c r="N26" s="40">
        <f t="shared" si="5"/>
        <v>245165.99999999953</v>
      </c>
      <c r="O26" s="236">
        <f>$N26/(1+0.03)^($A26-'A - Inputs'!$C$6)</f>
        <v>139814.74404937215</v>
      </c>
      <c r="P26" s="172">
        <f>$N26/(1+0.07)^($A26-'A - Inputs'!$C$6)</f>
        <v>67790.441970935339</v>
      </c>
    </row>
    <row r="27" spans="1:16" x14ac:dyDescent="0.25">
      <c r="A27" s="234">
        <f t="shared" si="1"/>
        <v>2039</v>
      </c>
      <c r="B27" s="175">
        <f t="shared" si="2"/>
        <v>18</v>
      </c>
      <c r="C27" s="68">
        <f>'E - Construction &amp; Residual'!D29</f>
        <v>0</v>
      </c>
      <c r="D27" s="40">
        <f t="shared" si="0"/>
        <v>0</v>
      </c>
      <c r="E27" s="40">
        <f>$D27/(1+0.03)^($A27-'A - Inputs'!$C$6)</f>
        <v>0</v>
      </c>
      <c r="F27" s="28">
        <f>$D27/(1+0.07)^($A27-'A - Inputs'!$C$6)</f>
        <v>0</v>
      </c>
      <c r="H27" s="234">
        <f t="shared" si="3"/>
        <v>2039</v>
      </c>
      <c r="I27" s="175">
        <f t="shared" si="4"/>
        <v>18</v>
      </c>
      <c r="J27" s="32">
        <f>'E - Construction &amp; Residual'!M29</f>
        <v>0</v>
      </c>
      <c r="K27" s="32">
        <f>'F - Maintenance Costs'!J25</f>
        <v>11000</v>
      </c>
      <c r="L27" s="32">
        <f>'G - Safety'!S46</f>
        <v>234165.99999999953</v>
      </c>
      <c r="M27" s="32">
        <f>'H - Economic Output'!F25</f>
        <v>0</v>
      </c>
      <c r="N27" s="40">
        <f t="shared" si="5"/>
        <v>245165.99999999953</v>
      </c>
      <c r="O27" s="236">
        <f>$N27/(1+0.03)^($A27-'A - Inputs'!$C$6)</f>
        <v>135742.46995084675</v>
      </c>
      <c r="P27" s="172">
        <f>$N27/(1+0.07)^($A27-'A - Inputs'!$C$6)</f>
        <v>63355.553243864815</v>
      </c>
    </row>
    <row r="28" spans="1:16" x14ac:dyDescent="0.25">
      <c r="A28" s="234">
        <f t="shared" si="1"/>
        <v>2040</v>
      </c>
      <c r="B28" s="175">
        <f t="shared" si="2"/>
        <v>19</v>
      </c>
      <c r="C28" s="68">
        <f>'E - Construction &amp; Residual'!D30</f>
        <v>0</v>
      </c>
      <c r="D28" s="40">
        <f t="shared" si="0"/>
        <v>0</v>
      </c>
      <c r="E28" s="40">
        <f>$D28/(1+0.03)^($A28-'A - Inputs'!$C$6)</f>
        <v>0</v>
      </c>
      <c r="F28" s="28">
        <f>$D28/(1+0.07)^($A28-'A - Inputs'!$C$6)</f>
        <v>0</v>
      </c>
      <c r="H28" s="234">
        <f t="shared" si="3"/>
        <v>2040</v>
      </c>
      <c r="I28" s="175">
        <f t="shared" si="4"/>
        <v>19</v>
      </c>
      <c r="J28" s="32">
        <f>'E - Construction &amp; Residual'!M30</f>
        <v>0</v>
      </c>
      <c r="K28" s="32">
        <f>'F - Maintenance Costs'!J26</f>
        <v>11000</v>
      </c>
      <c r="L28" s="32">
        <f>'G - Safety'!S47</f>
        <v>234165.99999999953</v>
      </c>
      <c r="M28" s="32">
        <f>'H - Economic Output'!F26</f>
        <v>0</v>
      </c>
      <c r="N28" s="40">
        <f t="shared" si="5"/>
        <v>245165.99999999953</v>
      </c>
      <c r="O28" s="236">
        <f>$N28/(1+0.03)^($A28-'A - Inputs'!$C$6)</f>
        <v>131788.80577752113</v>
      </c>
      <c r="P28" s="172">
        <f>$N28/(1+0.07)^($A28-'A - Inputs'!$C$6)</f>
        <v>59210.797424172721</v>
      </c>
    </row>
    <row r="29" spans="1:16" x14ac:dyDescent="0.25">
      <c r="A29" s="234">
        <f t="shared" si="1"/>
        <v>2041</v>
      </c>
      <c r="B29" s="175">
        <f t="shared" si="2"/>
        <v>20</v>
      </c>
      <c r="C29" s="68">
        <f>'E - Construction &amp; Residual'!D31</f>
        <v>0</v>
      </c>
      <c r="D29" s="40">
        <f t="shared" si="0"/>
        <v>0</v>
      </c>
      <c r="E29" s="40">
        <f>$D29/(1+0.03)^($A29-'A - Inputs'!$C$6)</f>
        <v>0</v>
      </c>
      <c r="F29" s="28">
        <f>$D29/(1+0.07)^($A29-'A - Inputs'!$C$6)</f>
        <v>0</v>
      </c>
      <c r="H29" s="234">
        <f t="shared" si="3"/>
        <v>2041</v>
      </c>
      <c r="I29" s="175">
        <f t="shared" si="4"/>
        <v>20</v>
      </c>
      <c r="J29" s="32">
        <f>'E - Construction &amp; Residual'!M31</f>
        <v>0</v>
      </c>
      <c r="K29" s="32">
        <f>'F - Maintenance Costs'!J27</f>
        <v>11000</v>
      </c>
      <c r="L29" s="32">
        <f>'G - Safety'!S48</f>
        <v>234165.99999999953</v>
      </c>
      <c r="M29" s="32">
        <f>'H - Economic Output'!F27</f>
        <v>0</v>
      </c>
      <c r="N29" s="40">
        <f t="shared" si="5"/>
        <v>245165.99999999953</v>
      </c>
      <c r="O29" s="236">
        <f>$N29/(1+0.03)^($A29-'A - Inputs'!$C$6)</f>
        <v>127950.29687137972</v>
      </c>
      <c r="P29" s="172">
        <f>$N29/(1+0.07)^($A29-'A - Inputs'!$C$6)</f>
        <v>55337.193854367026</v>
      </c>
    </row>
    <row r="30" spans="1:16" x14ac:dyDescent="0.25">
      <c r="A30" s="234">
        <f t="shared" si="1"/>
        <v>2042</v>
      </c>
      <c r="B30" s="175">
        <f t="shared" si="2"/>
        <v>21</v>
      </c>
      <c r="C30" s="68">
        <f>'E - Construction &amp; Residual'!D32</f>
        <v>0</v>
      </c>
      <c r="D30" s="40">
        <f t="shared" si="0"/>
        <v>0</v>
      </c>
      <c r="E30" s="40">
        <f>$D30/(1+0.03)^($A30-'A - Inputs'!$C$6)</f>
        <v>0</v>
      </c>
      <c r="F30" s="28">
        <f>$D30/(1+0.07)^($A30-'A - Inputs'!$C$6)</f>
        <v>0</v>
      </c>
      <c r="H30" s="234">
        <f t="shared" si="3"/>
        <v>2042</v>
      </c>
      <c r="I30" s="175">
        <f t="shared" si="4"/>
        <v>21</v>
      </c>
      <c r="J30" s="32">
        <f>'E - Construction &amp; Residual'!M32</f>
        <v>0</v>
      </c>
      <c r="K30" s="32">
        <f>'F - Maintenance Costs'!J28</f>
        <v>11000</v>
      </c>
      <c r="L30" s="32">
        <f>'G - Safety'!S49</f>
        <v>234165.99999999953</v>
      </c>
      <c r="M30" s="32">
        <f>'H - Economic Output'!F28</f>
        <v>0</v>
      </c>
      <c r="N30" s="40">
        <f t="shared" si="5"/>
        <v>245165.99999999953</v>
      </c>
      <c r="O30" s="236">
        <f>$N30/(1+0.03)^($A30-'A - Inputs'!$C$6)</f>
        <v>124223.58919551429</v>
      </c>
      <c r="P30" s="172">
        <f>$N30/(1+0.07)^($A30-'A - Inputs'!$C$6)</f>
        <v>51717.003602212179</v>
      </c>
    </row>
    <row r="31" spans="1:16" x14ac:dyDescent="0.25">
      <c r="A31" s="234">
        <f t="shared" si="1"/>
        <v>2043</v>
      </c>
      <c r="B31" s="175">
        <f t="shared" si="2"/>
        <v>22</v>
      </c>
      <c r="C31" s="68">
        <f>'E - Construction &amp; Residual'!D33</f>
        <v>0</v>
      </c>
      <c r="D31" s="40">
        <f t="shared" si="0"/>
        <v>0</v>
      </c>
      <c r="E31" s="40">
        <f>$D31/(1+0.03)^($A31-'A - Inputs'!$C$6)</f>
        <v>0</v>
      </c>
      <c r="F31" s="28">
        <f>$D31/(1+0.07)^($A31-'A - Inputs'!$C$6)</f>
        <v>0</v>
      </c>
      <c r="H31" s="234">
        <f t="shared" si="3"/>
        <v>2043</v>
      </c>
      <c r="I31" s="175">
        <f t="shared" si="4"/>
        <v>22</v>
      </c>
      <c r="J31" s="32">
        <f>'E - Construction &amp; Residual'!M33</f>
        <v>0</v>
      </c>
      <c r="K31" s="32">
        <f>'F - Maintenance Costs'!J29</f>
        <v>11000</v>
      </c>
      <c r="L31" s="32">
        <f>'G - Safety'!S50</f>
        <v>234165.99999999953</v>
      </c>
      <c r="M31" s="32">
        <f>'H - Economic Output'!F29</f>
        <v>0</v>
      </c>
      <c r="N31" s="40">
        <f t="shared" si="5"/>
        <v>245165.99999999953</v>
      </c>
      <c r="O31" s="236">
        <f>$N31/(1+0.03)^($A31-'A - Inputs'!$C$6)</f>
        <v>120605.42640341194</v>
      </c>
      <c r="P31" s="172">
        <f>$N31/(1+0.07)^($A31-'A - Inputs'!$C$6)</f>
        <v>48333.648226366517</v>
      </c>
    </row>
    <row r="32" spans="1:16" x14ac:dyDescent="0.25">
      <c r="A32" s="234">
        <f t="shared" si="1"/>
        <v>2044</v>
      </c>
      <c r="B32" s="175">
        <f t="shared" si="2"/>
        <v>23</v>
      </c>
      <c r="C32" s="68">
        <f>'E - Construction &amp; Residual'!D34</f>
        <v>0</v>
      </c>
      <c r="D32" s="40">
        <f t="shared" si="0"/>
        <v>0</v>
      </c>
      <c r="E32" s="40">
        <f>$D32/(1+0.03)^($A32-'A - Inputs'!$C$6)</f>
        <v>0</v>
      </c>
      <c r="F32" s="28">
        <f>$D32/(1+0.07)^($A32-'A - Inputs'!$C$6)</f>
        <v>0</v>
      </c>
      <c r="H32" s="234">
        <f t="shared" si="3"/>
        <v>2044</v>
      </c>
      <c r="I32" s="175">
        <f t="shared" si="4"/>
        <v>23</v>
      </c>
      <c r="J32" s="32">
        <f>'E - Construction &amp; Residual'!M34</f>
        <v>26752082.964282002</v>
      </c>
      <c r="K32" s="32">
        <f>'F - Maintenance Costs'!J30</f>
        <v>11000</v>
      </c>
      <c r="L32" s="32">
        <f>'G - Safety'!S51</f>
        <v>234165.99999999953</v>
      </c>
      <c r="M32" s="32">
        <f>'H - Economic Output'!F30</f>
        <v>0</v>
      </c>
      <c r="N32" s="40">
        <f t="shared" si="5"/>
        <v>26997248.964282002</v>
      </c>
      <c r="O32" s="236">
        <f>$N32/(1+0.03)^($A32-'A - Inputs'!$C$6)</f>
        <v>12894036.460084658</v>
      </c>
      <c r="P32" s="172">
        <f>$N32/(1+0.07)^($A32-'A - Inputs'!$C$6)</f>
        <v>4974220.9170320928</v>
      </c>
    </row>
    <row r="33" spans="1:16" x14ac:dyDescent="0.25">
      <c r="A33" s="234">
        <f t="shared" si="1"/>
        <v>2045</v>
      </c>
      <c r="B33" s="175">
        <f t="shared" si="2"/>
        <v>24</v>
      </c>
      <c r="C33" s="68">
        <f>'E - Construction &amp; Residual'!D35</f>
        <v>0</v>
      </c>
      <c r="D33" s="40">
        <f t="shared" si="0"/>
        <v>0</v>
      </c>
      <c r="E33" s="40">
        <f>$D33/(1+0.03)^($A33-'A - Inputs'!$C$6)</f>
        <v>0</v>
      </c>
      <c r="F33" s="28">
        <f>$D33/(1+0.07)^($A33-'A - Inputs'!$C$6)</f>
        <v>0</v>
      </c>
      <c r="H33" s="234">
        <f t="shared" si="3"/>
        <v>2045</v>
      </c>
      <c r="I33" s="175">
        <f t="shared" si="4"/>
        <v>24</v>
      </c>
      <c r="J33" s="32">
        <f>'E - Construction &amp; Residual'!M35</f>
        <v>0</v>
      </c>
      <c r="K33" s="32">
        <f>'F - Maintenance Costs'!J31</f>
        <v>0</v>
      </c>
      <c r="L33" s="32">
        <f>'G - Safety'!S52</f>
        <v>0</v>
      </c>
      <c r="M33" s="32">
        <f>'H - Economic Output'!F31</f>
        <v>0</v>
      </c>
      <c r="N33" s="40">
        <f t="shared" si="5"/>
        <v>0</v>
      </c>
      <c r="O33" s="236">
        <f>$N33/(1+0.03)^($A33-'A - Inputs'!$C$6)</f>
        <v>0</v>
      </c>
      <c r="P33" s="172">
        <f>$N33/(1+0.07)^($A33-'A - Inputs'!$C$6)</f>
        <v>0</v>
      </c>
    </row>
    <row r="34" spans="1:16" x14ac:dyDescent="0.25">
      <c r="A34" s="234">
        <f t="shared" si="1"/>
        <v>2046</v>
      </c>
      <c r="B34" s="175">
        <f t="shared" si="2"/>
        <v>25</v>
      </c>
      <c r="C34" s="68">
        <f>'E - Construction &amp; Residual'!D36</f>
        <v>0</v>
      </c>
      <c r="D34" s="40">
        <f t="shared" si="0"/>
        <v>0</v>
      </c>
      <c r="E34" s="40">
        <f>$D34/(1+0.03)^($A34-'A - Inputs'!$C$6)</f>
        <v>0</v>
      </c>
      <c r="F34" s="28">
        <f>$D34/(1+0.07)^($A34-'A - Inputs'!$C$6)</f>
        <v>0</v>
      </c>
      <c r="H34" s="234">
        <f t="shared" si="3"/>
        <v>2046</v>
      </c>
      <c r="I34" s="175">
        <f t="shared" si="4"/>
        <v>25</v>
      </c>
      <c r="J34" s="32">
        <f>'E - Construction &amp; Residual'!M36</f>
        <v>0</v>
      </c>
      <c r="K34" s="32">
        <f>'F - Maintenance Costs'!J32</f>
        <v>0</v>
      </c>
      <c r="L34" s="32">
        <f>'G - Safety'!S53</f>
        <v>0</v>
      </c>
      <c r="M34" s="32">
        <f>'H - Economic Output'!F32</f>
        <v>0</v>
      </c>
      <c r="N34" s="40">
        <f t="shared" si="5"/>
        <v>0</v>
      </c>
      <c r="O34" s="236">
        <f>$N34/(1+0.03)^($A34-'A - Inputs'!$C$6)</f>
        <v>0</v>
      </c>
      <c r="P34" s="172">
        <f>$N34/(1+0.07)^($A34-'A - Inputs'!$C$6)</f>
        <v>0</v>
      </c>
    </row>
    <row r="35" spans="1:16" x14ac:dyDescent="0.25">
      <c r="A35" s="234">
        <f t="shared" si="1"/>
        <v>2047</v>
      </c>
      <c r="B35" s="175">
        <f t="shared" si="2"/>
        <v>26</v>
      </c>
      <c r="C35" s="68">
        <f>'E - Construction &amp; Residual'!D37</f>
        <v>0</v>
      </c>
      <c r="D35" s="40">
        <f t="shared" si="0"/>
        <v>0</v>
      </c>
      <c r="E35" s="40">
        <f>$D35/(1+0.03)^($A35-'A - Inputs'!$C$6)</f>
        <v>0</v>
      </c>
      <c r="F35" s="28">
        <f>$D35/(1+0.07)^($A35-'A - Inputs'!$C$6)</f>
        <v>0</v>
      </c>
      <c r="H35" s="234">
        <f t="shared" si="3"/>
        <v>2047</v>
      </c>
      <c r="I35" s="175">
        <f t="shared" si="4"/>
        <v>26</v>
      </c>
      <c r="J35" s="32">
        <f>'E - Construction &amp; Residual'!M37</f>
        <v>0</v>
      </c>
      <c r="K35" s="32">
        <f>'F - Maintenance Costs'!J33</f>
        <v>0</v>
      </c>
      <c r="L35" s="32">
        <f>'G - Safety'!S54</f>
        <v>0</v>
      </c>
      <c r="M35" s="32">
        <f>'H - Economic Output'!F33</f>
        <v>0</v>
      </c>
      <c r="N35" s="40">
        <f t="shared" si="5"/>
        <v>0</v>
      </c>
      <c r="O35" s="236">
        <f>$N35/(1+0.03)^($A35-'A - Inputs'!$C$6)</f>
        <v>0</v>
      </c>
      <c r="P35" s="172">
        <f>$N35/(1+0.07)^($A35-'A - Inputs'!$C$6)</f>
        <v>0</v>
      </c>
    </row>
    <row r="36" spans="1:16" x14ac:dyDescent="0.25">
      <c r="A36" s="234">
        <f t="shared" si="1"/>
        <v>2048</v>
      </c>
      <c r="B36" s="175">
        <f t="shared" si="2"/>
        <v>27</v>
      </c>
      <c r="C36" s="68">
        <f>'E - Construction &amp; Residual'!D38</f>
        <v>0</v>
      </c>
      <c r="D36" s="40">
        <f t="shared" si="0"/>
        <v>0</v>
      </c>
      <c r="E36" s="40">
        <f>$D36/(1+0.03)^($A36-'A - Inputs'!$C$6)</f>
        <v>0</v>
      </c>
      <c r="F36" s="28">
        <f>$D36/(1+0.07)^($A36-'A - Inputs'!$C$6)</f>
        <v>0</v>
      </c>
      <c r="H36" s="234">
        <f t="shared" si="3"/>
        <v>2048</v>
      </c>
      <c r="I36" s="175">
        <f t="shared" si="4"/>
        <v>27</v>
      </c>
      <c r="J36" s="32">
        <f>'E - Construction &amp; Residual'!M38</f>
        <v>0</v>
      </c>
      <c r="K36" s="32">
        <f>'F - Maintenance Costs'!J34</f>
        <v>0</v>
      </c>
      <c r="L36" s="32">
        <f>'G - Safety'!S55</f>
        <v>0</v>
      </c>
      <c r="M36" s="32">
        <f>'H - Economic Output'!F34</f>
        <v>0</v>
      </c>
      <c r="N36" s="40">
        <f t="shared" si="5"/>
        <v>0</v>
      </c>
      <c r="O36" s="236">
        <f>$N36/(1+0.03)^($A36-'A - Inputs'!$C$6)</f>
        <v>0</v>
      </c>
      <c r="P36" s="172">
        <f>$N36/(1+0.07)^($A36-'A - Inputs'!$C$6)</f>
        <v>0</v>
      </c>
    </row>
    <row r="37" spans="1:16" x14ac:dyDescent="0.25">
      <c r="A37" s="234">
        <f t="shared" si="1"/>
        <v>2049</v>
      </c>
      <c r="B37" s="175">
        <f t="shared" si="2"/>
        <v>28</v>
      </c>
      <c r="C37" s="68">
        <f>'E - Construction &amp; Residual'!D39</f>
        <v>0</v>
      </c>
      <c r="D37" s="40">
        <f t="shared" si="0"/>
        <v>0</v>
      </c>
      <c r="E37" s="40">
        <f>$D37/(1+0.03)^($A37-'A - Inputs'!$C$6)</f>
        <v>0</v>
      </c>
      <c r="F37" s="28">
        <f>$D37/(1+0.07)^($A37-'A - Inputs'!$C$6)</f>
        <v>0</v>
      </c>
      <c r="H37" s="234">
        <f t="shared" si="3"/>
        <v>2049</v>
      </c>
      <c r="I37" s="175">
        <f t="shared" si="4"/>
        <v>28</v>
      </c>
      <c r="J37" s="32">
        <f>'E - Construction &amp; Residual'!M39</f>
        <v>0</v>
      </c>
      <c r="K37" s="32">
        <f>'F - Maintenance Costs'!J35</f>
        <v>0</v>
      </c>
      <c r="L37" s="32">
        <f>'G - Safety'!S56</f>
        <v>0</v>
      </c>
      <c r="M37" s="32">
        <f>'H - Economic Output'!F35</f>
        <v>0</v>
      </c>
      <c r="N37" s="40">
        <f t="shared" si="5"/>
        <v>0</v>
      </c>
      <c r="O37" s="236">
        <f>$N37/(1+0.03)^($A37-'A - Inputs'!$C$6)</f>
        <v>0</v>
      </c>
      <c r="P37" s="172">
        <f>$N37/(1+0.07)^($A37-'A - Inputs'!$C$6)</f>
        <v>0</v>
      </c>
    </row>
    <row r="38" spans="1:16" x14ac:dyDescent="0.25">
      <c r="A38" s="234">
        <f t="shared" si="1"/>
        <v>2050</v>
      </c>
      <c r="B38" s="175">
        <f t="shared" si="2"/>
        <v>29</v>
      </c>
      <c r="C38" s="68">
        <f>'E - Construction &amp; Residual'!D40</f>
        <v>0</v>
      </c>
      <c r="D38" s="40">
        <f t="shared" si="0"/>
        <v>0</v>
      </c>
      <c r="E38" s="40">
        <f>$D38/(1+0.03)^($A38-'A - Inputs'!$C$6)</f>
        <v>0</v>
      </c>
      <c r="F38" s="28">
        <f>$D38/(1+0.07)^($A38-'A - Inputs'!$C$6)</f>
        <v>0</v>
      </c>
      <c r="H38" s="234">
        <f t="shared" si="3"/>
        <v>2050</v>
      </c>
      <c r="I38" s="175">
        <f t="shared" si="4"/>
        <v>29</v>
      </c>
      <c r="J38" s="32">
        <f>'E - Construction &amp; Residual'!M40</f>
        <v>0</v>
      </c>
      <c r="K38" s="32">
        <f>'F - Maintenance Costs'!J36</f>
        <v>0</v>
      </c>
      <c r="L38" s="32">
        <f>'G - Safety'!S57</f>
        <v>0</v>
      </c>
      <c r="M38" s="32">
        <f>'H - Economic Output'!F36</f>
        <v>0</v>
      </c>
      <c r="N38" s="40">
        <f t="shared" si="5"/>
        <v>0</v>
      </c>
      <c r="O38" s="236">
        <f>$N38/(1+0.03)^($A38-'A - Inputs'!$C$6)</f>
        <v>0</v>
      </c>
      <c r="P38" s="172">
        <f>$N38/(1+0.07)^($A38-'A - Inputs'!$C$6)</f>
        <v>0</v>
      </c>
    </row>
    <row r="39" spans="1:16" x14ac:dyDescent="0.25">
      <c r="A39" s="235" t="s">
        <v>45</v>
      </c>
      <c r="B39" s="227"/>
      <c r="C39" s="228">
        <f>SUM(C9:C38)</f>
        <v>47892261.163500004</v>
      </c>
      <c r="D39" s="229">
        <f t="shared" ref="D39:F39" si="6">SUM(D9:D38)</f>
        <v>47892261.163500004</v>
      </c>
      <c r="E39" s="229">
        <f t="shared" si="6"/>
        <v>38672505.166461952</v>
      </c>
      <c r="F39" s="230">
        <f t="shared" si="6"/>
        <v>29398149.058424428</v>
      </c>
      <c r="H39" s="235" t="s">
        <v>45</v>
      </c>
      <c r="I39" s="227"/>
      <c r="J39" s="237">
        <f>SUM(J9:J38)</f>
        <v>26752082.964282002</v>
      </c>
      <c r="K39" s="238">
        <f>SUM(K9:K38)</f>
        <v>5332000</v>
      </c>
      <c r="L39" s="238">
        <f>SUM(L9:L38)</f>
        <v>3980821.9999999921</v>
      </c>
      <c r="M39" s="238">
        <f>SUM(M9:M38)</f>
        <v>70679399.025093287</v>
      </c>
      <c r="N39" s="229">
        <f>SUM(N9:N38)</f>
        <v>106744303.98937531</v>
      </c>
      <c r="O39" s="229">
        <f t="shared" ref="O39:P39" si="7">SUM(O9:O38)</f>
        <v>76705718.333417565</v>
      </c>
      <c r="P39" s="230">
        <f t="shared" si="7"/>
        <v>53134352.525022015</v>
      </c>
    </row>
  </sheetData>
  <pageMargins left="0.7" right="0.7" top="0.75" bottom="0.75" header="0.3" footer="0.3"/>
  <pageSetup scale="60" fitToWidth="2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FF6A0-2277-4430-AE98-31C35E96F94D}">
  <dimension ref="A1:H40"/>
  <sheetViews>
    <sheetView view="pageLayout" topLeftCell="A7" zoomScale="85" zoomScaleNormal="100" zoomScaleSheetLayoutView="100" zoomScalePageLayoutView="85" workbookViewId="0">
      <selection activeCell="E18" sqref="E18"/>
    </sheetView>
  </sheetViews>
  <sheetFormatPr defaultColWidth="8.7109375" defaultRowHeight="12.75" x14ac:dyDescent="0.2"/>
  <cols>
    <col min="1" max="1" width="43.28515625" style="7" bestFit="1" customWidth="1"/>
    <col min="2" max="2" width="16.5703125" style="7" customWidth="1"/>
    <col min="3" max="3" width="15.42578125" style="7" customWidth="1"/>
    <col min="4" max="4" width="15.42578125" style="7" bestFit="1" customWidth="1"/>
    <col min="5" max="5" width="8.7109375" style="7"/>
    <col min="6" max="6" width="15.5703125" style="7" bestFit="1" customWidth="1"/>
    <col min="7" max="7" width="15.140625" style="7" bestFit="1" customWidth="1"/>
    <col min="8" max="8" width="10.7109375" style="7" customWidth="1"/>
    <col min="9" max="16384" width="8.7109375" style="7"/>
  </cols>
  <sheetData>
    <row r="1" spans="1:8" ht="18.75" x14ac:dyDescent="0.2">
      <c r="A1" s="33" t="s">
        <v>46</v>
      </c>
      <c r="B1" s="187"/>
      <c r="C1" s="99"/>
    </row>
    <row r="2" spans="1:8" ht="15" x14ac:dyDescent="0.2">
      <c r="A2" s="34" t="s">
        <v>47</v>
      </c>
      <c r="B2" s="188"/>
      <c r="C2" s="100"/>
    </row>
    <row r="3" spans="1:8" ht="15.75" thickBot="1" x14ac:dyDescent="0.25">
      <c r="A3" s="35"/>
      <c r="B3" s="189"/>
      <c r="C3" s="101">
        <v>1.0179</v>
      </c>
      <c r="D3" s="199" t="s">
        <v>189</v>
      </c>
    </row>
    <row r="4" spans="1:8" ht="15.75" thickBot="1" x14ac:dyDescent="0.3">
      <c r="A4" s="36" t="s">
        <v>48</v>
      </c>
      <c r="B4" s="193" t="s">
        <v>164</v>
      </c>
      <c r="C4" s="190" t="s">
        <v>165</v>
      </c>
      <c r="D4" s="37" t="s">
        <v>49</v>
      </c>
      <c r="E4" s="16"/>
    </row>
    <row r="5" spans="1:8" ht="16.5" thickTop="1" thickBot="1" x14ac:dyDescent="0.3">
      <c r="A5" s="213" t="s">
        <v>166</v>
      </c>
      <c r="B5" s="214"/>
      <c r="C5" s="215"/>
      <c r="D5" s="37"/>
      <c r="E5" s="16"/>
    </row>
    <row r="6" spans="1:8" ht="15.75" thickTop="1" x14ac:dyDescent="0.25">
      <c r="A6" s="201" t="s">
        <v>166</v>
      </c>
      <c r="B6" s="202">
        <v>2875000</v>
      </c>
      <c r="C6" s="203">
        <f>B6*$C$3</f>
        <v>2926462.5</v>
      </c>
      <c r="D6" s="16" t="s">
        <v>51</v>
      </c>
      <c r="E6" s="16"/>
    </row>
    <row r="7" spans="1:8" ht="15" x14ac:dyDescent="0.25">
      <c r="A7" s="204" t="s">
        <v>174</v>
      </c>
      <c r="B7" s="205">
        <v>50000</v>
      </c>
      <c r="C7" s="206">
        <f>B7*$C$3</f>
        <v>50895</v>
      </c>
      <c r="D7" s="16" t="s">
        <v>51</v>
      </c>
      <c r="E7" s="16"/>
    </row>
    <row r="8" spans="1:8" ht="15.75" thickBot="1" x14ac:dyDescent="0.3">
      <c r="A8" s="210" t="s">
        <v>167</v>
      </c>
      <c r="B8" s="211"/>
      <c r="C8" s="212"/>
      <c r="D8" s="37"/>
      <c r="E8" s="16"/>
    </row>
    <row r="9" spans="1:8" ht="15.75" thickTop="1" x14ac:dyDescent="0.25">
      <c r="A9" s="97" t="s">
        <v>50</v>
      </c>
      <c r="B9" s="194">
        <v>0</v>
      </c>
      <c r="C9" s="191">
        <f>B9*$C$3</f>
        <v>0</v>
      </c>
      <c r="D9" s="16" t="s">
        <v>51</v>
      </c>
      <c r="E9" s="16"/>
      <c r="F9" s="245" t="s">
        <v>51</v>
      </c>
      <c r="G9" s="246">
        <f>SUMIF($D$9:$D$36,F9,$C$9:$C$36)</f>
        <v>7720368.4116000002</v>
      </c>
      <c r="H9" s="16"/>
    </row>
    <row r="10" spans="1:8" ht="15" x14ac:dyDescent="0.25">
      <c r="A10" s="98" t="s">
        <v>53</v>
      </c>
      <c r="B10" s="195">
        <v>541195</v>
      </c>
      <c r="C10" s="192">
        <f>B10*$C$3</f>
        <v>550882.39049999998</v>
      </c>
      <c r="D10" s="16" t="s">
        <v>52</v>
      </c>
      <c r="E10" s="16"/>
      <c r="F10" s="245" t="s">
        <v>52</v>
      </c>
      <c r="G10" s="246">
        <f>SUMIF($D$9:$D$36,F10,$C$9:$C$36)</f>
        <v>14233746.629700001</v>
      </c>
      <c r="H10" s="16"/>
    </row>
    <row r="11" spans="1:8" ht="15" x14ac:dyDescent="0.25">
      <c r="A11" s="98" t="s">
        <v>55</v>
      </c>
      <c r="B11" s="195">
        <v>701272</v>
      </c>
      <c r="C11" s="192">
        <f t="shared" ref="C11:C30" si="0">B11*$C$3</f>
        <v>713824.76879999996</v>
      </c>
      <c r="D11" s="16" t="s">
        <v>52</v>
      </c>
      <c r="E11" s="16"/>
      <c r="F11" s="245" t="s">
        <v>54</v>
      </c>
      <c r="G11" s="246">
        <f t="shared" ref="G11" si="1">SUMIF($D$9:$D$36,F11,$C$9:$C$36)</f>
        <v>8175882.7331999997</v>
      </c>
      <c r="H11" s="16"/>
    </row>
    <row r="12" spans="1:8" ht="15" x14ac:dyDescent="0.25">
      <c r="A12" s="98" t="s">
        <v>57</v>
      </c>
      <c r="B12" s="195">
        <v>0</v>
      </c>
      <c r="C12" s="192">
        <f t="shared" si="0"/>
        <v>0</v>
      </c>
      <c r="D12" s="16" t="s">
        <v>51</v>
      </c>
      <c r="E12" s="16"/>
      <c r="F12" s="245" t="s">
        <v>56</v>
      </c>
      <c r="G12" s="246">
        <f>SUMIF($D$9:$D$36,D35,$C$9:$C$36)</f>
        <v>17762263.389000002</v>
      </c>
      <c r="H12" s="16"/>
    </row>
    <row r="13" spans="1:8" ht="15" x14ac:dyDescent="0.25">
      <c r="A13" s="98" t="s">
        <v>58</v>
      </c>
      <c r="B13" s="195">
        <v>0</v>
      </c>
      <c r="C13" s="192">
        <f t="shared" si="0"/>
        <v>0</v>
      </c>
      <c r="D13" s="16" t="s">
        <v>51</v>
      </c>
      <c r="E13" s="16"/>
      <c r="F13" s="247" t="s">
        <v>45</v>
      </c>
      <c r="G13" s="248">
        <f>SUM(G9:G12)</f>
        <v>47892261.163500004</v>
      </c>
      <c r="H13" s="16"/>
    </row>
    <row r="14" spans="1:8" ht="15" x14ac:dyDescent="0.25">
      <c r="A14" s="98" t="s">
        <v>59</v>
      </c>
      <c r="B14" s="195">
        <v>842970</v>
      </c>
      <c r="C14" s="192">
        <f t="shared" si="0"/>
        <v>858059.16300000006</v>
      </c>
      <c r="D14" s="16" t="s">
        <v>52</v>
      </c>
      <c r="E14" s="16"/>
      <c r="F14" s="16"/>
      <c r="G14" s="16"/>
      <c r="H14" s="16"/>
    </row>
    <row r="15" spans="1:8" ht="15" x14ac:dyDescent="0.25">
      <c r="A15" s="98" t="s">
        <v>61</v>
      </c>
      <c r="B15" s="195">
        <v>0</v>
      </c>
      <c r="C15" s="192">
        <f t="shared" si="0"/>
        <v>0</v>
      </c>
      <c r="D15" s="16" t="s">
        <v>51</v>
      </c>
      <c r="E15" s="16"/>
      <c r="F15" s="245" t="s">
        <v>60</v>
      </c>
      <c r="G15" s="245"/>
      <c r="H15" s="249" t="s">
        <v>175</v>
      </c>
    </row>
    <row r="16" spans="1:8" ht="15" x14ac:dyDescent="0.25">
      <c r="A16" s="98" t="s">
        <v>62</v>
      </c>
      <c r="B16" s="195">
        <v>0</v>
      </c>
      <c r="C16" s="192">
        <f t="shared" si="0"/>
        <v>0</v>
      </c>
      <c r="D16" s="16" t="s">
        <v>51</v>
      </c>
      <c r="E16" s="16"/>
      <c r="F16" s="245">
        <v>2024</v>
      </c>
      <c r="G16" s="246">
        <f>$G$13*H16</f>
        <v>2394613.0581750004</v>
      </c>
      <c r="H16" s="250">
        <v>0.05</v>
      </c>
    </row>
    <row r="17" spans="1:8" ht="15" x14ac:dyDescent="0.25">
      <c r="A17" s="98" t="s">
        <v>63</v>
      </c>
      <c r="B17" s="195">
        <v>0</v>
      </c>
      <c r="C17" s="192">
        <f t="shared" si="0"/>
        <v>0</v>
      </c>
      <c r="D17" s="16" t="s">
        <v>51</v>
      </c>
      <c r="E17" s="16"/>
      <c r="F17" s="245">
        <f>F16+1</f>
        <v>2025</v>
      </c>
      <c r="G17" s="246">
        <f t="shared" ref="G17:G20" si="2">$G$13*H17</f>
        <v>9578452.2327000014</v>
      </c>
      <c r="H17" s="250">
        <v>0.2</v>
      </c>
    </row>
    <row r="18" spans="1:8" ht="15" x14ac:dyDescent="0.25">
      <c r="A18" s="107" t="s">
        <v>64</v>
      </c>
      <c r="B18" s="196">
        <v>2208295</v>
      </c>
      <c r="C18" s="192">
        <f t="shared" si="0"/>
        <v>2247823.4805000001</v>
      </c>
      <c r="D18" s="3" t="s">
        <v>51</v>
      </c>
      <c r="E18" s="16"/>
      <c r="F18" s="245">
        <f t="shared" ref="F18:F20" si="3">F17+1</f>
        <v>2026</v>
      </c>
      <c r="G18" s="246">
        <f t="shared" si="2"/>
        <v>14367678.34905</v>
      </c>
      <c r="H18" s="250">
        <v>0.3</v>
      </c>
    </row>
    <row r="19" spans="1:8" ht="15" x14ac:dyDescent="0.25">
      <c r="A19" s="98" t="s">
        <v>65</v>
      </c>
      <c r="B19" s="195">
        <v>0</v>
      </c>
      <c r="C19" s="192">
        <f t="shared" si="0"/>
        <v>0</v>
      </c>
      <c r="D19" s="16" t="s">
        <v>51</v>
      </c>
      <c r="E19" s="16"/>
      <c r="F19" s="245">
        <f t="shared" si="3"/>
        <v>2027</v>
      </c>
      <c r="G19" s="246">
        <f t="shared" si="2"/>
        <v>16762291.407225</v>
      </c>
      <c r="H19" s="250">
        <v>0.35</v>
      </c>
    </row>
    <row r="20" spans="1:8" ht="15" x14ac:dyDescent="0.25">
      <c r="A20" s="98" t="s">
        <v>66</v>
      </c>
      <c r="B20" s="195">
        <v>1943300</v>
      </c>
      <c r="C20" s="192">
        <f t="shared" si="0"/>
        <v>1978085.07</v>
      </c>
      <c r="D20" s="16" t="s">
        <v>51</v>
      </c>
      <c r="E20" s="16"/>
      <c r="F20" s="245">
        <f t="shared" si="3"/>
        <v>2028</v>
      </c>
      <c r="G20" s="246">
        <f t="shared" si="2"/>
        <v>4789226.1163500007</v>
      </c>
      <c r="H20" s="250">
        <v>0.1</v>
      </c>
    </row>
    <row r="21" spans="1:8" ht="15" x14ac:dyDescent="0.25">
      <c r="A21" s="98" t="s">
        <v>67</v>
      </c>
      <c r="B21" s="195">
        <v>0</v>
      </c>
      <c r="C21" s="192">
        <f t="shared" si="0"/>
        <v>0</v>
      </c>
      <c r="D21" s="16" t="s">
        <v>52</v>
      </c>
      <c r="E21" s="16"/>
      <c r="F21" s="255" t="s">
        <v>45</v>
      </c>
      <c r="G21" s="251">
        <f>SUM(G16:G20)</f>
        <v>47892261.163500004</v>
      </c>
      <c r="H21" s="252">
        <f>SUM(H16:H20)</f>
        <v>1</v>
      </c>
    </row>
    <row r="22" spans="1:8" ht="15" x14ac:dyDescent="0.25">
      <c r="A22" s="98" t="s">
        <v>68</v>
      </c>
      <c r="B22" s="195">
        <v>223400</v>
      </c>
      <c r="C22" s="192">
        <f t="shared" si="0"/>
        <v>227398.86000000002</v>
      </c>
      <c r="D22" s="16" t="s">
        <v>51</v>
      </c>
      <c r="E22" s="16"/>
      <c r="F22" s="253" t="s">
        <v>69</v>
      </c>
      <c r="G22" s="254" t="b">
        <f>G13=G21</f>
        <v>1</v>
      </c>
      <c r="H22" s="245"/>
    </row>
    <row r="23" spans="1:8" ht="15" x14ac:dyDescent="0.25">
      <c r="A23" s="98" t="s">
        <v>70</v>
      </c>
      <c r="B23" s="195">
        <v>2983690</v>
      </c>
      <c r="C23" s="192">
        <f t="shared" si="0"/>
        <v>3037098.051</v>
      </c>
      <c r="D23" s="16" t="s">
        <v>54</v>
      </c>
      <c r="E23" s="16"/>
      <c r="F23" s="16"/>
      <c r="G23" s="16"/>
      <c r="H23" s="16"/>
    </row>
    <row r="24" spans="1:8" ht="15" x14ac:dyDescent="0.25">
      <c r="A24" s="98" t="s">
        <v>71</v>
      </c>
      <c r="B24" s="195">
        <v>0</v>
      </c>
      <c r="C24" s="192">
        <f t="shared" si="0"/>
        <v>0</v>
      </c>
      <c r="D24" s="16" t="s">
        <v>51</v>
      </c>
      <c r="E24" s="16"/>
      <c r="F24" s="312" t="s">
        <v>190</v>
      </c>
      <c r="G24" s="312"/>
      <c r="H24" s="312"/>
    </row>
    <row r="25" spans="1:8" ht="15" x14ac:dyDescent="0.25">
      <c r="A25" s="98" t="s">
        <v>72</v>
      </c>
      <c r="B25" s="195">
        <v>0</v>
      </c>
      <c r="C25" s="192">
        <f t="shared" si="0"/>
        <v>0</v>
      </c>
      <c r="D25" s="16" t="s">
        <v>54</v>
      </c>
      <c r="E25" s="16"/>
      <c r="F25" s="312"/>
      <c r="G25" s="312"/>
      <c r="H25" s="312"/>
    </row>
    <row r="26" spans="1:8" ht="15" x14ac:dyDescent="0.25">
      <c r="A26" s="98" t="s">
        <v>73</v>
      </c>
      <c r="B26" s="195">
        <v>8549164</v>
      </c>
      <c r="C26" s="192">
        <f t="shared" si="0"/>
        <v>8702194.035600001</v>
      </c>
      <c r="D26" s="16" t="s">
        <v>52</v>
      </c>
      <c r="E26" s="16"/>
      <c r="F26" s="312"/>
      <c r="G26" s="312"/>
      <c r="H26" s="312"/>
    </row>
    <row r="27" spans="1:8" ht="15" x14ac:dyDescent="0.25">
      <c r="A27" s="107" t="s">
        <v>74</v>
      </c>
      <c r="B27" s="196">
        <v>5048418</v>
      </c>
      <c r="C27" s="192">
        <f t="shared" si="0"/>
        <v>5138784.6821999997</v>
      </c>
      <c r="D27" s="3" t="s">
        <v>54</v>
      </c>
      <c r="E27" s="16"/>
      <c r="F27" s="312"/>
      <c r="G27" s="312"/>
      <c r="H27" s="312"/>
    </row>
    <row r="28" spans="1:8" ht="15" x14ac:dyDescent="0.25">
      <c r="A28" s="98" t="s">
        <v>75</v>
      </c>
      <c r="B28" s="195">
        <v>0</v>
      </c>
      <c r="C28" s="192">
        <f t="shared" si="0"/>
        <v>0</v>
      </c>
      <c r="D28" s="16" t="s">
        <v>51</v>
      </c>
      <c r="E28" s="16"/>
      <c r="F28" s="312"/>
      <c r="G28" s="312"/>
      <c r="H28" s="312"/>
    </row>
    <row r="29" spans="1:8" ht="15" x14ac:dyDescent="0.25">
      <c r="A29" s="98" t="s">
        <v>76</v>
      </c>
      <c r="B29" s="195">
        <v>0</v>
      </c>
      <c r="C29" s="192">
        <f t="shared" si="0"/>
        <v>0</v>
      </c>
      <c r="D29" s="16" t="s">
        <v>51</v>
      </c>
      <c r="E29" s="16"/>
      <c r="F29" s="312"/>
      <c r="G29" s="312"/>
      <c r="H29" s="312"/>
    </row>
    <row r="30" spans="1:8" ht="15.75" thickBot="1" x14ac:dyDescent="0.3">
      <c r="A30" s="108" t="s">
        <v>77</v>
      </c>
      <c r="B30" s="197">
        <v>3348842</v>
      </c>
      <c r="C30" s="200">
        <f t="shared" si="0"/>
        <v>3408786.2718000002</v>
      </c>
      <c r="D30" s="3" t="s">
        <v>52</v>
      </c>
      <c r="E30" s="16"/>
      <c r="F30" s="312"/>
      <c r="G30" s="312"/>
      <c r="H30" s="312"/>
    </row>
    <row r="31" spans="1:8" ht="15.75" thickBot="1" x14ac:dyDescent="0.3">
      <c r="A31" s="242" t="s">
        <v>173</v>
      </c>
      <c r="B31" s="243"/>
      <c r="C31" s="244"/>
      <c r="D31" s="37"/>
      <c r="E31" s="16"/>
    </row>
    <row r="32" spans="1:8" ht="15.75" thickTop="1" x14ac:dyDescent="0.25">
      <c r="A32" s="239" t="s">
        <v>168</v>
      </c>
      <c r="B32" s="240">
        <v>2309609</v>
      </c>
      <c r="C32" s="241">
        <f>B32*$C$3</f>
        <v>2350951.0011</v>
      </c>
      <c r="D32" s="16" t="s">
        <v>51</v>
      </c>
      <c r="E32" s="16"/>
    </row>
    <row r="33" spans="1:5" ht="15" x14ac:dyDescent="0.25">
      <c r="A33" s="98" t="s">
        <v>169</v>
      </c>
      <c r="B33" s="205">
        <v>150000</v>
      </c>
      <c r="C33" s="206">
        <f t="shared" ref="C33:C36" si="4">B33*$C$3</f>
        <v>152685</v>
      </c>
      <c r="D33" s="16" t="s">
        <v>51</v>
      </c>
      <c r="E33" s="16"/>
    </row>
    <row r="34" spans="1:5" ht="15" x14ac:dyDescent="0.25">
      <c r="A34" s="98" t="s">
        <v>170</v>
      </c>
      <c r="B34" s="205">
        <v>700000</v>
      </c>
      <c r="C34" s="206">
        <f t="shared" si="4"/>
        <v>712530</v>
      </c>
      <c r="D34" s="16" t="s">
        <v>51</v>
      </c>
      <c r="E34" s="16"/>
    </row>
    <row r="35" spans="1:5" ht="15" x14ac:dyDescent="0.25">
      <c r="A35" s="98" t="s">
        <v>171</v>
      </c>
      <c r="B35" s="205">
        <v>17449910</v>
      </c>
      <c r="C35" s="206">
        <f t="shared" si="4"/>
        <v>17762263.389000002</v>
      </c>
      <c r="D35" s="16" t="s">
        <v>81</v>
      </c>
      <c r="E35" s="16"/>
    </row>
    <row r="36" spans="1:5" ht="15.75" thickBot="1" x14ac:dyDescent="0.3">
      <c r="A36" s="207" t="s">
        <v>172</v>
      </c>
      <c r="B36" s="208">
        <v>50000</v>
      </c>
      <c r="C36" s="209">
        <f t="shared" si="4"/>
        <v>50895</v>
      </c>
      <c r="D36" s="16" t="s">
        <v>51</v>
      </c>
      <c r="E36" s="16"/>
    </row>
    <row r="38" spans="1:5" x14ac:dyDescent="0.2">
      <c r="A38" s="221" t="s">
        <v>180</v>
      </c>
    </row>
    <row r="39" spans="1:5" x14ac:dyDescent="0.2">
      <c r="A39" s="7" t="s">
        <v>186</v>
      </c>
    </row>
    <row r="40" spans="1:5" x14ac:dyDescent="0.2">
      <c r="A40" s="7" t="s">
        <v>15</v>
      </c>
    </row>
  </sheetData>
  <autoFilter ref="A4:D30" xr:uid="{35287DED-3E29-4973-A69F-B856725BC715}"/>
  <mergeCells count="1">
    <mergeCell ref="F24:H30"/>
  </mergeCells>
  <pageMargins left="0.7" right="0.7" top="0.75" bottom="0.75" header="0.3" footer="0.3"/>
  <pageSetup scale="60" orientation="portrait" r:id="rId1"/>
  <headerFooter>
    <oddHeader>&amp;L&amp;"Arial,Bold"MR-MICCI Benefit-Cost Analysis
&amp;R&amp;"Arial,Bold"&amp;A</oddHeader>
    <oddFooter>&amp;CPage G-&amp;P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C5D9D-8D8A-4615-8F0C-A8E11F3B25B3}">
  <dimension ref="B1:O41"/>
  <sheetViews>
    <sheetView view="pageLayout" topLeftCell="A13" zoomScale="90" zoomScaleNormal="90" zoomScalePageLayoutView="90" workbookViewId="0">
      <selection activeCell="G9" sqref="G9"/>
    </sheetView>
  </sheetViews>
  <sheetFormatPr defaultColWidth="8.7109375" defaultRowHeight="15" x14ac:dyDescent="0.25"/>
  <cols>
    <col min="1" max="1" width="2.42578125" style="16" customWidth="1"/>
    <col min="2" max="2" width="12.42578125" style="16" bestFit="1" customWidth="1"/>
    <col min="3" max="3" width="10.85546875" style="16" bestFit="1" customWidth="1"/>
    <col min="4" max="6" width="12.140625" style="16" bestFit="1" customWidth="1"/>
    <col min="7" max="7" width="8.7109375" style="16"/>
    <col min="8" max="8" width="12.42578125" style="16" bestFit="1" customWidth="1"/>
    <col min="9" max="9" width="10.85546875" style="16" bestFit="1" customWidth="1"/>
    <col min="10" max="10" width="12.140625" style="16" bestFit="1" customWidth="1"/>
    <col min="11" max="11" width="10.85546875" style="16" customWidth="1"/>
    <col min="12" max="12" width="12" style="16" bestFit="1" customWidth="1"/>
    <col min="13" max="13" width="12.140625" style="16" bestFit="1" customWidth="1"/>
    <col min="14" max="14" width="12" style="16" bestFit="1" customWidth="1"/>
    <col min="15" max="15" width="10.85546875" style="16" bestFit="1" customWidth="1"/>
    <col min="16" max="16384" width="8.7109375" style="16"/>
  </cols>
  <sheetData>
    <row r="1" spans="2:15" s="48" customFormat="1" ht="30" x14ac:dyDescent="0.25">
      <c r="I1" s="49" t="s">
        <v>78</v>
      </c>
      <c r="J1" s="50" t="s">
        <v>79</v>
      </c>
      <c r="K1" s="50" t="s">
        <v>80</v>
      </c>
      <c r="L1" s="50" t="s">
        <v>81</v>
      </c>
      <c r="N1" s="51"/>
    </row>
    <row r="2" spans="2:15" x14ac:dyDescent="0.25">
      <c r="I2" s="52" t="s">
        <v>82</v>
      </c>
      <c r="J2" s="53">
        <f>'D - Cost Estimate'!G10</f>
        <v>14233746.629700001</v>
      </c>
      <c r="K2" s="53">
        <f>'D - Cost Estimate'!G11</f>
        <v>8175882.7331999997</v>
      </c>
      <c r="L2" s="53">
        <f>'D - Cost Estimate'!$G$12</f>
        <v>17762263.389000002</v>
      </c>
      <c r="N2" s="54"/>
    </row>
    <row r="3" spans="2:15" x14ac:dyDescent="0.25">
      <c r="I3" s="52" t="s">
        <v>83</v>
      </c>
      <c r="J3" s="55">
        <v>30</v>
      </c>
      <c r="K3" s="55">
        <v>75</v>
      </c>
      <c r="L3" s="54"/>
      <c r="N3" s="54"/>
    </row>
    <row r="4" spans="2:15" x14ac:dyDescent="0.25">
      <c r="I4" s="52" t="s">
        <v>84</v>
      </c>
      <c r="J4" s="56">
        <f>'A - Inputs'!C11</f>
        <v>23</v>
      </c>
      <c r="K4" s="56">
        <f>'A - Inputs'!C11</f>
        <v>23</v>
      </c>
      <c r="L4" s="54"/>
      <c r="N4" s="54"/>
    </row>
    <row r="5" spans="2:15" x14ac:dyDescent="0.25">
      <c r="I5" s="57" t="s">
        <v>85</v>
      </c>
      <c r="J5" s="58">
        <f>1-J4/J3</f>
        <v>0.23333333333333328</v>
      </c>
      <c r="K5" s="58">
        <f>1-K4/K3</f>
        <v>0.69333333333333336</v>
      </c>
      <c r="L5" s="3"/>
      <c r="N5" s="3"/>
    </row>
    <row r="6" spans="2:15" x14ac:dyDescent="0.25">
      <c r="I6" s="57" t="s">
        <v>86</v>
      </c>
      <c r="J6" s="59">
        <f>J2*J5</f>
        <v>3321207.5469299997</v>
      </c>
      <c r="K6" s="59">
        <f>K2*K5</f>
        <v>5668612.0283519998</v>
      </c>
      <c r="L6" s="60">
        <f>L2</f>
        <v>17762263.389000002</v>
      </c>
      <c r="N6" s="3"/>
    </row>
    <row r="8" spans="2:15" s="37" customFormat="1" x14ac:dyDescent="0.25">
      <c r="M8" s="16"/>
      <c r="N8" s="16"/>
      <c r="O8" s="16"/>
    </row>
    <row r="9" spans="2:15" s="37" customFormat="1" x14ac:dyDescent="0.25">
      <c r="B9" s="257" t="s">
        <v>87</v>
      </c>
      <c r="C9" s="258"/>
      <c r="D9" s="258"/>
      <c r="E9" s="258"/>
      <c r="F9" s="259"/>
      <c r="H9" s="257" t="s">
        <v>88</v>
      </c>
      <c r="I9" s="258"/>
      <c r="J9" s="258"/>
      <c r="K9" s="258"/>
      <c r="L9" s="258"/>
      <c r="M9" s="258"/>
      <c r="N9" s="258"/>
      <c r="O9" s="259"/>
    </row>
    <row r="10" spans="2:15" s="12" customFormat="1" ht="60" x14ac:dyDescent="0.25">
      <c r="B10" s="260" t="s">
        <v>40</v>
      </c>
      <c r="C10" s="61" t="s">
        <v>41</v>
      </c>
      <c r="D10" s="27" t="s">
        <v>89</v>
      </c>
      <c r="E10" s="27" t="s">
        <v>19</v>
      </c>
      <c r="F10" s="167" t="s">
        <v>20</v>
      </c>
      <c r="H10" s="260" t="s">
        <v>40</v>
      </c>
      <c r="I10" s="61" t="s">
        <v>41</v>
      </c>
      <c r="J10" s="27" t="s">
        <v>90</v>
      </c>
      <c r="K10" s="27" t="s">
        <v>91</v>
      </c>
      <c r="L10" s="67" t="s">
        <v>81</v>
      </c>
      <c r="M10" s="27" t="s">
        <v>92</v>
      </c>
      <c r="N10" s="27" t="s">
        <v>19</v>
      </c>
      <c r="O10" s="167" t="s">
        <v>20</v>
      </c>
    </row>
    <row r="11" spans="2:15" x14ac:dyDescent="0.25">
      <c r="B11" s="261">
        <f>'A - Inputs'!$C$7</f>
        <v>2021</v>
      </c>
      <c r="C11" s="110">
        <v>0</v>
      </c>
      <c r="D11" s="262">
        <f>IFERROR(VLOOKUP(B11,'D - Cost Estimate'!$F$16:$G$21,2,FALSE),0)</f>
        <v>0</v>
      </c>
      <c r="E11" s="40">
        <f>$D11/(1+0.03)^($B11 - 'A - Inputs'!$C$6)</f>
        <v>0</v>
      </c>
      <c r="F11" s="28">
        <f>$D11/(1+0.07)^($B11-'A - Inputs'!$C$6)</f>
        <v>0</v>
      </c>
      <c r="H11" s="261">
        <f>'A - Inputs'!$C$7</f>
        <v>2021</v>
      </c>
      <c r="I11" s="110">
        <v>0</v>
      </c>
      <c r="J11" s="40">
        <f>IF(H11=('A - Inputs'!$C$7+'A - Inputs'!$C$11),'E - Construction &amp; Residual'!J$6,0)</f>
        <v>0</v>
      </c>
      <c r="K11" s="40">
        <f>IF(H11=('A - Inputs'!$C$7+'A - Inputs'!$C$11),'E - Construction &amp; Residual'!K$6,0)</f>
        <v>0</v>
      </c>
      <c r="L11" s="28">
        <f>IF(H11=('A - Inputs'!$C$7+'A - Inputs'!$C$11),'E - Construction &amp; Residual'!L$6,0)</f>
        <v>0</v>
      </c>
      <c r="M11" s="40">
        <f>SUM(J11:L11)</f>
        <v>0</v>
      </c>
      <c r="N11" s="40">
        <v>0</v>
      </c>
      <c r="O11" s="28">
        <v>0</v>
      </c>
    </row>
    <row r="12" spans="2:15" x14ac:dyDescent="0.25">
      <c r="B12" s="263">
        <f>B11+1</f>
        <v>2022</v>
      </c>
      <c r="C12" s="110">
        <f>C11+1</f>
        <v>1</v>
      </c>
      <c r="D12" s="262">
        <f>IFERROR(VLOOKUP(B12,'D - Cost Estimate'!$F$16:$G$21,2,FALSE),0)</f>
        <v>0</v>
      </c>
      <c r="E12" s="40">
        <f>$D12/(1+0.03)^($B12 - 'A - Inputs'!$C$6)</f>
        <v>0</v>
      </c>
      <c r="F12" s="28">
        <f>$D12/(1+0.07)^($B12-'A - Inputs'!$C$6)</f>
        <v>0</v>
      </c>
      <c r="H12" s="263">
        <f>H11+1</f>
        <v>2022</v>
      </c>
      <c r="I12" s="110">
        <f>I11+1</f>
        <v>1</v>
      </c>
      <c r="J12" s="40">
        <f>IF(H12=('A - Inputs'!$C$7+'A - Inputs'!$C$11),'E - Construction &amp; Residual'!J$6,0)</f>
        <v>0</v>
      </c>
      <c r="K12" s="40">
        <f>IF(H12=('A - Inputs'!$C$7+'A - Inputs'!$C$11),'E - Construction &amp; Residual'!K$6,0)</f>
        <v>0</v>
      </c>
      <c r="L12" s="28">
        <f>IF(H12=('A - Inputs'!$C$7+'A - Inputs'!$C$11),'E - Construction &amp; Residual'!L$6,0)</f>
        <v>0</v>
      </c>
      <c r="M12" s="40">
        <f t="shared" ref="M12:M39" si="0">SUM(J12:L12)</f>
        <v>0</v>
      </c>
      <c r="N12" s="40">
        <f>$M12/(1+0.03)^($B12-'A - Inputs'!$C$6)</f>
        <v>0</v>
      </c>
      <c r="O12" s="28">
        <f>$M12/(1+0.07)^($B12-'A - Inputs'!$C$6)</f>
        <v>0</v>
      </c>
    </row>
    <row r="13" spans="2:15" x14ac:dyDescent="0.25">
      <c r="B13" s="263">
        <f t="shared" ref="B13:B35" si="1">B12+1</f>
        <v>2023</v>
      </c>
      <c r="C13" s="110">
        <f t="shared" ref="C13:C35" si="2">C12+1</f>
        <v>2</v>
      </c>
      <c r="D13" s="262">
        <f>IFERROR(VLOOKUP(B13,'D - Cost Estimate'!$F$16:$G$21,2,FALSE),0)</f>
        <v>0</v>
      </c>
      <c r="E13" s="40">
        <f>$D13/(1+0.03)^($B13 - 'A - Inputs'!$C$6)</f>
        <v>0</v>
      </c>
      <c r="F13" s="28">
        <f>$D13/(1+0.07)^($B13-'A - Inputs'!$C$6)</f>
        <v>0</v>
      </c>
      <c r="H13" s="263">
        <f t="shared" ref="H13:H40" si="3">H12+1</f>
        <v>2023</v>
      </c>
      <c r="I13" s="110">
        <f t="shared" ref="I13:I40" si="4">I12+1</f>
        <v>2</v>
      </c>
      <c r="J13" s="40">
        <f>IF(H13=('A - Inputs'!$C$7+'A - Inputs'!$C$11),'E - Construction &amp; Residual'!J$6,0)</f>
        <v>0</v>
      </c>
      <c r="K13" s="40">
        <f>IF(H13=('A - Inputs'!$C$7+'A - Inputs'!$C$11),'E - Construction &amp; Residual'!K$6,0)</f>
        <v>0</v>
      </c>
      <c r="L13" s="28">
        <f>IF(H13=('A - Inputs'!$C$7+'A - Inputs'!$C$11),'E - Construction &amp; Residual'!L$6,0)</f>
        <v>0</v>
      </c>
      <c r="M13" s="40">
        <f t="shared" si="0"/>
        <v>0</v>
      </c>
      <c r="N13" s="40">
        <f>$M13/(1+0.03)^($B13-'A - Inputs'!$C$6)</f>
        <v>0</v>
      </c>
      <c r="O13" s="28">
        <f>$M13/(1+0.07)^($B13-'A - Inputs'!$C$6)</f>
        <v>0</v>
      </c>
    </row>
    <row r="14" spans="2:15" x14ac:dyDescent="0.25">
      <c r="B14" s="263">
        <f t="shared" si="1"/>
        <v>2024</v>
      </c>
      <c r="C14" s="110">
        <f t="shared" si="2"/>
        <v>3</v>
      </c>
      <c r="D14" s="262">
        <f>IFERROR(VLOOKUP(B14,'D - Cost Estimate'!$F$16:$G$21,2,FALSE),0)</f>
        <v>2394613.0581750004</v>
      </c>
      <c r="E14" s="40">
        <f>$D14/(1+0.03)^($B14 - 'A - Inputs'!$C$6)</f>
        <v>2065614.2591827826</v>
      </c>
      <c r="F14" s="28">
        <f>$D14/(1+0.07)^($B14-'A - Inputs'!$C$6)</f>
        <v>1707326.0156898969</v>
      </c>
      <c r="H14" s="263">
        <f t="shared" si="3"/>
        <v>2024</v>
      </c>
      <c r="I14" s="110">
        <f t="shared" si="4"/>
        <v>3</v>
      </c>
      <c r="J14" s="40">
        <f>IF(H14=('A - Inputs'!$C$7+'A - Inputs'!$C$11),'E - Construction &amp; Residual'!J$6,0)</f>
        <v>0</v>
      </c>
      <c r="K14" s="40">
        <f>IF(H14=('A - Inputs'!$C$7+'A - Inputs'!$C$11),'E - Construction &amp; Residual'!K$6,0)</f>
        <v>0</v>
      </c>
      <c r="L14" s="28">
        <f>IF(H14=('A - Inputs'!$C$7+'A - Inputs'!$C$11),'E - Construction &amp; Residual'!L$6,0)</f>
        <v>0</v>
      </c>
      <c r="M14" s="40">
        <f t="shared" si="0"/>
        <v>0</v>
      </c>
      <c r="N14" s="40">
        <f>$M14/(1+0.03)^($B14-'A - Inputs'!$C$6)</f>
        <v>0</v>
      </c>
      <c r="O14" s="28">
        <f>$M14/(1+0.07)^($B14-'A - Inputs'!$C$6)</f>
        <v>0</v>
      </c>
    </row>
    <row r="15" spans="2:15" x14ac:dyDescent="0.25">
      <c r="B15" s="263">
        <f t="shared" si="1"/>
        <v>2025</v>
      </c>
      <c r="C15" s="110">
        <f t="shared" si="2"/>
        <v>4</v>
      </c>
      <c r="D15" s="262">
        <f>IFERROR(VLOOKUP(B15,'D - Cost Estimate'!$F$16:$G$21,2,FALSE),0)</f>
        <v>9578452.2327000014</v>
      </c>
      <c r="E15" s="40">
        <f>$D15/(1+0.03)^($B15 - 'A - Inputs'!$C$6)</f>
        <v>8021802.9482826507</v>
      </c>
      <c r="F15" s="28">
        <f>$D15/(1+0.07)^($B15-'A - Inputs'!$C$6)</f>
        <v>6382527.1614575582</v>
      </c>
      <c r="H15" s="263">
        <f t="shared" si="3"/>
        <v>2025</v>
      </c>
      <c r="I15" s="110">
        <f t="shared" si="4"/>
        <v>4</v>
      </c>
      <c r="J15" s="40">
        <f>IF(H15=('A - Inputs'!$C$7+'A - Inputs'!$C$11),'E - Construction &amp; Residual'!J$6,0)</f>
        <v>0</v>
      </c>
      <c r="K15" s="40">
        <f>IF(H15=('A - Inputs'!$C$7+'A - Inputs'!$C$11),'E - Construction &amp; Residual'!K$6,0)</f>
        <v>0</v>
      </c>
      <c r="L15" s="28">
        <f>IF(H15=('A - Inputs'!$C$7+'A - Inputs'!$C$11),'E - Construction &amp; Residual'!L$6,0)</f>
        <v>0</v>
      </c>
      <c r="M15" s="40">
        <f t="shared" si="0"/>
        <v>0</v>
      </c>
      <c r="N15" s="40">
        <f>$M15/(1+0.03)^($B15-'A - Inputs'!$C$6)</f>
        <v>0</v>
      </c>
      <c r="O15" s="28">
        <f>$M15/(1+0.07)^($B15-'A - Inputs'!$C$6)</f>
        <v>0</v>
      </c>
    </row>
    <row r="16" spans="2:15" x14ac:dyDescent="0.25">
      <c r="B16" s="263">
        <f t="shared" si="1"/>
        <v>2026</v>
      </c>
      <c r="C16" s="110">
        <f t="shared" si="2"/>
        <v>5</v>
      </c>
      <c r="D16" s="262">
        <f>IFERROR(VLOOKUP(B16,'D - Cost Estimate'!$F$16:$G$21,2,FALSE),0)</f>
        <v>14367678.34905</v>
      </c>
      <c r="E16" s="40">
        <f>$D16/(1+0.03)^($B16 - 'A - Inputs'!$C$6)</f>
        <v>11682237.303324247</v>
      </c>
      <c r="F16" s="28">
        <f>$D16/(1+0.07)^($B16-'A - Inputs'!$C$6)</f>
        <v>8947467.9833517149</v>
      </c>
      <c r="H16" s="263">
        <f t="shared" si="3"/>
        <v>2026</v>
      </c>
      <c r="I16" s="110">
        <f t="shared" si="4"/>
        <v>5</v>
      </c>
      <c r="J16" s="40">
        <f>IF(H16=('A - Inputs'!$C$7+'A - Inputs'!$C$11),'E - Construction &amp; Residual'!J$6,0)</f>
        <v>0</v>
      </c>
      <c r="K16" s="40">
        <f>IF(H16=('A - Inputs'!$C$7+'A - Inputs'!$C$11),'E - Construction &amp; Residual'!K$6,0)</f>
        <v>0</v>
      </c>
      <c r="L16" s="28">
        <f>IF(H16=('A - Inputs'!$C$7+'A - Inputs'!$C$11),'E - Construction &amp; Residual'!L$6,0)</f>
        <v>0</v>
      </c>
      <c r="M16" s="40">
        <f t="shared" si="0"/>
        <v>0</v>
      </c>
      <c r="N16" s="40">
        <f>$M16/(1+0.03)^($B16-'A - Inputs'!$C$6)</f>
        <v>0</v>
      </c>
      <c r="O16" s="28">
        <f>$M16/(1+0.07)^($B16-'A - Inputs'!$C$6)</f>
        <v>0</v>
      </c>
    </row>
    <row r="17" spans="2:15" x14ac:dyDescent="0.25">
      <c r="B17" s="263">
        <f t="shared" si="1"/>
        <v>2027</v>
      </c>
      <c r="C17" s="110">
        <f t="shared" si="2"/>
        <v>6</v>
      </c>
      <c r="D17" s="262">
        <f>IFERROR(VLOOKUP(B17,'D - Cost Estimate'!$F$16:$G$21,2,FALSE),0)</f>
        <v>16762291.407225</v>
      </c>
      <c r="E17" s="40">
        <f>$D17/(1+0.03)^($B17 - 'A - Inputs'!$C$6)</f>
        <v>13232307.625124551</v>
      </c>
      <c r="F17" s="28">
        <f>$D17/(1+0.07)^($B17-'A - Inputs'!$C$6)</f>
        <v>9755806.2123772595</v>
      </c>
      <c r="H17" s="263">
        <f t="shared" si="3"/>
        <v>2027</v>
      </c>
      <c r="I17" s="110">
        <f t="shared" si="4"/>
        <v>6</v>
      </c>
      <c r="J17" s="40">
        <f>IF(H17=('A - Inputs'!$C$7+'A - Inputs'!$C$11),'E - Construction &amp; Residual'!J$6,0)</f>
        <v>0</v>
      </c>
      <c r="K17" s="40">
        <f>IF(H17=('A - Inputs'!$C$7+'A - Inputs'!$C$11),'E - Construction &amp; Residual'!K$6,0)</f>
        <v>0</v>
      </c>
      <c r="L17" s="28">
        <f>IF(H17=('A - Inputs'!$C$7+'A - Inputs'!$C$11),'E - Construction &amp; Residual'!L$6,0)</f>
        <v>0</v>
      </c>
      <c r="M17" s="40">
        <f t="shared" si="0"/>
        <v>0</v>
      </c>
      <c r="N17" s="40">
        <f>$M17/(1+0.03)^($B17-'A - Inputs'!$C$6)</f>
        <v>0</v>
      </c>
      <c r="O17" s="28">
        <f>$M17/(1+0.07)^($B17-'A - Inputs'!$C$6)</f>
        <v>0</v>
      </c>
    </row>
    <row r="18" spans="2:15" x14ac:dyDescent="0.25">
      <c r="B18" s="263">
        <f t="shared" si="1"/>
        <v>2028</v>
      </c>
      <c r="C18" s="110">
        <f t="shared" si="2"/>
        <v>7</v>
      </c>
      <c r="D18" s="262">
        <f>IFERROR(VLOOKUP(B18,'D - Cost Estimate'!$F$16:$G$21,2,FALSE),0)</f>
        <v>4789226.1163500007</v>
      </c>
      <c r="E18" s="40">
        <f>$D18/(1+0.03)^($B18 - 'A - Inputs'!$C$6)</f>
        <v>3670543.0305477264</v>
      </c>
      <c r="F18" s="28">
        <f>$D18/(1+0.07)^($B18-'A - Inputs'!$C$6)</f>
        <v>2605021.685548</v>
      </c>
      <c r="H18" s="263">
        <f t="shared" si="3"/>
        <v>2028</v>
      </c>
      <c r="I18" s="110">
        <f t="shared" si="4"/>
        <v>7</v>
      </c>
      <c r="J18" s="40">
        <f>IF(H18=('A - Inputs'!$C$7+'A - Inputs'!$C$11),'E - Construction &amp; Residual'!J$6,0)</f>
        <v>0</v>
      </c>
      <c r="K18" s="40">
        <f>IF(H18=('A - Inputs'!$C$7+'A - Inputs'!$C$11),'E - Construction &amp; Residual'!K$6,0)</f>
        <v>0</v>
      </c>
      <c r="L18" s="28">
        <f>IF(H18=('A - Inputs'!$C$7+'A - Inputs'!$C$11),'E - Construction &amp; Residual'!L$6,0)</f>
        <v>0</v>
      </c>
      <c r="M18" s="40">
        <f t="shared" si="0"/>
        <v>0</v>
      </c>
      <c r="N18" s="40">
        <f>$M18/(1+0.03)^($B18-'A - Inputs'!$C$6)</f>
        <v>0</v>
      </c>
      <c r="O18" s="28">
        <f>$M18/(1+0.07)^($B18-'A - Inputs'!$C$6)</f>
        <v>0</v>
      </c>
    </row>
    <row r="19" spans="2:15" x14ac:dyDescent="0.25">
      <c r="B19" s="263">
        <f t="shared" si="1"/>
        <v>2029</v>
      </c>
      <c r="C19" s="110">
        <f t="shared" si="2"/>
        <v>8</v>
      </c>
      <c r="D19" s="262">
        <f>IFERROR(VLOOKUP(B19,'D - Cost Estimate'!$F$16:$G$21,2,FALSE),0)</f>
        <v>0</v>
      </c>
      <c r="E19" s="40">
        <f>$D19/(1+0.03)^($B19 - 'A - Inputs'!$C$6)</f>
        <v>0</v>
      </c>
      <c r="F19" s="28">
        <f>$D19/(1+0.07)^($B19-'A - Inputs'!$C$6)</f>
        <v>0</v>
      </c>
      <c r="H19" s="263">
        <f t="shared" si="3"/>
        <v>2029</v>
      </c>
      <c r="I19" s="110">
        <f t="shared" si="4"/>
        <v>8</v>
      </c>
      <c r="J19" s="40">
        <f>IF(H19=('A - Inputs'!$C$7+'A - Inputs'!$C$11),'E - Construction &amp; Residual'!J$6,0)</f>
        <v>0</v>
      </c>
      <c r="K19" s="40">
        <f>IF(H19=('A - Inputs'!$C$7+'A - Inputs'!$C$11),'E - Construction &amp; Residual'!K$6,0)</f>
        <v>0</v>
      </c>
      <c r="L19" s="28">
        <f>IF(H19=('A - Inputs'!$C$7+'A - Inputs'!$C$11),'E - Construction &amp; Residual'!L$6,0)</f>
        <v>0</v>
      </c>
      <c r="M19" s="40">
        <f t="shared" si="0"/>
        <v>0</v>
      </c>
      <c r="N19" s="40">
        <f>$M19/(1+0.03)^($B19-'A - Inputs'!$C$6)</f>
        <v>0</v>
      </c>
      <c r="O19" s="28">
        <f>$M19/(1+0.07)^($B19-'A - Inputs'!$C$6)</f>
        <v>0</v>
      </c>
    </row>
    <row r="20" spans="2:15" x14ac:dyDescent="0.25">
      <c r="B20" s="263">
        <f t="shared" si="1"/>
        <v>2030</v>
      </c>
      <c r="C20" s="110">
        <f t="shared" si="2"/>
        <v>9</v>
      </c>
      <c r="D20" s="262">
        <f>IFERROR(VLOOKUP(B20,'D - Cost Estimate'!$F$16:$G$21,2,FALSE),0)</f>
        <v>0</v>
      </c>
      <c r="E20" s="40">
        <f>$D20/(1+0.03)^($B20 - 'A - Inputs'!$C$6)</f>
        <v>0</v>
      </c>
      <c r="F20" s="28">
        <f>$D20/(1+0.07)^($B20-'A - Inputs'!$C$6)</f>
        <v>0</v>
      </c>
      <c r="H20" s="263">
        <f t="shared" si="3"/>
        <v>2030</v>
      </c>
      <c r="I20" s="110">
        <f t="shared" si="4"/>
        <v>9</v>
      </c>
      <c r="J20" s="40">
        <f>IF(H20=('A - Inputs'!$C$7+'A - Inputs'!$C$11),'E - Construction &amp; Residual'!J$6,0)</f>
        <v>0</v>
      </c>
      <c r="K20" s="40">
        <f>IF(H20=('A - Inputs'!$C$7+'A - Inputs'!$C$11),'E - Construction &amp; Residual'!K$6,0)</f>
        <v>0</v>
      </c>
      <c r="L20" s="28">
        <f>IF(H20=('A - Inputs'!$C$7+'A - Inputs'!$C$11),'E - Construction &amp; Residual'!L$6,0)</f>
        <v>0</v>
      </c>
      <c r="M20" s="40">
        <f t="shared" si="0"/>
        <v>0</v>
      </c>
      <c r="N20" s="40">
        <f>$M20/(1+0.03)^($B20-'A - Inputs'!$C$6)</f>
        <v>0</v>
      </c>
      <c r="O20" s="28">
        <f>$M20/(1+0.07)^($B20-'A - Inputs'!$C$6)</f>
        <v>0</v>
      </c>
    </row>
    <row r="21" spans="2:15" x14ac:dyDescent="0.25">
      <c r="B21" s="263">
        <f t="shared" si="1"/>
        <v>2031</v>
      </c>
      <c r="C21" s="110">
        <f t="shared" si="2"/>
        <v>10</v>
      </c>
      <c r="D21" s="262">
        <f>IFERROR(VLOOKUP(B21,'D - Cost Estimate'!$F$16:$G$21,2,FALSE),0)</f>
        <v>0</v>
      </c>
      <c r="E21" s="40">
        <f>$D21/(1+0.03)^($B21 - 'A - Inputs'!$C$6)</f>
        <v>0</v>
      </c>
      <c r="F21" s="28">
        <f>$D21/(1+0.07)^($B21-'A - Inputs'!$C$6)</f>
        <v>0</v>
      </c>
      <c r="H21" s="263">
        <f t="shared" si="3"/>
        <v>2031</v>
      </c>
      <c r="I21" s="110">
        <f t="shared" si="4"/>
        <v>10</v>
      </c>
      <c r="J21" s="40">
        <f>IF(H21=('A - Inputs'!$C$7+'A - Inputs'!$C$11),'E - Construction &amp; Residual'!J$6,0)</f>
        <v>0</v>
      </c>
      <c r="K21" s="40">
        <f>IF(H21=('A - Inputs'!$C$7+'A - Inputs'!$C$11),'E - Construction &amp; Residual'!K$6,0)</f>
        <v>0</v>
      </c>
      <c r="L21" s="28">
        <f>IF(H21=('A - Inputs'!$C$7+'A - Inputs'!$C$11),'E - Construction &amp; Residual'!L$6,0)</f>
        <v>0</v>
      </c>
      <c r="M21" s="40">
        <f t="shared" si="0"/>
        <v>0</v>
      </c>
      <c r="N21" s="40">
        <f>$M21/(1+0.03)^($B21-'A - Inputs'!$C$6)</f>
        <v>0</v>
      </c>
      <c r="O21" s="28">
        <f>$M21/(1+0.07)^($B21-'A - Inputs'!$C$6)</f>
        <v>0</v>
      </c>
    </row>
    <row r="22" spans="2:15" x14ac:dyDescent="0.25">
      <c r="B22" s="263">
        <f t="shared" si="1"/>
        <v>2032</v>
      </c>
      <c r="C22" s="110">
        <f t="shared" si="2"/>
        <v>11</v>
      </c>
      <c r="D22" s="262">
        <f>IFERROR(VLOOKUP(B22,'D - Cost Estimate'!$F$16:$G$21,2,FALSE),0)</f>
        <v>0</v>
      </c>
      <c r="E22" s="40">
        <f>$D22/(1+0.03)^($B22 - 'A - Inputs'!$C$6)</f>
        <v>0</v>
      </c>
      <c r="F22" s="28">
        <f>$D22/(1+0.07)^($B22-'A - Inputs'!$C$6)</f>
        <v>0</v>
      </c>
      <c r="H22" s="263">
        <f t="shared" si="3"/>
        <v>2032</v>
      </c>
      <c r="I22" s="110">
        <f t="shared" si="4"/>
        <v>11</v>
      </c>
      <c r="J22" s="40">
        <f>IF(H22=('A - Inputs'!$C$7+'A - Inputs'!$C$11),'E - Construction &amp; Residual'!J$6,0)</f>
        <v>0</v>
      </c>
      <c r="K22" s="40">
        <f>IF(H22=('A - Inputs'!$C$7+'A - Inputs'!$C$11),'E - Construction &amp; Residual'!K$6,0)</f>
        <v>0</v>
      </c>
      <c r="L22" s="28">
        <f>IF(H22=('A - Inputs'!$C$7+'A - Inputs'!$C$11),'E - Construction &amp; Residual'!L$6,0)</f>
        <v>0</v>
      </c>
      <c r="M22" s="40">
        <f t="shared" si="0"/>
        <v>0</v>
      </c>
      <c r="N22" s="40">
        <f>$M22/(1+0.03)^($B22-'A - Inputs'!$C$6)</f>
        <v>0</v>
      </c>
      <c r="O22" s="28">
        <f>$M22/(1+0.07)^($B22-'A - Inputs'!$C$6)</f>
        <v>0</v>
      </c>
    </row>
    <row r="23" spans="2:15" x14ac:dyDescent="0.25">
      <c r="B23" s="263">
        <f t="shared" si="1"/>
        <v>2033</v>
      </c>
      <c r="C23" s="110">
        <f t="shared" si="2"/>
        <v>12</v>
      </c>
      <c r="D23" s="262">
        <f>IFERROR(VLOOKUP(B23,'D - Cost Estimate'!$F$16:$G$21,2,FALSE),0)</f>
        <v>0</v>
      </c>
      <c r="E23" s="40">
        <f>$D23/(1+0.03)^($B23 - 'A - Inputs'!$C$6)</f>
        <v>0</v>
      </c>
      <c r="F23" s="28">
        <f>$D23/(1+0.07)^($B23-'A - Inputs'!$C$6)</f>
        <v>0</v>
      </c>
      <c r="H23" s="263">
        <f t="shared" si="3"/>
        <v>2033</v>
      </c>
      <c r="I23" s="110">
        <f t="shared" si="4"/>
        <v>12</v>
      </c>
      <c r="J23" s="40">
        <f>IF(H23=('A - Inputs'!$C$7+'A - Inputs'!$C$11),'E - Construction &amp; Residual'!J$6,0)</f>
        <v>0</v>
      </c>
      <c r="K23" s="40">
        <f>IF(H23=('A - Inputs'!$C$7+'A - Inputs'!$C$11),'E - Construction &amp; Residual'!K$6,0)</f>
        <v>0</v>
      </c>
      <c r="L23" s="28">
        <f>IF(H23=('A - Inputs'!$C$7+'A - Inputs'!$C$11),'E - Construction &amp; Residual'!L$6,0)</f>
        <v>0</v>
      </c>
      <c r="M23" s="40">
        <f t="shared" si="0"/>
        <v>0</v>
      </c>
      <c r="N23" s="40">
        <f>$M23/(1+0.03)^($B23-'A - Inputs'!$C$6)</f>
        <v>0</v>
      </c>
      <c r="O23" s="28">
        <f>$M23/(1+0.07)^($B23-'A - Inputs'!$C$6)</f>
        <v>0</v>
      </c>
    </row>
    <row r="24" spans="2:15" x14ac:dyDescent="0.25">
      <c r="B24" s="263">
        <f t="shared" si="1"/>
        <v>2034</v>
      </c>
      <c r="C24" s="110">
        <f t="shared" si="2"/>
        <v>13</v>
      </c>
      <c r="D24" s="262">
        <f>IFERROR(VLOOKUP(B24,'D - Cost Estimate'!$F$16:$G$21,2,FALSE),0)</f>
        <v>0</v>
      </c>
      <c r="E24" s="40">
        <f>$D24/(1+0.03)^($B24 - 'A - Inputs'!$C$6)</f>
        <v>0</v>
      </c>
      <c r="F24" s="28">
        <f>$D24/(1+0.07)^($B24-'A - Inputs'!$C$6)</f>
        <v>0</v>
      </c>
      <c r="H24" s="263">
        <f t="shared" si="3"/>
        <v>2034</v>
      </c>
      <c r="I24" s="110">
        <f t="shared" si="4"/>
        <v>13</v>
      </c>
      <c r="J24" s="40">
        <f>IF(H24=('A - Inputs'!$C$7+'A - Inputs'!$C$11),'E - Construction &amp; Residual'!J$6,0)</f>
        <v>0</v>
      </c>
      <c r="K24" s="40">
        <f>IF(H24=('A - Inputs'!$C$7+'A - Inputs'!$C$11),'E - Construction &amp; Residual'!K$6,0)</f>
        <v>0</v>
      </c>
      <c r="L24" s="28">
        <f>IF(H24=('A - Inputs'!$C$7+'A - Inputs'!$C$11),'E - Construction &amp; Residual'!L$6,0)</f>
        <v>0</v>
      </c>
      <c r="M24" s="40">
        <f t="shared" si="0"/>
        <v>0</v>
      </c>
      <c r="N24" s="40">
        <f>$M24/(1+0.03)^($B24-'A - Inputs'!$C$6)</f>
        <v>0</v>
      </c>
      <c r="O24" s="28">
        <f>$M24/(1+0.07)^($B24-'A - Inputs'!$C$6)</f>
        <v>0</v>
      </c>
    </row>
    <row r="25" spans="2:15" x14ac:dyDescent="0.25">
      <c r="B25" s="263">
        <f t="shared" si="1"/>
        <v>2035</v>
      </c>
      <c r="C25" s="110">
        <f t="shared" si="2"/>
        <v>14</v>
      </c>
      <c r="D25" s="262">
        <f>IFERROR(VLOOKUP(B25,'D - Cost Estimate'!$F$16:$G$21,2,FALSE),0)</f>
        <v>0</v>
      </c>
      <c r="E25" s="40">
        <f>$D25/(1+0.03)^($B25 - 'A - Inputs'!$C$6)</f>
        <v>0</v>
      </c>
      <c r="F25" s="28">
        <f>$D25/(1+0.07)^($B25-'A - Inputs'!$C$6)</f>
        <v>0</v>
      </c>
      <c r="H25" s="263">
        <f t="shared" si="3"/>
        <v>2035</v>
      </c>
      <c r="I25" s="110">
        <f t="shared" si="4"/>
        <v>14</v>
      </c>
      <c r="J25" s="40">
        <f>IF(H25=('A - Inputs'!$C$7+'A - Inputs'!$C$11),'E - Construction &amp; Residual'!J$6,0)</f>
        <v>0</v>
      </c>
      <c r="K25" s="40">
        <f>IF(H25=('A - Inputs'!$C$7+'A - Inputs'!$C$11),'E - Construction &amp; Residual'!K$6,0)</f>
        <v>0</v>
      </c>
      <c r="L25" s="28">
        <f>IF(H25=('A - Inputs'!$C$7+'A - Inputs'!$C$11),'E - Construction &amp; Residual'!L$6,0)</f>
        <v>0</v>
      </c>
      <c r="M25" s="40">
        <f t="shared" si="0"/>
        <v>0</v>
      </c>
      <c r="N25" s="40">
        <f>$M25/(1+0.03)^($B25-'A - Inputs'!$C$6)</f>
        <v>0</v>
      </c>
      <c r="O25" s="28">
        <f>$M25/(1+0.07)^($B25-'A - Inputs'!$C$6)</f>
        <v>0</v>
      </c>
    </row>
    <row r="26" spans="2:15" x14ac:dyDescent="0.25">
      <c r="B26" s="263">
        <f t="shared" si="1"/>
        <v>2036</v>
      </c>
      <c r="C26" s="110">
        <f t="shared" si="2"/>
        <v>15</v>
      </c>
      <c r="D26" s="262">
        <f>IFERROR(VLOOKUP(B26,'D - Cost Estimate'!$F$16:$G$21,2,FALSE),0)</f>
        <v>0</v>
      </c>
      <c r="E26" s="40">
        <f>$D26/(1+0.03)^($B26 - 'A - Inputs'!$C$6)</f>
        <v>0</v>
      </c>
      <c r="F26" s="28">
        <f>$D26/(1+0.07)^($B26-'A - Inputs'!$C$6)</f>
        <v>0</v>
      </c>
      <c r="H26" s="263">
        <f t="shared" si="3"/>
        <v>2036</v>
      </c>
      <c r="I26" s="110">
        <f t="shared" si="4"/>
        <v>15</v>
      </c>
      <c r="J26" s="40">
        <f>IF(H26=('A - Inputs'!$C$7+'A - Inputs'!$C$11),'E - Construction &amp; Residual'!J$6,0)</f>
        <v>0</v>
      </c>
      <c r="K26" s="40">
        <f>IF(H26=('A - Inputs'!$C$7+'A - Inputs'!$C$11),'E - Construction &amp; Residual'!K$6,0)</f>
        <v>0</v>
      </c>
      <c r="L26" s="28">
        <f>IF(H26=('A - Inputs'!$C$7+'A - Inputs'!$C$11),'E - Construction &amp; Residual'!L$6,0)</f>
        <v>0</v>
      </c>
      <c r="M26" s="40">
        <f t="shared" si="0"/>
        <v>0</v>
      </c>
      <c r="N26" s="40">
        <f>$M26/(1+0.03)^($B26-'A - Inputs'!$C$6)</f>
        <v>0</v>
      </c>
      <c r="O26" s="28">
        <f>$M26/(1+0.07)^($B26-'A - Inputs'!$C$6)</f>
        <v>0</v>
      </c>
    </row>
    <row r="27" spans="2:15" x14ac:dyDescent="0.25">
      <c r="B27" s="263">
        <f t="shared" si="1"/>
        <v>2037</v>
      </c>
      <c r="C27" s="110">
        <f t="shared" si="2"/>
        <v>16</v>
      </c>
      <c r="D27" s="262">
        <f>IFERROR(VLOOKUP(B27,'D - Cost Estimate'!$F$16:$G$21,2,FALSE),0)</f>
        <v>0</v>
      </c>
      <c r="E27" s="40">
        <f>$D27/(1+0.03)^($B27 - 'A - Inputs'!$C$6)</f>
        <v>0</v>
      </c>
      <c r="F27" s="28">
        <f>$D27/(1+0.07)^($B27-'A - Inputs'!$C$6)</f>
        <v>0</v>
      </c>
      <c r="H27" s="263">
        <f t="shared" si="3"/>
        <v>2037</v>
      </c>
      <c r="I27" s="110">
        <f t="shared" si="4"/>
        <v>16</v>
      </c>
      <c r="J27" s="40">
        <f>IF(H27=('A - Inputs'!$C$7+'A - Inputs'!$C$11),'E - Construction &amp; Residual'!J$6,0)</f>
        <v>0</v>
      </c>
      <c r="K27" s="40">
        <f>IF(H27=('A - Inputs'!$C$7+'A - Inputs'!$C$11),'E - Construction &amp; Residual'!K$6,0)</f>
        <v>0</v>
      </c>
      <c r="L27" s="28">
        <f>IF(H27=('A - Inputs'!$C$7+'A - Inputs'!$C$11),'E - Construction &amp; Residual'!L$6,0)</f>
        <v>0</v>
      </c>
      <c r="M27" s="40">
        <f t="shared" si="0"/>
        <v>0</v>
      </c>
      <c r="N27" s="40">
        <f>$M27/(1+0.03)^($B27-'A - Inputs'!$C$6)</f>
        <v>0</v>
      </c>
      <c r="O27" s="28">
        <f>$M27/(1+0.07)^($B27-'A - Inputs'!$C$6)</f>
        <v>0</v>
      </c>
    </row>
    <row r="28" spans="2:15" x14ac:dyDescent="0.25">
      <c r="B28" s="263">
        <f t="shared" si="1"/>
        <v>2038</v>
      </c>
      <c r="C28" s="110">
        <f t="shared" si="2"/>
        <v>17</v>
      </c>
      <c r="D28" s="262">
        <f>IFERROR(VLOOKUP(B28,'D - Cost Estimate'!$F$16:$G$21,2,FALSE),0)</f>
        <v>0</v>
      </c>
      <c r="E28" s="40">
        <f>$D28/(1+0.03)^($B28 - 'A - Inputs'!$C$6)</f>
        <v>0</v>
      </c>
      <c r="F28" s="28">
        <f>$D28/(1+0.07)^($B28-'A - Inputs'!$C$6)</f>
        <v>0</v>
      </c>
      <c r="H28" s="263">
        <f t="shared" si="3"/>
        <v>2038</v>
      </c>
      <c r="I28" s="110">
        <f t="shared" si="4"/>
        <v>17</v>
      </c>
      <c r="J28" s="40">
        <f>IF(H28=('A - Inputs'!$C$7+'A - Inputs'!$C$11),'E - Construction &amp; Residual'!J$6,0)</f>
        <v>0</v>
      </c>
      <c r="K28" s="40">
        <f>IF(H28=('A - Inputs'!$C$7+'A - Inputs'!$C$11),'E - Construction &amp; Residual'!K$6,0)</f>
        <v>0</v>
      </c>
      <c r="L28" s="28">
        <f>IF(H28=('A - Inputs'!$C$7+'A - Inputs'!$C$11),'E - Construction &amp; Residual'!L$6,0)</f>
        <v>0</v>
      </c>
      <c r="M28" s="40">
        <f t="shared" si="0"/>
        <v>0</v>
      </c>
      <c r="N28" s="40">
        <f>$M28/(1+0.03)^($B28-'A - Inputs'!$C$6)</f>
        <v>0</v>
      </c>
      <c r="O28" s="28">
        <f>$M28/(1+0.07)^($B28-'A - Inputs'!$C$6)</f>
        <v>0</v>
      </c>
    </row>
    <row r="29" spans="2:15" x14ac:dyDescent="0.25">
      <c r="B29" s="263">
        <f t="shared" si="1"/>
        <v>2039</v>
      </c>
      <c r="C29" s="110">
        <f t="shared" si="2"/>
        <v>18</v>
      </c>
      <c r="D29" s="262">
        <f>IFERROR(VLOOKUP(B29,'D - Cost Estimate'!$F$16:$G$21,2,FALSE),0)</f>
        <v>0</v>
      </c>
      <c r="E29" s="40">
        <f>$D29/(1+0.03)^($B29 - 'A - Inputs'!$C$6)</f>
        <v>0</v>
      </c>
      <c r="F29" s="28">
        <f>$D29/(1+0.07)^($B29-'A - Inputs'!$C$6)</f>
        <v>0</v>
      </c>
      <c r="H29" s="263">
        <f t="shared" si="3"/>
        <v>2039</v>
      </c>
      <c r="I29" s="110">
        <f t="shared" si="4"/>
        <v>18</v>
      </c>
      <c r="J29" s="40">
        <f>IF(H29=('A - Inputs'!$C$7+'A - Inputs'!$C$11),'E - Construction &amp; Residual'!J$6,0)</f>
        <v>0</v>
      </c>
      <c r="K29" s="40">
        <f>IF(H29=('A - Inputs'!$C$7+'A - Inputs'!$C$11),'E - Construction &amp; Residual'!K$6,0)</f>
        <v>0</v>
      </c>
      <c r="L29" s="28">
        <f>IF(H29=('A - Inputs'!$C$7+'A - Inputs'!$C$11),'E - Construction &amp; Residual'!L$6,0)</f>
        <v>0</v>
      </c>
      <c r="M29" s="40">
        <f t="shared" si="0"/>
        <v>0</v>
      </c>
      <c r="N29" s="40">
        <f>$M29/(1+0.03)^($B29-'A - Inputs'!$C$6)</f>
        <v>0</v>
      </c>
      <c r="O29" s="28">
        <f>$M29/(1+0.07)^($B29-'A - Inputs'!$C$6)</f>
        <v>0</v>
      </c>
    </row>
    <row r="30" spans="2:15" x14ac:dyDescent="0.25">
      <c r="B30" s="263">
        <f t="shared" si="1"/>
        <v>2040</v>
      </c>
      <c r="C30" s="110">
        <f t="shared" si="2"/>
        <v>19</v>
      </c>
      <c r="D30" s="262">
        <f>IFERROR(VLOOKUP(B30,'D - Cost Estimate'!$F$16:$G$21,2,FALSE),0)</f>
        <v>0</v>
      </c>
      <c r="E30" s="40">
        <f>$D30/(1+0.03)^($B30 - 'A - Inputs'!$C$6)</f>
        <v>0</v>
      </c>
      <c r="F30" s="28">
        <f>$D30/(1+0.07)^($B30-'A - Inputs'!$C$6)</f>
        <v>0</v>
      </c>
      <c r="H30" s="263">
        <f t="shared" si="3"/>
        <v>2040</v>
      </c>
      <c r="I30" s="110">
        <f t="shared" si="4"/>
        <v>19</v>
      </c>
      <c r="J30" s="40">
        <f>IF(H30=('A - Inputs'!$C$7+'A - Inputs'!$C$11),'E - Construction &amp; Residual'!J$6,0)</f>
        <v>0</v>
      </c>
      <c r="K30" s="40">
        <f>IF(H30=('A - Inputs'!$C$7+'A - Inputs'!$C$11),'E - Construction &amp; Residual'!K$6,0)</f>
        <v>0</v>
      </c>
      <c r="L30" s="28">
        <f>IF(H30=('A - Inputs'!$C$7+'A - Inputs'!$C$11),'E - Construction &amp; Residual'!L$6,0)</f>
        <v>0</v>
      </c>
      <c r="M30" s="40">
        <f t="shared" si="0"/>
        <v>0</v>
      </c>
      <c r="N30" s="40">
        <f>$M30/(1+0.03)^($B30-'A - Inputs'!$C$6)</f>
        <v>0</v>
      </c>
      <c r="O30" s="28">
        <f>$M30/(1+0.07)^($B30-'A - Inputs'!$C$6)</f>
        <v>0</v>
      </c>
    </row>
    <row r="31" spans="2:15" x14ac:dyDescent="0.25">
      <c r="B31" s="263">
        <f t="shared" si="1"/>
        <v>2041</v>
      </c>
      <c r="C31" s="110">
        <f t="shared" si="2"/>
        <v>20</v>
      </c>
      <c r="D31" s="262">
        <f>IFERROR(VLOOKUP(B31,'D - Cost Estimate'!$F$16:$G$21,2,FALSE),0)</f>
        <v>0</v>
      </c>
      <c r="E31" s="40">
        <f>$D31/(1+0.03)^($B31 - 'A - Inputs'!$C$6)</f>
        <v>0</v>
      </c>
      <c r="F31" s="28">
        <f>$D31/(1+0.07)^($B31-'A - Inputs'!$C$6)</f>
        <v>0</v>
      </c>
      <c r="H31" s="263">
        <f t="shared" si="3"/>
        <v>2041</v>
      </c>
      <c r="I31" s="110">
        <f t="shared" si="4"/>
        <v>20</v>
      </c>
      <c r="J31" s="40">
        <f>IF(H31=('A - Inputs'!$C$7+'A - Inputs'!$C$11),'E - Construction &amp; Residual'!J$6,0)</f>
        <v>0</v>
      </c>
      <c r="K31" s="40">
        <f>IF(H31=('A - Inputs'!$C$7+'A - Inputs'!$C$11),'E - Construction &amp; Residual'!K$6,0)</f>
        <v>0</v>
      </c>
      <c r="L31" s="28">
        <f>IF(H31=('A - Inputs'!$C$7+'A - Inputs'!$C$11),'E - Construction &amp; Residual'!L$6,0)</f>
        <v>0</v>
      </c>
      <c r="M31" s="40">
        <f t="shared" si="0"/>
        <v>0</v>
      </c>
      <c r="N31" s="40">
        <f>$M31/(1+0.03)^($B31-'A - Inputs'!$C$6)</f>
        <v>0</v>
      </c>
      <c r="O31" s="28">
        <f>$M31/(1+0.07)^($B31-'A - Inputs'!$C$6)</f>
        <v>0</v>
      </c>
    </row>
    <row r="32" spans="2:15" x14ac:dyDescent="0.25">
      <c r="B32" s="263">
        <f t="shared" si="1"/>
        <v>2042</v>
      </c>
      <c r="C32" s="110">
        <f t="shared" si="2"/>
        <v>21</v>
      </c>
      <c r="D32" s="262">
        <f>IFERROR(VLOOKUP(B32,'D - Cost Estimate'!$F$16:$G$21,2,FALSE),0)</f>
        <v>0</v>
      </c>
      <c r="E32" s="40">
        <f>$D32/(1+0.03)^($B32 - 'A - Inputs'!$C$6)</f>
        <v>0</v>
      </c>
      <c r="F32" s="28">
        <f>$D32/(1+0.07)^($B32-'A - Inputs'!$C$6)</f>
        <v>0</v>
      </c>
      <c r="H32" s="263">
        <f t="shared" si="3"/>
        <v>2042</v>
      </c>
      <c r="I32" s="110">
        <f t="shared" si="4"/>
        <v>21</v>
      </c>
      <c r="J32" s="40">
        <f>IF(H32=('A - Inputs'!$C$7+'A - Inputs'!$C$11),'E - Construction &amp; Residual'!J$6,0)</f>
        <v>0</v>
      </c>
      <c r="K32" s="40">
        <f>IF(H32=('A - Inputs'!$C$7+'A - Inputs'!$C$11),'E - Construction &amp; Residual'!K$6,0)</f>
        <v>0</v>
      </c>
      <c r="L32" s="28">
        <f>IF(H32=('A - Inputs'!$C$7+'A - Inputs'!$C$11),'E - Construction &amp; Residual'!L$6,0)</f>
        <v>0</v>
      </c>
      <c r="M32" s="40">
        <f t="shared" si="0"/>
        <v>0</v>
      </c>
      <c r="N32" s="40">
        <f>$M32/(1+0.03)^($B32-'A - Inputs'!$C$6)</f>
        <v>0</v>
      </c>
      <c r="O32" s="28">
        <f>$M32/(1+0.07)^($B32-'A - Inputs'!$C$6)</f>
        <v>0</v>
      </c>
    </row>
    <row r="33" spans="2:15" x14ac:dyDescent="0.25">
      <c r="B33" s="263">
        <f t="shared" si="1"/>
        <v>2043</v>
      </c>
      <c r="C33" s="110">
        <f t="shared" si="2"/>
        <v>22</v>
      </c>
      <c r="D33" s="262">
        <f>IFERROR(VLOOKUP(B33,'D - Cost Estimate'!$F$16:$G$21,2,FALSE),0)</f>
        <v>0</v>
      </c>
      <c r="E33" s="40">
        <f>$D33/(1+0.03)^($B33 - 'A - Inputs'!$C$6)</f>
        <v>0</v>
      </c>
      <c r="F33" s="28">
        <f>$D33/(1+0.07)^($B33-'A - Inputs'!$C$6)</f>
        <v>0</v>
      </c>
      <c r="H33" s="263">
        <f t="shared" si="3"/>
        <v>2043</v>
      </c>
      <c r="I33" s="110">
        <f t="shared" si="4"/>
        <v>22</v>
      </c>
      <c r="J33" s="40">
        <f>IF(H33=('A - Inputs'!$C$7+'A - Inputs'!$C$11),'E - Construction &amp; Residual'!J$6,0)</f>
        <v>0</v>
      </c>
      <c r="K33" s="40">
        <f>IF(H33=('A - Inputs'!$C$7+'A - Inputs'!$C$11),'E - Construction &amp; Residual'!K$6,0)</f>
        <v>0</v>
      </c>
      <c r="L33" s="28">
        <f>IF(H33=('A - Inputs'!$C$7+'A - Inputs'!$C$11),'E - Construction &amp; Residual'!L$6,0)</f>
        <v>0</v>
      </c>
      <c r="M33" s="40">
        <f t="shared" si="0"/>
        <v>0</v>
      </c>
      <c r="N33" s="40">
        <f>$M33/(1+0.03)^($B33-'A - Inputs'!$C$6)</f>
        <v>0</v>
      </c>
      <c r="O33" s="28">
        <f>$M33/(1+0.07)^($B33-'A - Inputs'!$C$6)</f>
        <v>0</v>
      </c>
    </row>
    <row r="34" spans="2:15" x14ac:dyDescent="0.25">
      <c r="B34" s="263">
        <f t="shared" si="1"/>
        <v>2044</v>
      </c>
      <c r="C34" s="110">
        <f t="shared" si="2"/>
        <v>23</v>
      </c>
      <c r="D34" s="262">
        <f>IFERROR(VLOOKUP(B34,'D - Cost Estimate'!$F$16:$G$21,2,FALSE),0)</f>
        <v>0</v>
      </c>
      <c r="E34" s="40">
        <f>$D34/(1+0.03)^($B34 - 'A - Inputs'!$C$6)</f>
        <v>0</v>
      </c>
      <c r="F34" s="28">
        <f>$D34/(1+0.07)^($B34-'A - Inputs'!$C$6)</f>
        <v>0</v>
      </c>
      <c r="H34" s="263">
        <f t="shared" si="3"/>
        <v>2044</v>
      </c>
      <c r="I34" s="110">
        <f t="shared" si="4"/>
        <v>23</v>
      </c>
      <c r="J34" s="40">
        <f>IF(H34=('A - Inputs'!$C$7+'A - Inputs'!$C$11),'E - Construction &amp; Residual'!J$6,0)</f>
        <v>3321207.5469299997</v>
      </c>
      <c r="K34" s="40">
        <f>IF(H34=('A - Inputs'!$C$7+'A - Inputs'!$C$11),'E - Construction &amp; Residual'!K$6,0)</f>
        <v>5668612.0283519998</v>
      </c>
      <c r="L34" s="28">
        <f>IF(H34=('A - Inputs'!$C$7+'A - Inputs'!$C$11),'E - Construction &amp; Residual'!L$6,0)</f>
        <v>17762263.389000002</v>
      </c>
      <c r="M34" s="40">
        <f t="shared" si="0"/>
        <v>26752082.964282002</v>
      </c>
      <c r="N34" s="40">
        <f>$M34/(1+0.03)^($B34-'A - Inputs'!$C$6)</f>
        <v>12776943.813091053</v>
      </c>
      <c r="O34" s="28">
        <f>$M34/(1+0.07)^($B34-'A - Inputs'!$C$6)</f>
        <v>4929049.2831756761</v>
      </c>
    </row>
    <row r="35" spans="2:15" x14ac:dyDescent="0.25">
      <c r="B35" s="263">
        <f t="shared" si="1"/>
        <v>2045</v>
      </c>
      <c r="C35" s="110">
        <f t="shared" si="2"/>
        <v>24</v>
      </c>
      <c r="D35" s="262">
        <f>IFERROR(VLOOKUP(B35,'D - Cost Estimate'!$F$16:$G$21,2,FALSE),0)</f>
        <v>0</v>
      </c>
      <c r="E35" s="40">
        <f>$D35/(1+0.03)^($B35 - 'A - Inputs'!$C$6)</f>
        <v>0</v>
      </c>
      <c r="F35" s="28">
        <f>$D35/(1+0.07)^($B35-'A - Inputs'!$C$6)</f>
        <v>0</v>
      </c>
      <c r="H35" s="263">
        <f t="shared" si="3"/>
        <v>2045</v>
      </c>
      <c r="I35" s="110">
        <f t="shared" si="4"/>
        <v>24</v>
      </c>
      <c r="J35" s="40">
        <f>IF(H35=('A - Inputs'!$C$7+'A - Inputs'!$C$11),'E - Construction &amp; Residual'!J$6,0)</f>
        <v>0</v>
      </c>
      <c r="K35" s="40">
        <f>IF(H35=('A - Inputs'!$C$7+'A - Inputs'!$C$11),'E - Construction &amp; Residual'!K$6,0)</f>
        <v>0</v>
      </c>
      <c r="L35" s="28">
        <f>IF(H35=('A - Inputs'!$C$7+'A - Inputs'!$C$11),'E - Construction &amp; Residual'!L$6,0)</f>
        <v>0</v>
      </c>
      <c r="M35" s="40">
        <f t="shared" si="0"/>
        <v>0</v>
      </c>
      <c r="N35" s="40">
        <f>$M35/(1+0.03)^($B35-'A - Inputs'!$C$6)</f>
        <v>0</v>
      </c>
      <c r="O35" s="28">
        <f>$M35/(1+0.07)^($B35-'A - Inputs'!$C$6)</f>
        <v>0</v>
      </c>
    </row>
    <row r="36" spans="2:15" x14ac:dyDescent="0.25">
      <c r="B36" s="263">
        <f t="shared" ref="B36:B40" si="5">B35+1</f>
        <v>2046</v>
      </c>
      <c r="C36" s="110">
        <f t="shared" ref="C36:C40" si="6">C35+1</f>
        <v>25</v>
      </c>
      <c r="D36" s="262">
        <f>IFERROR(VLOOKUP(B36,'D - Cost Estimate'!$F$16:$G$21,2,FALSE),0)</f>
        <v>0</v>
      </c>
      <c r="E36" s="40">
        <f>$D36/(1+0.03)^($B36 - 'A - Inputs'!$C$6)</f>
        <v>0</v>
      </c>
      <c r="F36" s="28">
        <f>$D36/(1+0.07)^($B36-'A - Inputs'!$C$6)</f>
        <v>0</v>
      </c>
      <c r="H36" s="263">
        <f t="shared" si="3"/>
        <v>2046</v>
      </c>
      <c r="I36" s="110">
        <f t="shared" si="4"/>
        <v>25</v>
      </c>
      <c r="J36" s="40">
        <f>IF(H36=('A - Inputs'!$C$7+'A - Inputs'!$C$11),'E - Construction &amp; Residual'!J$6,0)</f>
        <v>0</v>
      </c>
      <c r="K36" s="40">
        <f>IF(H36=('A - Inputs'!$C$7+'A - Inputs'!$C$11),'E - Construction &amp; Residual'!K$6,0)</f>
        <v>0</v>
      </c>
      <c r="L36" s="28">
        <f>IF(H36=('A - Inputs'!$C$7+'A - Inputs'!$C$11),'E - Construction &amp; Residual'!L$6,0)</f>
        <v>0</v>
      </c>
      <c r="M36" s="40">
        <f t="shared" si="0"/>
        <v>0</v>
      </c>
      <c r="N36" s="40">
        <f>$M36/(1+0.03)^($B36-'A - Inputs'!$C$6)</f>
        <v>0</v>
      </c>
      <c r="O36" s="28">
        <f>$M36/(1+0.07)^($B36-'A - Inputs'!$C$6)</f>
        <v>0</v>
      </c>
    </row>
    <row r="37" spans="2:15" x14ac:dyDescent="0.25">
      <c r="B37" s="263">
        <f t="shared" si="5"/>
        <v>2047</v>
      </c>
      <c r="C37" s="110">
        <f t="shared" si="6"/>
        <v>26</v>
      </c>
      <c r="D37" s="262">
        <f>IFERROR(VLOOKUP(B37,'D - Cost Estimate'!$F$16:$G$21,2,FALSE),0)</f>
        <v>0</v>
      </c>
      <c r="E37" s="40">
        <f>$D37/(1+0.03)^($B37 - 'A - Inputs'!$C$6)</f>
        <v>0</v>
      </c>
      <c r="F37" s="28">
        <f>$D37/(1+0.07)^($B37-'A - Inputs'!$C$6)</f>
        <v>0</v>
      </c>
      <c r="H37" s="263">
        <f t="shared" si="3"/>
        <v>2047</v>
      </c>
      <c r="I37" s="110">
        <f t="shared" si="4"/>
        <v>26</v>
      </c>
      <c r="J37" s="40">
        <f>IF(H37=('A - Inputs'!$C$7+'A - Inputs'!$C$11),'E - Construction &amp; Residual'!J$6,0)</f>
        <v>0</v>
      </c>
      <c r="K37" s="40">
        <f>IF(H37=('A - Inputs'!$C$7+'A - Inputs'!$C$11),'E - Construction &amp; Residual'!K$6,0)</f>
        <v>0</v>
      </c>
      <c r="L37" s="28">
        <f>IF(H37=('A - Inputs'!$C$7+'A - Inputs'!$C$11),'E - Construction &amp; Residual'!L$6,0)</f>
        <v>0</v>
      </c>
      <c r="M37" s="40">
        <f t="shared" si="0"/>
        <v>0</v>
      </c>
      <c r="N37" s="40">
        <f>$M37/(1+0.03)^($B37-'A - Inputs'!$C$6)</f>
        <v>0</v>
      </c>
      <c r="O37" s="28">
        <f>$M37/(1+0.07)^($B37-'A - Inputs'!$C$6)</f>
        <v>0</v>
      </c>
    </row>
    <row r="38" spans="2:15" x14ac:dyDescent="0.25">
      <c r="B38" s="263">
        <f t="shared" si="5"/>
        <v>2048</v>
      </c>
      <c r="C38" s="110">
        <f t="shared" si="6"/>
        <v>27</v>
      </c>
      <c r="D38" s="262">
        <f>IFERROR(VLOOKUP(B38,'D - Cost Estimate'!$F$16:$G$21,2,FALSE),0)</f>
        <v>0</v>
      </c>
      <c r="E38" s="40">
        <f>$D38/(1+0.03)^($B38 - 'A - Inputs'!$C$6)</f>
        <v>0</v>
      </c>
      <c r="F38" s="28">
        <f>$D38/(1+0.07)^($B38-'A - Inputs'!$C$6)</f>
        <v>0</v>
      </c>
      <c r="H38" s="263">
        <f t="shared" si="3"/>
        <v>2048</v>
      </c>
      <c r="I38" s="110">
        <f t="shared" si="4"/>
        <v>27</v>
      </c>
      <c r="J38" s="40">
        <f>IF(H38=('A - Inputs'!$C$7+'A - Inputs'!$C$11),'E - Construction &amp; Residual'!J$6,0)</f>
        <v>0</v>
      </c>
      <c r="K38" s="40">
        <f>IF(H38=('A - Inputs'!$C$7+'A - Inputs'!$C$11),'E - Construction &amp; Residual'!K$6,0)</f>
        <v>0</v>
      </c>
      <c r="L38" s="28">
        <f>IF(H38=('A - Inputs'!$C$7+'A - Inputs'!$C$11),'E - Construction &amp; Residual'!L$6,0)</f>
        <v>0</v>
      </c>
      <c r="M38" s="40">
        <f t="shared" si="0"/>
        <v>0</v>
      </c>
      <c r="N38" s="40">
        <f>$M38/(1+0.03)^($B38-'A - Inputs'!$C$6)</f>
        <v>0</v>
      </c>
      <c r="O38" s="28">
        <f>$M38/(1+0.07)^($B38-'A - Inputs'!$C$6)</f>
        <v>0</v>
      </c>
    </row>
    <row r="39" spans="2:15" x14ac:dyDescent="0.25">
      <c r="B39" s="263">
        <f t="shared" si="5"/>
        <v>2049</v>
      </c>
      <c r="C39" s="110">
        <f t="shared" si="6"/>
        <v>28</v>
      </c>
      <c r="D39" s="262">
        <f>IFERROR(VLOOKUP(B39,'D - Cost Estimate'!$F$16:$G$21,2,FALSE),0)</f>
        <v>0</v>
      </c>
      <c r="E39" s="40">
        <f>$D39/(1+0.03)^($B39 - 'A - Inputs'!$C$6)</f>
        <v>0</v>
      </c>
      <c r="F39" s="28">
        <f>$D39/(1+0.07)^($B39-'A - Inputs'!$C$6)</f>
        <v>0</v>
      </c>
      <c r="H39" s="263">
        <f t="shared" si="3"/>
        <v>2049</v>
      </c>
      <c r="I39" s="110">
        <f t="shared" si="4"/>
        <v>28</v>
      </c>
      <c r="J39" s="40">
        <f>IF(H39=('A - Inputs'!$C$7+'A - Inputs'!$C$11),'E - Construction &amp; Residual'!J$6,0)</f>
        <v>0</v>
      </c>
      <c r="K39" s="40">
        <f>IF(H39=('A - Inputs'!$C$7+'A - Inputs'!$C$11),'E - Construction &amp; Residual'!K$6,0)</f>
        <v>0</v>
      </c>
      <c r="L39" s="28">
        <f>IF(H39=('A - Inputs'!$C$7+'A - Inputs'!$C$11),'E - Construction &amp; Residual'!L$6,0)</f>
        <v>0</v>
      </c>
      <c r="M39" s="40">
        <f t="shared" si="0"/>
        <v>0</v>
      </c>
      <c r="N39" s="40">
        <f>$M39/(1+0.03)^($B39-'A - Inputs'!$C$6)</f>
        <v>0</v>
      </c>
      <c r="O39" s="28">
        <f>$M39/(1+0.07)^($B39-'A - Inputs'!$C$6)</f>
        <v>0</v>
      </c>
    </row>
    <row r="40" spans="2:15" x14ac:dyDescent="0.25">
      <c r="B40" s="263">
        <f t="shared" si="5"/>
        <v>2050</v>
      </c>
      <c r="C40" s="110">
        <f t="shared" si="6"/>
        <v>29</v>
      </c>
      <c r="D40" s="262">
        <f>IFERROR(VLOOKUP(B40,'D - Cost Estimate'!$F$16:$G$21,2,FALSE),0)</f>
        <v>0</v>
      </c>
      <c r="E40" s="40">
        <f>$D40/(1+0.03)^($B40 - 'A - Inputs'!$C$6)</f>
        <v>0</v>
      </c>
      <c r="F40" s="28">
        <f>$D40/(1+0.07)^($B40-'A - Inputs'!$C$6)</f>
        <v>0</v>
      </c>
      <c r="H40" s="263">
        <f t="shared" si="3"/>
        <v>2050</v>
      </c>
      <c r="I40" s="110">
        <f t="shared" si="4"/>
        <v>29</v>
      </c>
      <c r="J40" s="40">
        <f>IF(H40=('A - Inputs'!$C$7+'A - Inputs'!$C$11),'E - Construction &amp; Residual'!J$6,0)</f>
        <v>0</v>
      </c>
      <c r="K40" s="40">
        <f>IF(H40=('A - Inputs'!$C$7+'A - Inputs'!$C$11),'E - Construction &amp; Residual'!K$6,0)</f>
        <v>0</v>
      </c>
      <c r="L40" s="28">
        <f>IF(H40=('A - Inputs'!$C$7+'A - Inputs'!$C$11),'E - Construction &amp; Residual'!L$6,0)</f>
        <v>0</v>
      </c>
      <c r="M40" s="40">
        <f>SUM(J40:L40)</f>
        <v>0</v>
      </c>
      <c r="N40" s="40">
        <f>$M40/(1+0.03)^($B40-'A - Inputs'!$C$6)</f>
        <v>0</v>
      </c>
      <c r="O40" s="28">
        <f>$M40/(1+0.07)^($B40-'A - Inputs'!$C$6)</f>
        <v>0</v>
      </c>
    </row>
    <row r="41" spans="2:15" s="37" customFormat="1" x14ac:dyDescent="0.25">
      <c r="B41" s="264" t="s">
        <v>45</v>
      </c>
      <c r="C41" s="265"/>
      <c r="D41" s="229">
        <f t="shared" ref="D41:E41" si="7">SUM(D11:D40)</f>
        <v>47892261.163500004</v>
      </c>
      <c r="E41" s="229">
        <f t="shared" si="7"/>
        <v>38672505.166461952</v>
      </c>
      <c r="F41" s="230">
        <f t="shared" ref="F41" si="8">SUM(F11:F40)</f>
        <v>29398149.058424428</v>
      </c>
      <c r="G41" s="256"/>
      <c r="H41" s="264"/>
      <c r="I41" s="265"/>
      <c r="J41" s="229">
        <f>SUM(J11:J40)</f>
        <v>3321207.5469299997</v>
      </c>
      <c r="K41" s="229">
        <f t="shared" ref="K41:O41" si="9">SUM(K11:K40)</f>
        <v>5668612.0283519998</v>
      </c>
      <c r="L41" s="230">
        <f t="shared" si="9"/>
        <v>17762263.389000002</v>
      </c>
      <c r="M41" s="229">
        <f>SUM(M11:M40)</f>
        <v>26752082.964282002</v>
      </c>
      <c r="N41" s="229">
        <f t="shared" si="9"/>
        <v>12776943.813091053</v>
      </c>
      <c r="O41" s="230">
        <f t="shared" si="9"/>
        <v>4929049.2831756761</v>
      </c>
    </row>
  </sheetData>
  <pageMargins left="0.7" right="0.7" top="0.75" bottom="0.75" header="0.3" footer="0.3"/>
  <pageSetup scale="60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0B12C-E7DF-41C5-9CE5-FD2738328141}">
  <dimension ref="A1:M41"/>
  <sheetViews>
    <sheetView view="pageLayout" topLeftCell="A13" zoomScaleNormal="100" zoomScaleSheetLayoutView="70" workbookViewId="0">
      <selection activeCell="G9" sqref="G9"/>
    </sheetView>
  </sheetViews>
  <sheetFormatPr defaultColWidth="8.7109375" defaultRowHeight="15" x14ac:dyDescent="0.25"/>
  <cols>
    <col min="1" max="1" width="12.5703125" style="16" customWidth="1"/>
    <col min="2" max="2" width="7.28515625" style="16" bestFit="1" customWidth="1"/>
    <col min="3" max="3" width="8.5703125" style="16" bestFit="1" customWidth="1"/>
    <col min="4" max="4" width="10.140625" style="16" bestFit="1" customWidth="1"/>
    <col min="5" max="12" width="14.85546875" style="16" customWidth="1"/>
    <col min="13" max="16384" width="8.7109375" style="16"/>
  </cols>
  <sheetData>
    <row r="1" spans="1:13" s="48" customFormat="1" ht="45" x14ac:dyDescent="0.25">
      <c r="A1" s="12" t="s">
        <v>93</v>
      </c>
      <c r="B1" s="12"/>
      <c r="C1" s="12"/>
      <c r="D1" s="12" t="s">
        <v>94</v>
      </c>
      <c r="E1" s="12" t="s">
        <v>95</v>
      </c>
      <c r="F1" s="12" t="s">
        <v>96</v>
      </c>
      <c r="L1" s="51"/>
    </row>
    <row r="2" spans="1:13" s="163" customFormat="1" x14ac:dyDescent="0.2">
      <c r="A2" s="163" t="s">
        <v>97</v>
      </c>
      <c r="D2" s="164">
        <v>4000</v>
      </c>
      <c r="E2" s="165">
        <v>1</v>
      </c>
      <c r="F2" s="165">
        <v>2028</v>
      </c>
      <c r="J2" s="165"/>
      <c r="L2" s="166"/>
    </row>
    <row r="3" spans="1:13" s="163" customFormat="1" x14ac:dyDescent="0.2">
      <c r="A3" s="163" t="s">
        <v>98</v>
      </c>
      <c r="D3" s="164">
        <v>15000</v>
      </c>
      <c r="E3" s="165">
        <v>1</v>
      </c>
      <c r="F3" s="165"/>
      <c r="G3" s="313" t="s">
        <v>177</v>
      </c>
      <c r="H3" s="313"/>
      <c r="I3" s="313"/>
      <c r="J3" s="313"/>
      <c r="K3" s="313"/>
      <c r="L3" s="313"/>
    </row>
    <row r="4" spans="1:13" s="163" customFormat="1" x14ac:dyDescent="0.2">
      <c r="A4" s="163" t="s">
        <v>99</v>
      </c>
      <c r="D4" s="164">
        <v>5100000</v>
      </c>
      <c r="E4" s="165">
        <v>25</v>
      </c>
      <c r="F4" s="165">
        <v>2024</v>
      </c>
      <c r="G4" s="313"/>
      <c r="H4" s="313"/>
      <c r="I4" s="313"/>
      <c r="J4" s="313"/>
      <c r="K4" s="313"/>
      <c r="L4" s="313"/>
    </row>
    <row r="5" spans="1:13" s="1" customFormat="1" ht="12.75" x14ac:dyDescent="0.2"/>
    <row r="6" spans="1:13" ht="60" x14ac:dyDescent="0.25">
      <c r="A6" s="271" t="s">
        <v>40</v>
      </c>
      <c r="B6" s="266" t="s">
        <v>41</v>
      </c>
      <c r="C6" s="266" t="s">
        <v>100</v>
      </c>
      <c r="D6" s="267" t="s">
        <v>101</v>
      </c>
      <c r="E6" s="268" t="s">
        <v>98</v>
      </c>
      <c r="F6" s="268" t="s">
        <v>99</v>
      </c>
      <c r="G6" s="67" t="s">
        <v>102</v>
      </c>
      <c r="H6" s="305" t="s">
        <v>178</v>
      </c>
      <c r="I6" s="306" t="s">
        <v>179</v>
      </c>
      <c r="J6" s="269" t="s">
        <v>92</v>
      </c>
      <c r="K6" s="269" t="s">
        <v>19</v>
      </c>
      <c r="L6" s="67" t="s">
        <v>20</v>
      </c>
    </row>
    <row r="7" spans="1:13" x14ac:dyDescent="0.25">
      <c r="A7" s="272">
        <f>'A - Inputs'!$C$7</f>
        <v>2021</v>
      </c>
      <c r="B7" s="110">
        <v>0</v>
      </c>
      <c r="C7" s="110">
        <v>0</v>
      </c>
      <c r="D7" s="18">
        <f t="shared" ref="D7:D36" si="0">MAX(A7-BenefitStart+1,0)</f>
        <v>0</v>
      </c>
      <c r="E7" s="40">
        <f t="shared" ref="E7:E36" si="1">IF($C7=0,0,IF(MOD($C7,$E$3)=0,$D$3,0))</f>
        <v>0</v>
      </c>
      <c r="F7" s="40">
        <f>IF($C7=0,0,IF(C7=1,D1,IF(MOD($C7,$E$4)=0,$D$4,0)))</f>
        <v>0</v>
      </c>
      <c r="G7" s="40">
        <f>IF($D7=0,0,IF(MOD($D7,$E$2)=0,$D$2,0))</f>
        <v>0</v>
      </c>
      <c r="H7" s="307">
        <f>IF(B7&gt;'A - Inputs'!$C$11,0,F7+E7)</f>
        <v>0</v>
      </c>
      <c r="I7" s="308">
        <f>IF(B7&gt;'A - Inputs'!$C$11,0,G7)</f>
        <v>0</v>
      </c>
      <c r="J7" s="40">
        <f>H7-I7</f>
        <v>0</v>
      </c>
      <c r="K7" s="40">
        <f>$J7/(1+0.03)^($A7-'A - Inputs'!$C$6)</f>
        <v>0</v>
      </c>
      <c r="L7" s="28">
        <f>$J7/(1+0.07)^($A7-'A - Inputs'!$C$6)</f>
        <v>0</v>
      </c>
    </row>
    <row r="8" spans="1:13" x14ac:dyDescent="0.25">
      <c r="A8" s="273">
        <f>A7+1</f>
        <v>2022</v>
      </c>
      <c r="B8" s="110">
        <f>B7+1</f>
        <v>1</v>
      </c>
      <c r="C8" s="110">
        <v>0</v>
      </c>
      <c r="D8" s="18">
        <f t="shared" si="0"/>
        <v>0</v>
      </c>
      <c r="E8" s="40">
        <f t="shared" si="1"/>
        <v>0</v>
      </c>
      <c r="F8" s="40">
        <f>IF($C8=0,0,IF(C8=1,D2,IF(MOD($C8,$E$4)=0,$D$4,0)))</f>
        <v>0</v>
      </c>
      <c r="G8" s="40">
        <f t="shared" ref="G8:G36" si="2">IF($D8=0,0,IF(MOD($D8,$E$2)=0,$D$2,0))</f>
        <v>0</v>
      </c>
      <c r="H8" s="216">
        <f>IF(B8&gt;'A - Inputs'!$C$11,0,F8+E8)</f>
        <v>0</v>
      </c>
      <c r="I8" s="28">
        <f>IF(B8&gt;'A - Inputs'!$C$11,0,G8)</f>
        <v>0</v>
      </c>
      <c r="J8" s="40">
        <f t="shared" ref="J8:J36" si="3">H8-I8</f>
        <v>0</v>
      </c>
      <c r="K8" s="40">
        <f>$J8/(1+0.03)^($A8-'A - Inputs'!$C$6)</f>
        <v>0</v>
      </c>
      <c r="L8" s="28">
        <f>$J8/(1+0.07)^($A8-'A - Inputs'!$C$6)</f>
        <v>0</v>
      </c>
    </row>
    <row r="9" spans="1:13" x14ac:dyDescent="0.25">
      <c r="A9" s="273">
        <f t="shared" ref="A9:C24" si="4">A8+1</f>
        <v>2023</v>
      </c>
      <c r="B9" s="110">
        <f t="shared" si="4"/>
        <v>2</v>
      </c>
      <c r="C9" s="110">
        <v>0</v>
      </c>
      <c r="D9" s="18">
        <f t="shared" si="0"/>
        <v>0</v>
      </c>
      <c r="E9" s="40">
        <f t="shared" si="1"/>
        <v>0</v>
      </c>
      <c r="F9" s="40">
        <f>IF($C9=0,0,IF(C9=1,D3,IF(MOD($C9,$E$4)=0,$D$4,0)))</f>
        <v>0</v>
      </c>
      <c r="G9" s="40">
        <f t="shared" si="2"/>
        <v>0</v>
      </c>
      <c r="H9" s="216">
        <f>IF(B9&gt;'A - Inputs'!$C$11,0,F9+E9)</f>
        <v>0</v>
      </c>
      <c r="I9" s="28">
        <f>IF(B9&gt;'A - Inputs'!$C$11,0,G9)</f>
        <v>0</v>
      </c>
      <c r="J9" s="40">
        <f t="shared" si="3"/>
        <v>0</v>
      </c>
      <c r="K9" s="40">
        <f>$J9/(1+0.03)^($A9-'A - Inputs'!$C$6)</f>
        <v>0</v>
      </c>
      <c r="L9" s="28">
        <f>$J9/(1+0.07)^($A9-'A - Inputs'!$C$6)</f>
        <v>0</v>
      </c>
    </row>
    <row r="10" spans="1:13" x14ac:dyDescent="0.25">
      <c r="A10" s="273">
        <f t="shared" si="4"/>
        <v>2024</v>
      </c>
      <c r="B10" s="110">
        <f t="shared" si="4"/>
        <v>3</v>
      </c>
      <c r="C10" s="110">
        <v>0</v>
      </c>
      <c r="D10" s="18">
        <f t="shared" si="0"/>
        <v>0</v>
      </c>
      <c r="E10" s="40">
        <f t="shared" si="1"/>
        <v>0</v>
      </c>
      <c r="F10" s="40">
        <f>IF($C10=0,0,IF(C10=1,D4,IF(MOD($C10,$E$4)=0,$D$4,0)))</f>
        <v>0</v>
      </c>
      <c r="G10" s="40">
        <f t="shared" si="2"/>
        <v>0</v>
      </c>
      <c r="H10" s="216">
        <f>IF(B10&gt;'A - Inputs'!$C$11,0,F10+E10)</f>
        <v>0</v>
      </c>
      <c r="I10" s="28">
        <f>IF(B10&gt;'A - Inputs'!$C$11,0,G10)</f>
        <v>0</v>
      </c>
      <c r="J10" s="40">
        <f t="shared" si="3"/>
        <v>0</v>
      </c>
      <c r="K10" s="40">
        <f>$J10/(1+0.03)^($A10-'A - Inputs'!$C$6)</f>
        <v>0</v>
      </c>
      <c r="L10" s="28">
        <f>$J10/(1+0.07)^($A10-'A - Inputs'!$C$6)</f>
        <v>0</v>
      </c>
      <c r="M10" s="198"/>
    </row>
    <row r="11" spans="1:13" x14ac:dyDescent="0.25">
      <c r="A11" s="273">
        <f t="shared" si="4"/>
        <v>2025</v>
      </c>
      <c r="B11" s="110">
        <f t="shared" si="4"/>
        <v>4</v>
      </c>
      <c r="C11" s="110">
        <v>1</v>
      </c>
      <c r="D11" s="18">
        <f t="shared" si="0"/>
        <v>0</v>
      </c>
      <c r="E11" s="40">
        <f t="shared" si="1"/>
        <v>15000</v>
      </c>
      <c r="F11" s="40">
        <f>IF($C11=0,0,IF(C11=1,D4,IF(MOD($C11,$E$4)=0,$D$4,0)))</f>
        <v>5100000</v>
      </c>
      <c r="G11" s="40">
        <f t="shared" si="2"/>
        <v>0</v>
      </c>
      <c r="H11" s="216">
        <f>IF(B11&gt;'A - Inputs'!$C$11,0,F11+E11)</f>
        <v>5115000</v>
      </c>
      <c r="I11" s="28">
        <f>IF(B11&gt;'A - Inputs'!$C$11,0,G11)</f>
        <v>0</v>
      </c>
      <c r="J11" s="40">
        <f t="shared" si="3"/>
        <v>5115000</v>
      </c>
      <c r="K11" s="40">
        <f>$J11/(1+0.03)^($A11-'A - Inputs'!$C$6)</f>
        <v>4283731.972936892</v>
      </c>
      <c r="L11" s="28">
        <f>$J11/(1+0.07)^($A11-'A - Inputs'!$C$6)</f>
        <v>3408340.4748214618</v>
      </c>
    </row>
    <row r="12" spans="1:13" x14ac:dyDescent="0.25">
      <c r="A12" s="273">
        <f t="shared" si="4"/>
        <v>2026</v>
      </c>
      <c r="B12" s="110">
        <f t="shared" si="4"/>
        <v>5</v>
      </c>
      <c r="C12" s="110">
        <f t="shared" si="4"/>
        <v>2</v>
      </c>
      <c r="D12" s="18">
        <f t="shared" si="0"/>
        <v>0</v>
      </c>
      <c r="E12" s="40">
        <f t="shared" si="1"/>
        <v>15000</v>
      </c>
      <c r="F12" s="40">
        <f>IF($C12=0,0,IF(C12=1,#REF!,IF(MOD($C12,$E$4)=0,$D$4,0)))</f>
        <v>0</v>
      </c>
      <c r="G12" s="40">
        <f t="shared" si="2"/>
        <v>0</v>
      </c>
      <c r="H12" s="216">
        <f>IF(B12&gt;'A - Inputs'!$C$11,0,F12+E12)</f>
        <v>15000</v>
      </c>
      <c r="I12" s="28">
        <f>IF(B12&gt;'A - Inputs'!$C$11,0,G12)</f>
        <v>0</v>
      </c>
      <c r="J12" s="40">
        <f t="shared" si="3"/>
        <v>15000</v>
      </c>
      <c r="K12" s="40">
        <f>$J12/(1+0.03)^($A12-'A - Inputs'!$C$6)</f>
        <v>12196.372670150306</v>
      </c>
      <c r="L12" s="28">
        <f>$J12/(1+0.07)^($A12-'A - Inputs'!$C$6)</f>
        <v>9341.2461282688673</v>
      </c>
    </row>
    <row r="13" spans="1:13" x14ac:dyDescent="0.25">
      <c r="A13" s="273">
        <f t="shared" si="4"/>
        <v>2027</v>
      </c>
      <c r="B13" s="110">
        <f t="shared" si="4"/>
        <v>6</v>
      </c>
      <c r="C13" s="110">
        <f t="shared" ref="C13" si="5">C12+1</f>
        <v>3</v>
      </c>
      <c r="D13" s="18">
        <f t="shared" si="0"/>
        <v>0</v>
      </c>
      <c r="E13" s="40">
        <f t="shared" si="1"/>
        <v>15000</v>
      </c>
      <c r="F13" s="40">
        <f t="shared" ref="F13:F36" si="6">IF($C13=0,0,IF(C13=1,D6,IF(MOD($C13,$E$4)=0,$D$4,0)))</f>
        <v>0</v>
      </c>
      <c r="G13" s="40">
        <f t="shared" si="2"/>
        <v>0</v>
      </c>
      <c r="H13" s="216">
        <f>IF(B13&gt;'A - Inputs'!$C$11,0,F13+E13)</f>
        <v>15000</v>
      </c>
      <c r="I13" s="28">
        <f>IF(B13&gt;'A - Inputs'!$C$11,0,G13)</f>
        <v>0</v>
      </c>
      <c r="J13" s="40">
        <f t="shared" si="3"/>
        <v>15000</v>
      </c>
      <c r="K13" s="40">
        <f>$J13/(1+0.03)^($A13-'A - Inputs'!$C$6)</f>
        <v>11841.138514709037</v>
      </c>
      <c r="L13" s="28">
        <f>$J13/(1+0.07)^($A13-'A - Inputs'!$C$6)</f>
        <v>8730.1365684755765</v>
      </c>
    </row>
    <row r="14" spans="1:13" x14ac:dyDescent="0.25">
      <c r="A14" s="273">
        <f t="shared" si="4"/>
        <v>2028</v>
      </c>
      <c r="B14" s="110">
        <f t="shared" si="4"/>
        <v>7</v>
      </c>
      <c r="C14" s="110">
        <f t="shared" ref="C14" si="7">C13+1</f>
        <v>4</v>
      </c>
      <c r="D14" s="18">
        <f t="shared" si="0"/>
        <v>1</v>
      </c>
      <c r="E14" s="40">
        <f t="shared" si="1"/>
        <v>15000</v>
      </c>
      <c r="F14" s="40">
        <f t="shared" si="6"/>
        <v>0</v>
      </c>
      <c r="G14" s="40">
        <f>IF($D14=0,0,IF(MOD($D14,$E$2)=0,$D$2,0))</f>
        <v>4000</v>
      </c>
      <c r="H14" s="216">
        <f>IF(B14&gt;'A - Inputs'!$C$11,0,F14+E14)</f>
        <v>15000</v>
      </c>
      <c r="I14" s="28">
        <f>IF(B14&gt;'A - Inputs'!$C$11,0,G14)</f>
        <v>4000</v>
      </c>
      <c r="J14" s="40">
        <f t="shared" si="3"/>
        <v>11000</v>
      </c>
      <c r="K14" s="40">
        <f>$J14/(1+0.03)^($A14-'A - Inputs'!$C$6)</f>
        <v>8430.5840557798965</v>
      </c>
      <c r="L14" s="28">
        <f>$J14/(1+0.07)^($A14-'A - Inputs'!$C$6)</f>
        <v>5983.2711684256283</v>
      </c>
    </row>
    <row r="15" spans="1:13" x14ac:dyDescent="0.25">
      <c r="A15" s="273">
        <f t="shared" si="4"/>
        <v>2029</v>
      </c>
      <c r="B15" s="110">
        <f t="shared" si="4"/>
        <v>8</v>
      </c>
      <c r="C15" s="110">
        <f t="shared" ref="C15" si="8">C14+1</f>
        <v>5</v>
      </c>
      <c r="D15" s="18">
        <f t="shared" si="0"/>
        <v>2</v>
      </c>
      <c r="E15" s="40">
        <f t="shared" si="1"/>
        <v>15000</v>
      </c>
      <c r="F15" s="40">
        <f t="shared" si="6"/>
        <v>0</v>
      </c>
      <c r="G15" s="40">
        <f t="shared" si="2"/>
        <v>4000</v>
      </c>
      <c r="H15" s="216">
        <f>IF(B15&gt;'A - Inputs'!$C$11,0,F15+E15)</f>
        <v>15000</v>
      </c>
      <c r="I15" s="28">
        <f>IF(B15&gt;'A - Inputs'!$C$11,0,G15)</f>
        <v>4000</v>
      </c>
      <c r="J15" s="40">
        <f t="shared" si="3"/>
        <v>11000</v>
      </c>
      <c r="K15" s="40">
        <f>$J15/(1+0.03)^($A15-'A - Inputs'!$C$6)</f>
        <v>8185.0330638639771</v>
      </c>
      <c r="L15" s="28">
        <f>$J15/(1+0.07)^($A15-'A - Inputs'!$C$6)</f>
        <v>5591.8422134818957</v>
      </c>
    </row>
    <row r="16" spans="1:13" x14ac:dyDescent="0.25">
      <c r="A16" s="273">
        <f t="shared" si="4"/>
        <v>2030</v>
      </c>
      <c r="B16" s="110">
        <f t="shared" si="4"/>
        <v>9</v>
      </c>
      <c r="C16" s="110">
        <f t="shared" ref="C16" si="9">C15+1</f>
        <v>6</v>
      </c>
      <c r="D16" s="18">
        <f t="shared" si="0"/>
        <v>3</v>
      </c>
      <c r="E16" s="40">
        <f t="shared" si="1"/>
        <v>15000</v>
      </c>
      <c r="F16" s="40">
        <f t="shared" si="6"/>
        <v>0</v>
      </c>
      <c r="G16" s="40">
        <f t="shared" si="2"/>
        <v>4000</v>
      </c>
      <c r="H16" s="216">
        <f>IF(B16&gt;'A - Inputs'!$C$11,0,F16+E16)</f>
        <v>15000</v>
      </c>
      <c r="I16" s="28">
        <f>IF(B16&gt;'A - Inputs'!$C$11,0,G16)</f>
        <v>4000</v>
      </c>
      <c r="J16" s="40">
        <f t="shared" si="3"/>
        <v>11000</v>
      </c>
      <c r="K16" s="40">
        <f>$J16/(1+0.03)^($A16-'A - Inputs'!$C$6)</f>
        <v>7946.6340425863855</v>
      </c>
      <c r="L16" s="28">
        <f>$J16/(1+0.07)^($A16-'A - Inputs'!$C$6)</f>
        <v>5226.0207602634537</v>
      </c>
    </row>
    <row r="17" spans="1:12" x14ac:dyDescent="0.25">
      <c r="A17" s="273">
        <f t="shared" si="4"/>
        <v>2031</v>
      </c>
      <c r="B17" s="110">
        <f t="shared" si="4"/>
        <v>10</v>
      </c>
      <c r="C17" s="110">
        <f t="shared" ref="C17" si="10">C16+1</f>
        <v>7</v>
      </c>
      <c r="D17" s="18">
        <f t="shared" si="0"/>
        <v>4</v>
      </c>
      <c r="E17" s="40">
        <f t="shared" si="1"/>
        <v>15000</v>
      </c>
      <c r="F17" s="40">
        <f t="shared" si="6"/>
        <v>0</v>
      </c>
      <c r="G17" s="40">
        <f t="shared" si="2"/>
        <v>4000</v>
      </c>
      <c r="H17" s="216">
        <f>IF(B17&gt;'A - Inputs'!$C$11,0,F17+E17)</f>
        <v>15000</v>
      </c>
      <c r="I17" s="28">
        <f>IF(B17&gt;'A - Inputs'!$C$11,0,G17)</f>
        <v>4000</v>
      </c>
      <c r="J17" s="40">
        <f t="shared" si="3"/>
        <v>11000</v>
      </c>
      <c r="K17" s="40">
        <f>$J17/(1+0.03)^($A17-'A - Inputs'!$C$6)</f>
        <v>7715.1786821227051</v>
      </c>
      <c r="L17" s="28">
        <f>$J17/(1+0.07)^($A17-'A - Inputs'!$C$6)</f>
        <v>4884.1315516480881</v>
      </c>
    </row>
    <row r="18" spans="1:12" x14ac:dyDescent="0.25">
      <c r="A18" s="273">
        <f t="shared" si="4"/>
        <v>2032</v>
      </c>
      <c r="B18" s="110">
        <f t="shared" si="4"/>
        <v>11</v>
      </c>
      <c r="C18" s="110">
        <f t="shared" ref="C18" si="11">C17+1</f>
        <v>8</v>
      </c>
      <c r="D18" s="18">
        <f t="shared" si="0"/>
        <v>5</v>
      </c>
      <c r="E18" s="40">
        <f t="shared" si="1"/>
        <v>15000</v>
      </c>
      <c r="F18" s="40">
        <f t="shared" si="6"/>
        <v>0</v>
      </c>
      <c r="G18" s="40">
        <f t="shared" si="2"/>
        <v>4000</v>
      </c>
      <c r="H18" s="216">
        <f>IF(B18&gt;'A - Inputs'!$C$11,0,F18+E18)</f>
        <v>15000</v>
      </c>
      <c r="I18" s="28">
        <f>IF(B18&gt;'A - Inputs'!$C$11,0,G18)</f>
        <v>4000</v>
      </c>
      <c r="J18" s="40">
        <f t="shared" si="3"/>
        <v>11000</v>
      </c>
      <c r="K18" s="40">
        <f>$J18/(1+0.03)^($A18-'A - Inputs'!$C$6)</f>
        <v>7490.464739924957</v>
      </c>
      <c r="L18" s="28">
        <f>$J18/(1+0.07)^($A18-'A - Inputs'!$C$6)</f>
        <v>4564.6089267739135</v>
      </c>
    </row>
    <row r="19" spans="1:12" x14ac:dyDescent="0.25">
      <c r="A19" s="273">
        <f t="shared" si="4"/>
        <v>2033</v>
      </c>
      <c r="B19" s="110">
        <f t="shared" si="4"/>
        <v>12</v>
      </c>
      <c r="C19" s="110">
        <f t="shared" ref="C19" si="12">C18+1</f>
        <v>9</v>
      </c>
      <c r="D19" s="18">
        <f t="shared" si="0"/>
        <v>6</v>
      </c>
      <c r="E19" s="40">
        <f t="shared" si="1"/>
        <v>15000</v>
      </c>
      <c r="F19" s="40">
        <f t="shared" si="6"/>
        <v>0</v>
      </c>
      <c r="G19" s="40">
        <f t="shared" si="2"/>
        <v>4000</v>
      </c>
      <c r="H19" s="216">
        <f>IF(B19&gt;'A - Inputs'!$C$11,0,F19+E19)</f>
        <v>15000</v>
      </c>
      <c r="I19" s="28">
        <f>IF(B19&gt;'A - Inputs'!$C$11,0,G19)</f>
        <v>4000</v>
      </c>
      <c r="J19" s="40">
        <f t="shared" si="3"/>
        <v>11000</v>
      </c>
      <c r="K19" s="40">
        <f>$J19/(1+0.03)^($A19-'A - Inputs'!$C$6)</f>
        <v>7272.2958640048118</v>
      </c>
      <c r="L19" s="28">
        <f>$J19/(1+0.07)^($A19-'A - Inputs'!$C$6)</f>
        <v>4265.9896511905736</v>
      </c>
    </row>
    <row r="20" spans="1:12" x14ac:dyDescent="0.25">
      <c r="A20" s="273">
        <f t="shared" si="4"/>
        <v>2034</v>
      </c>
      <c r="B20" s="110">
        <f t="shared" si="4"/>
        <v>13</v>
      </c>
      <c r="C20" s="110">
        <f t="shared" ref="C20" si="13">C19+1</f>
        <v>10</v>
      </c>
      <c r="D20" s="18">
        <f t="shared" si="0"/>
        <v>7</v>
      </c>
      <c r="E20" s="40">
        <f t="shared" si="1"/>
        <v>15000</v>
      </c>
      <c r="F20" s="40">
        <f t="shared" si="6"/>
        <v>0</v>
      </c>
      <c r="G20" s="40">
        <f t="shared" si="2"/>
        <v>4000</v>
      </c>
      <c r="H20" s="216">
        <f>IF(B20&gt;'A - Inputs'!$C$11,0,F20+E20)</f>
        <v>15000</v>
      </c>
      <c r="I20" s="28">
        <f>IF(B20&gt;'A - Inputs'!$C$11,0,G20)</f>
        <v>4000</v>
      </c>
      <c r="J20" s="40">
        <f t="shared" si="3"/>
        <v>11000</v>
      </c>
      <c r="K20" s="40">
        <f>$J20/(1+0.03)^($A20-'A - Inputs'!$C$6)</f>
        <v>7060.4814213638947</v>
      </c>
      <c r="L20" s="28">
        <f>$J20/(1+0.07)^($A20-'A - Inputs'!$C$6)</f>
        <v>3986.9062160659564</v>
      </c>
    </row>
    <row r="21" spans="1:12" x14ac:dyDescent="0.25">
      <c r="A21" s="273">
        <f t="shared" si="4"/>
        <v>2035</v>
      </c>
      <c r="B21" s="110">
        <f t="shared" si="4"/>
        <v>14</v>
      </c>
      <c r="C21" s="110">
        <f t="shared" ref="C21" si="14">C20+1</f>
        <v>11</v>
      </c>
      <c r="D21" s="18">
        <f t="shared" si="0"/>
        <v>8</v>
      </c>
      <c r="E21" s="40">
        <f t="shared" si="1"/>
        <v>15000</v>
      </c>
      <c r="F21" s="40">
        <f t="shared" si="6"/>
        <v>0</v>
      </c>
      <c r="G21" s="40">
        <f t="shared" si="2"/>
        <v>4000</v>
      </c>
      <c r="H21" s="216">
        <f>IF(B21&gt;'A - Inputs'!$C$11,0,F21+E21)</f>
        <v>15000</v>
      </c>
      <c r="I21" s="28">
        <f>IF(B21&gt;'A - Inputs'!$C$11,0,G21)</f>
        <v>4000</v>
      </c>
      <c r="J21" s="40">
        <f t="shared" si="3"/>
        <v>11000</v>
      </c>
      <c r="K21" s="40">
        <f>$J21/(1+0.03)^($A21-'A - Inputs'!$C$6)</f>
        <v>6854.8363314212584</v>
      </c>
      <c r="L21" s="28">
        <f>$J21/(1+0.07)^($A21-'A - Inputs'!$C$6)</f>
        <v>3726.0805757625767</v>
      </c>
    </row>
    <row r="22" spans="1:12" x14ac:dyDescent="0.25">
      <c r="A22" s="273">
        <f t="shared" si="4"/>
        <v>2036</v>
      </c>
      <c r="B22" s="110">
        <f t="shared" si="4"/>
        <v>15</v>
      </c>
      <c r="C22" s="110">
        <f t="shared" ref="C22" si="15">C21+1</f>
        <v>12</v>
      </c>
      <c r="D22" s="18">
        <f t="shared" si="0"/>
        <v>9</v>
      </c>
      <c r="E22" s="40">
        <f t="shared" si="1"/>
        <v>15000</v>
      </c>
      <c r="F22" s="40">
        <f t="shared" si="6"/>
        <v>0</v>
      </c>
      <c r="G22" s="40">
        <f t="shared" si="2"/>
        <v>4000</v>
      </c>
      <c r="H22" s="216">
        <f>IF(B22&gt;'A - Inputs'!$C$11,0,F22+E22)</f>
        <v>15000</v>
      </c>
      <c r="I22" s="28">
        <f>IF(B22&gt;'A - Inputs'!$C$11,0,G22)</f>
        <v>4000</v>
      </c>
      <c r="J22" s="40">
        <f t="shared" si="3"/>
        <v>11000</v>
      </c>
      <c r="K22" s="40">
        <f>$J22/(1+0.03)^($A22-'A - Inputs'!$C$6)</f>
        <v>6655.1809042924833</v>
      </c>
      <c r="L22" s="28">
        <f>$J22/(1+0.07)^($A22-'A - Inputs'!$C$6)</f>
        <v>3482.3182951052117</v>
      </c>
    </row>
    <row r="23" spans="1:12" x14ac:dyDescent="0.25">
      <c r="A23" s="273">
        <f t="shared" si="4"/>
        <v>2037</v>
      </c>
      <c r="B23" s="110">
        <f t="shared" si="4"/>
        <v>16</v>
      </c>
      <c r="C23" s="110">
        <f t="shared" ref="C23" si="16">C22+1</f>
        <v>13</v>
      </c>
      <c r="D23" s="18">
        <f t="shared" si="0"/>
        <v>10</v>
      </c>
      <c r="E23" s="40">
        <f t="shared" si="1"/>
        <v>15000</v>
      </c>
      <c r="F23" s="40">
        <f t="shared" si="6"/>
        <v>0</v>
      </c>
      <c r="G23" s="40">
        <f t="shared" si="2"/>
        <v>4000</v>
      </c>
      <c r="H23" s="216">
        <f>IF(B23&gt;'A - Inputs'!$C$11,0,F23+E23)</f>
        <v>15000</v>
      </c>
      <c r="I23" s="28">
        <f>IF(B23&gt;'A - Inputs'!$C$11,0,G23)</f>
        <v>4000</v>
      </c>
      <c r="J23" s="40">
        <f t="shared" si="3"/>
        <v>11000</v>
      </c>
      <c r="K23" s="40">
        <f>$J23/(1+0.03)^($A23-'A - Inputs'!$C$6)</f>
        <v>6461.3406837791099</v>
      </c>
      <c r="L23" s="28">
        <f>$J23/(1+0.07)^($A23-'A - Inputs'!$C$6)</f>
        <v>3254.503079537581</v>
      </c>
    </row>
    <row r="24" spans="1:12" x14ac:dyDescent="0.25">
      <c r="A24" s="273">
        <f t="shared" si="4"/>
        <v>2038</v>
      </c>
      <c r="B24" s="110">
        <f t="shared" si="4"/>
        <v>17</v>
      </c>
      <c r="C24" s="110">
        <f t="shared" ref="C24" si="17">C23+1</f>
        <v>14</v>
      </c>
      <c r="D24" s="18">
        <f t="shared" si="0"/>
        <v>11</v>
      </c>
      <c r="E24" s="40">
        <f t="shared" si="1"/>
        <v>15000</v>
      </c>
      <c r="F24" s="40">
        <f t="shared" si="6"/>
        <v>0</v>
      </c>
      <c r="G24" s="40">
        <f t="shared" si="2"/>
        <v>4000</v>
      </c>
      <c r="H24" s="216">
        <f>IF(B24&gt;'A - Inputs'!$C$11,0,F24+E24)</f>
        <v>15000</v>
      </c>
      <c r="I24" s="28">
        <f>IF(B24&gt;'A - Inputs'!$C$11,0,G24)</f>
        <v>4000</v>
      </c>
      <c r="J24" s="40">
        <f t="shared" si="3"/>
        <v>11000</v>
      </c>
      <c r="K24" s="40">
        <f>$J24/(1+0.03)^($A24-'A - Inputs'!$C$6)</f>
        <v>6273.1462949311754</v>
      </c>
      <c r="L24" s="28">
        <f>$J24/(1+0.07)^($A24-'A - Inputs'!$C$6)</f>
        <v>3041.5916631192345</v>
      </c>
    </row>
    <row r="25" spans="1:12" x14ac:dyDescent="0.25">
      <c r="A25" s="273">
        <f t="shared" ref="A25:C36" si="18">A24+1</f>
        <v>2039</v>
      </c>
      <c r="B25" s="110">
        <f t="shared" si="18"/>
        <v>18</v>
      </c>
      <c r="C25" s="110">
        <f t="shared" si="18"/>
        <v>15</v>
      </c>
      <c r="D25" s="18">
        <f t="shared" si="0"/>
        <v>12</v>
      </c>
      <c r="E25" s="40">
        <f t="shared" si="1"/>
        <v>15000</v>
      </c>
      <c r="F25" s="40">
        <f t="shared" si="6"/>
        <v>0</v>
      </c>
      <c r="G25" s="40">
        <f t="shared" si="2"/>
        <v>4000</v>
      </c>
      <c r="H25" s="216">
        <f>IF(B25&gt;'A - Inputs'!$C$11,0,F25+E25)</f>
        <v>15000</v>
      </c>
      <c r="I25" s="28">
        <f>IF(B25&gt;'A - Inputs'!$C$11,0,G25)</f>
        <v>4000</v>
      </c>
      <c r="J25" s="40">
        <f t="shared" si="3"/>
        <v>11000</v>
      </c>
      <c r="K25" s="40">
        <f>$J25/(1+0.03)^($A25-'A - Inputs'!$C$6)</f>
        <v>6090.4332960496849</v>
      </c>
      <c r="L25" s="28">
        <f>$J25/(1+0.07)^($A25-'A - Inputs'!$C$6)</f>
        <v>2842.6090309525557</v>
      </c>
    </row>
    <row r="26" spans="1:12" x14ac:dyDescent="0.25">
      <c r="A26" s="273">
        <f t="shared" si="18"/>
        <v>2040</v>
      </c>
      <c r="B26" s="110">
        <f t="shared" si="18"/>
        <v>19</v>
      </c>
      <c r="C26" s="110">
        <f t="shared" si="18"/>
        <v>16</v>
      </c>
      <c r="D26" s="18">
        <f t="shared" si="0"/>
        <v>13</v>
      </c>
      <c r="E26" s="40">
        <f t="shared" si="1"/>
        <v>15000</v>
      </c>
      <c r="F26" s="40">
        <f t="shared" si="6"/>
        <v>0</v>
      </c>
      <c r="G26" s="40">
        <f t="shared" si="2"/>
        <v>4000</v>
      </c>
      <c r="H26" s="216">
        <f>IF(B26&gt;'A - Inputs'!$C$11,0,F26+E26)</f>
        <v>15000</v>
      </c>
      <c r="I26" s="28">
        <f>IF(B26&gt;'A - Inputs'!$C$11,0,G26)</f>
        <v>4000</v>
      </c>
      <c r="J26" s="40">
        <f t="shared" si="3"/>
        <v>11000</v>
      </c>
      <c r="K26" s="40">
        <f>$J26/(1+0.03)^($A26-'A - Inputs'!$C$6)</f>
        <v>5913.0420349996948</v>
      </c>
      <c r="L26" s="28">
        <f>$J26/(1+0.07)^($A26-'A - Inputs'!$C$6)</f>
        <v>2656.6439541612667</v>
      </c>
    </row>
    <row r="27" spans="1:12" x14ac:dyDescent="0.25">
      <c r="A27" s="273">
        <f t="shared" si="18"/>
        <v>2041</v>
      </c>
      <c r="B27" s="110">
        <f t="shared" si="18"/>
        <v>20</v>
      </c>
      <c r="C27" s="110">
        <f t="shared" si="18"/>
        <v>17</v>
      </c>
      <c r="D27" s="18">
        <f t="shared" si="0"/>
        <v>14</v>
      </c>
      <c r="E27" s="40">
        <f t="shared" si="1"/>
        <v>15000</v>
      </c>
      <c r="F27" s="40">
        <f t="shared" si="6"/>
        <v>0</v>
      </c>
      <c r="G27" s="40">
        <f t="shared" si="2"/>
        <v>4000</v>
      </c>
      <c r="H27" s="216">
        <f>IF(B27&gt;'A - Inputs'!$C$11,0,F27+E27)</f>
        <v>15000</v>
      </c>
      <c r="I27" s="28">
        <f>IF(B27&gt;'A - Inputs'!$C$11,0,G27)</f>
        <v>4000</v>
      </c>
      <c r="J27" s="40">
        <f t="shared" si="3"/>
        <v>11000</v>
      </c>
      <c r="K27" s="40">
        <f>$J27/(1+0.03)^($A27-'A - Inputs'!$C$6)</f>
        <v>5740.8175097084404</v>
      </c>
      <c r="L27" s="28">
        <f>$J27/(1+0.07)^($A27-'A - Inputs'!$C$6)</f>
        <v>2482.8448169731464</v>
      </c>
    </row>
    <row r="28" spans="1:12" x14ac:dyDescent="0.25">
      <c r="A28" s="273">
        <f t="shared" si="18"/>
        <v>2042</v>
      </c>
      <c r="B28" s="110">
        <f t="shared" si="18"/>
        <v>21</v>
      </c>
      <c r="C28" s="110">
        <f t="shared" si="18"/>
        <v>18</v>
      </c>
      <c r="D28" s="18">
        <f t="shared" si="0"/>
        <v>15</v>
      </c>
      <c r="E28" s="40">
        <f t="shared" si="1"/>
        <v>15000</v>
      </c>
      <c r="F28" s="40">
        <f t="shared" si="6"/>
        <v>0</v>
      </c>
      <c r="G28" s="40">
        <f t="shared" si="2"/>
        <v>4000</v>
      </c>
      <c r="H28" s="216">
        <f>IF(B28&gt;'A - Inputs'!$C$11,0,F28+E28)</f>
        <v>15000</v>
      </c>
      <c r="I28" s="28">
        <f>IF(B28&gt;'A - Inputs'!$C$11,0,G28)</f>
        <v>4000</v>
      </c>
      <c r="J28" s="40">
        <f t="shared" si="3"/>
        <v>11000</v>
      </c>
      <c r="K28" s="40">
        <f>$J28/(1+0.03)^($A28-'A - Inputs'!$C$6)</f>
        <v>5573.6092327266415</v>
      </c>
      <c r="L28" s="28">
        <f>$J28/(1+0.07)^($A28-'A - Inputs'!$C$6)</f>
        <v>2320.4157167973331</v>
      </c>
    </row>
    <row r="29" spans="1:12" x14ac:dyDescent="0.25">
      <c r="A29" s="273">
        <f t="shared" si="18"/>
        <v>2043</v>
      </c>
      <c r="B29" s="110">
        <f t="shared" si="18"/>
        <v>22</v>
      </c>
      <c r="C29" s="110">
        <f t="shared" si="18"/>
        <v>19</v>
      </c>
      <c r="D29" s="18">
        <f t="shared" si="0"/>
        <v>16</v>
      </c>
      <c r="E29" s="40">
        <f t="shared" si="1"/>
        <v>15000</v>
      </c>
      <c r="F29" s="40">
        <f t="shared" si="6"/>
        <v>0</v>
      </c>
      <c r="G29" s="40">
        <f t="shared" si="2"/>
        <v>4000</v>
      </c>
      <c r="H29" s="216">
        <f>IF(B29&gt;'A - Inputs'!$C$11,0,F29+E29)</f>
        <v>15000</v>
      </c>
      <c r="I29" s="28">
        <f>IF(B29&gt;'A - Inputs'!$C$11,0,G29)</f>
        <v>4000</v>
      </c>
      <c r="J29" s="40">
        <f t="shared" si="3"/>
        <v>11000</v>
      </c>
      <c r="K29" s="40">
        <f>$J29/(1+0.03)^($A29-'A - Inputs'!$C$6)</f>
        <v>5411.2710997346039</v>
      </c>
      <c r="L29" s="28">
        <f>$J29/(1+0.07)^($A29-'A - Inputs'!$C$6)</f>
        <v>2168.6128194367598</v>
      </c>
    </row>
    <row r="30" spans="1:12" x14ac:dyDescent="0.25">
      <c r="A30" s="273">
        <f t="shared" si="18"/>
        <v>2044</v>
      </c>
      <c r="B30" s="110">
        <f t="shared" si="18"/>
        <v>23</v>
      </c>
      <c r="C30" s="110">
        <f t="shared" si="18"/>
        <v>20</v>
      </c>
      <c r="D30" s="18">
        <f t="shared" si="0"/>
        <v>17</v>
      </c>
      <c r="E30" s="40">
        <f t="shared" si="1"/>
        <v>15000</v>
      </c>
      <c r="F30" s="40">
        <f t="shared" si="6"/>
        <v>0</v>
      </c>
      <c r="G30" s="40">
        <f t="shared" si="2"/>
        <v>4000</v>
      </c>
      <c r="H30" s="216">
        <f>IF(B30&gt;'A - Inputs'!$C$11,0,F30+E30)</f>
        <v>15000</v>
      </c>
      <c r="I30" s="28">
        <f>IF(B30&gt;'A - Inputs'!$C$11,0,G30)</f>
        <v>4000</v>
      </c>
      <c r="J30" s="40">
        <f t="shared" si="3"/>
        <v>11000</v>
      </c>
      <c r="K30" s="40">
        <f>$J30/(1+0.03)^($A30-'A - Inputs'!$C$6)</f>
        <v>5253.6612618782565</v>
      </c>
      <c r="L30" s="28">
        <f>$J30/(1+0.07)^($A30-'A - Inputs'!$C$6)</f>
        <v>2026.7409527446353</v>
      </c>
    </row>
    <row r="31" spans="1:12" x14ac:dyDescent="0.25">
      <c r="A31" s="273">
        <f t="shared" si="18"/>
        <v>2045</v>
      </c>
      <c r="B31" s="110">
        <f t="shared" si="18"/>
        <v>24</v>
      </c>
      <c r="C31" s="110">
        <f t="shared" si="18"/>
        <v>21</v>
      </c>
      <c r="D31" s="18">
        <f t="shared" si="0"/>
        <v>18</v>
      </c>
      <c r="E31" s="40">
        <f t="shared" si="1"/>
        <v>15000</v>
      </c>
      <c r="F31" s="40">
        <f t="shared" si="6"/>
        <v>0</v>
      </c>
      <c r="G31" s="40">
        <f t="shared" si="2"/>
        <v>4000</v>
      </c>
      <c r="H31" s="216">
        <f>IF(B31&gt;'A - Inputs'!$C$11,0,F31+E31)</f>
        <v>0</v>
      </c>
      <c r="I31" s="28">
        <f>IF(B31&gt;'A - Inputs'!$C$11,0,G31)</f>
        <v>0</v>
      </c>
      <c r="J31" s="40">
        <f t="shared" si="3"/>
        <v>0</v>
      </c>
      <c r="K31" s="40">
        <f>$J31/(1+0.03)^($A31-'A - Inputs'!$C$6)</f>
        <v>0</v>
      </c>
      <c r="L31" s="28">
        <f>$J31/(1+0.07)^($A31-'A - Inputs'!$C$6)</f>
        <v>0</v>
      </c>
    </row>
    <row r="32" spans="1:12" x14ac:dyDescent="0.25">
      <c r="A32" s="273">
        <f t="shared" si="18"/>
        <v>2046</v>
      </c>
      <c r="B32" s="110">
        <f t="shared" si="18"/>
        <v>25</v>
      </c>
      <c r="C32" s="110">
        <f t="shared" si="18"/>
        <v>22</v>
      </c>
      <c r="D32" s="18">
        <f t="shared" si="0"/>
        <v>19</v>
      </c>
      <c r="E32" s="40">
        <f t="shared" si="1"/>
        <v>15000</v>
      </c>
      <c r="F32" s="40">
        <f t="shared" si="6"/>
        <v>0</v>
      </c>
      <c r="G32" s="40">
        <f t="shared" si="2"/>
        <v>4000</v>
      </c>
      <c r="H32" s="216">
        <f>IF(B32&gt;'A - Inputs'!$C$11,0,F32+E32)</f>
        <v>0</v>
      </c>
      <c r="I32" s="28">
        <f>IF(B32&gt;'A - Inputs'!$C$11,0,G32)</f>
        <v>0</v>
      </c>
      <c r="J32" s="40">
        <f t="shared" si="3"/>
        <v>0</v>
      </c>
      <c r="K32" s="40">
        <f>$J32/(1+0.03)^($A32-'A - Inputs'!$C$6)</f>
        <v>0</v>
      </c>
      <c r="L32" s="28">
        <f>$J32/(1+0.07)^($A32-'A - Inputs'!$C$6)</f>
        <v>0</v>
      </c>
    </row>
    <row r="33" spans="1:12" x14ac:dyDescent="0.25">
      <c r="A33" s="273">
        <f t="shared" si="18"/>
        <v>2047</v>
      </c>
      <c r="B33" s="110">
        <f t="shared" si="18"/>
        <v>26</v>
      </c>
      <c r="C33" s="110">
        <f t="shared" si="18"/>
        <v>23</v>
      </c>
      <c r="D33" s="18">
        <f t="shared" si="0"/>
        <v>20</v>
      </c>
      <c r="E33" s="40">
        <f t="shared" si="1"/>
        <v>15000</v>
      </c>
      <c r="F33" s="40">
        <f t="shared" si="6"/>
        <v>0</v>
      </c>
      <c r="G33" s="40">
        <f t="shared" si="2"/>
        <v>4000</v>
      </c>
      <c r="H33" s="216">
        <f>IF(B33&gt;'A - Inputs'!$C$11,0,F33+E33)</f>
        <v>0</v>
      </c>
      <c r="I33" s="28">
        <f>IF(B33&gt;'A - Inputs'!$C$11,0,G33)</f>
        <v>0</v>
      </c>
      <c r="J33" s="40">
        <f t="shared" si="3"/>
        <v>0</v>
      </c>
      <c r="K33" s="40">
        <f>$J33/(1+0.03)^($A33-'A - Inputs'!$C$6)</f>
        <v>0</v>
      </c>
      <c r="L33" s="28">
        <f>$J33/(1+0.07)^($A33-'A - Inputs'!$C$6)</f>
        <v>0</v>
      </c>
    </row>
    <row r="34" spans="1:12" x14ac:dyDescent="0.25">
      <c r="A34" s="273">
        <f t="shared" si="18"/>
        <v>2048</v>
      </c>
      <c r="B34" s="110">
        <f t="shared" si="18"/>
        <v>27</v>
      </c>
      <c r="C34" s="110">
        <f t="shared" si="18"/>
        <v>24</v>
      </c>
      <c r="D34" s="18">
        <f t="shared" si="0"/>
        <v>21</v>
      </c>
      <c r="E34" s="40">
        <f t="shared" si="1"/>
        <v>15000</v>
      </c>
      <c r="F34" s="40">
        <f t="shared" si="6"/>
        <v>0</v>
      </c>
      <c r="G34" s="40">
        <f t="shared" si="2"/>
        <v>4000</v>
      </c>
      <c r="H34" s="216">
        <f>IF(B34&gt;'A - Inputs'!$C$11,0,F34+E34)</f>
        <v>0</v>
      </c>
      <c r="I34" s="28">
        <f>IF(B34&gt;'A - Inputs'!$C$11,0,G34)</f>
        <v>0</v>
      </c>
      <c r="J34" s="40">
        <f t="shared" si="3"/>
        <v>0</v>
      </c>
      <c r="K34" s="40">
        <f>$J34/(1+0.03)^($A34-'A - Inputs'!$C$6)</f>
        <v>0</v>
      </c>
      <c r="L34" s="28">
        <f>$J34/(1+0.07)^($A34-'A - Inputs'!$C$6)</f>
        <v>0</v>
      </c>
    </row>
    <row r="35" spans="1:12" x14ac:dyDescent="0.25">
      <c r="A35" s="273">
        <f t="shared" si="18"/>
        <v>2049</v>
      </c>
      <c r="B35" s="110">
        <f t="shared" si="18"/>
        <v>28</v>
      </c>
      <c r="C35" s="110">
        <f t="shared" si="18"/>
        <v>25</v>
      </c>
      <c r="D35" s="18">
        <f t="shared" si="0"/>
        <v>22</v>
      </c>
      <c r="E35" s="40">
        <f t="shared" si="1"/>
        <v>15000</v>
      </c>
      <c r="F35" s="40">
        <f t="shared" si="6"/>
        <v>5100000</v>
      </c>
      <c r="G35" s="40">
        <f t="shared" si="2"/>
        <v>4000</v>
      </c>
      <c r="H35" s="216">
        <f>IF(B35&gt;'A - Inputs'!$C$11,0,F35+E35)</f>
        <v>0</v>
      </c>
      <c r="I35" s="28">
        <f>IF(B35&gt;'A - Inputs'!$C$11,0,G35)</f>
        <v>0</v>
      </c>
      <c r="J35" s="40">
        <f t="shared" si="3"/>
        <v>0</v>
      </c>
      <c r="K35" s="40">
        <f>$J35/(1+0.03)^($A35-'A - Inputs'!$C$6)</f>
        <v>0</v>
      </c>
      <c r="L35" s="28">
        <f>$J35/(1+0.07)^($A35-'A - Inputs'!$C$6)</f>
        <v>0</v>
      </c>
    </row>
    <row r="36" spans="1:12" x14ac:dyDescent="0.25">
      <c r="A36" s="273">
        <f t="shared" si="18"/>
        <v>2050</v>
      </c>
      <c r="B36" s="110">
        <f t="shared" si="18"/>
        <v>29</v>
      </c>
      <c r="C36" s="110">
        <f t="shared" si="18"/>
        <v>26</v>
      </c>
      <c r="D36" s="18">
        <f t="shared" si="0"/>
        <v>23</v>
      </c>
      <c r="E36" s="40">
        <f t="shared" si="1"/>
        <v>15000</v>
      </c>
      <c r="F36" s="40">
        <f t="shared" si="6"/>
        <v>0</v>
      </c>
      <c r="G36" s="40">
        <f t="shared" si="2"/>
        <v>4000</v>
      </c>
      <c r="H36" s="216">
        <f>IF(B36&gt;'A - Inputs'!$C$11,0,F36+E36)</f>
        <v>0</v>
      </c>
      <c r="I36" s="28">
        <f>IF(B36&gt;'A - Inputs'!$C$11,0,G36)</f>
        <v>0</v>
      </c>
      <c r="J36" s="40">
        <f t="shared" si="3"/>
        <v>0</v>
      </c>
      <c r="K36" s="40">
        <f>$J36/(1+0.03)^($A36-'A - Inputs'!$C$6)</f>
        <v>0</v>
      </c>
      <c r="L36" s="28">
        <f>$J36/(1+0.07)^($A36-'A - Inputs'!$C$6)</f>
        <v>0</v>
      </c>
    </row>
    <row r="37" spans="1:12" x14ac:dyDescent="0.25">
      <c r="A37" s="274"/>
      <c r="B37" s="265"/>
      <c r="C37" s="265"/>
      <c r="D37" s="270"/>
      <c r="E37" s="229">
        <f>SUM(E7:E36)</f>
        <v>390000</v>
      </c>
      <c r="F37" s="229">
        <f>SUM(F7:F36)</f>
        <v>10200000</v>
      </c>
      <c r="G37" s="229">
        <f>SUM(G7:G36)</f>
        <v>92000</v>
      </c>
      <c r="H37" s="309">
        <f>SUM(H7:H36)</f>
        <v>5400000</v>
      </c>
      <c r="I37" s="230">
        <f>SUM(I7:I36)</f>
        <v>68000</v>
      </c>
      <c r="J37" s="229">
        <f t="shared" ref="J37:K37" si="19">SUM(J7:J36)</f>
        <v>5332000</v>
      </c>
      <c r="K37" s="229">
        <f t="shared" si="19"/>
        <v>4422097.4946409175</v>
      </c>
      <c r="L37" s="230">
        <f>SUM(L7:L36)</f>
        <v>3488916.9889106462</v>
      </c>
    </row>
    <row r="39" spans="1:12" s="63" customFormat="1" ht="15" customHeight="1" x14ac:dyDescent="0.25">
      <c r="A39" s="62" t="s">
        <v>103</v>
      </c>
    </row>
    <row r="40" spans="1:12" ht="15" customHeight="1" x14ac:dyDescent="0.25">
      <c r="A40" s="16" t="s">
        <v>187</v>
      </c>
    </row>
    <row r="41" spans="1:12" ht="15" customHeight="1" x14ac:dyDescent="0.25"/>
  </sheetData>
  <mergeCells count="1">
    <mergeCell ref="G3:L4"/>
  </mergeCells>
  <pageMargins left="0.7" right="0.7" top="0.75" bottom="0.75" header="0.3" footer="0.3"/>
  <pageSetup scale="60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C9947-4306-4E43-8F29-8A5BA08C13A7}">
  <dimension ref="A1:X72"/>
  <sheetViews>
    <sheetView view="pageLayout" topLeftCell="A70" zoomScaleNormal="80" zoomScaleSheetLayoutView="90" workbookViewId="0">
      <selection activeCell="G9" sqref="G9"/>
    </sheetView>
  </sheetViews>
  <sheetFormatPr defaultColWidth="8.7109375" defaultRowHeight="15" outlineLevelRow="1" x14ac:dyDescent="0.25"/>
  <cols>
    <col min="1" max="1" width="3" style="8" bestFit="1" customWidth="1"/>
    <col min="2" max="2" width="20.5703125" style="8" bestFit="1" customWidth="1"/>
    <col min="3" max="3" width="32.42578125" style="8" customWidth="1"/>
    <col min="4" max="4" width="8.85546875" style="8" bestFit="1" customWidth="1"/>
    <col min="5" max="5" width="10.140625" style="8" customWidth="1"/>
    <col min="6" max="6" width="11.140625" style="8" bestFit="1" customWidth="1"/>
    <col min="7" max="7" width="9" style="8" bestFit="1" customWidth="1"/>
    <col min="8" max="8" width="11" style="8" customWidth="1"/>
    <col min="9" max="9" width="11.140625" style="8" bestFit="1" customWidth="1"/>
    <col min="10" max="10" width="11.85546875" style="8" bestFit="1" customWidth="1"/>
    <col min="11" max="11" width="12.28515625" style="10" bestFit="1" customWidth="1"/>
    <col min="12" max="12" width="12.140625" style="8" bestFit="1" customWidth="1"/>
    <col min="13" max="13" width="12.85546875" style="8" bestFit="1" customWidth="1"/>
    <col min="14" max="14" width="10.85546875" style="8" bestFit="1" customWidth="1"/>
    <col min="15" max="17" width="10.140625" style="8" customWidth="1"/>
    <col min="18" max="18" width="12.140625" style="8" bestFit="1" customWidth="1"/>
    <col min="19" max="20" width="11.140625" style="8" bestFit="1" customWidth="1"/>
    <col min="21" max="21" width="11" style="8" bestFit="1" customWidth="1"/>
    <col min="22" max="22" width="11" style="8" customWidth="1"/>
    <col min="23" max="23" width="11.42578125" style="8" bestFit="1" customWidth="1"/>
    <col min="24" max="24" width="11.85546875" style="8" bestFit="1" customWidth="1"/>
    <col min="25" max="16384" width="8.7109375" style="8"/>
  </cols>
  <sheetData>
    <row r="1" spans="1:24" outlineLevel="1" x14ac:dyDescent="0.25">
      <c r="A1" s="177"/>
      <c r="B1" s="177"/>
      <c r="C1" s="177"/>
      <c r="D1" s="177"/>
      <c r="E1" s="314" t="s">
        <v>104</v>
      </c>
      <c r="F1" s="315"/>
      <c r="G1" s="315"/>
      <c r="H1" s="315"/>
      <c r="I1" s="315"/>
      <c r="J1" s="315"/>
      <c r="K1" s="316"/>
      <c r="L1" s="314" t="s">
        <v>105</v>
      </c>
      <c r="M1" s="315"/>
      <c r="N1" s="315"/>
      <c r="O1" s="315"/>
      <c r="P1" s="315"/>
      <c r="Q1" s="315"/>
      <c r="R1" s="316"/>
      <c r="S1" s="111"/>
      <c r="T1" s="177"/>
      <c r="U1" s="9" t="s">
        <v>106</v>
      </c>
      <c r="V1" s="9"/>
      <c r="W1" s="9"/>
      <c r="X1" s="9"/>
    </row>
    <row r="2" spans="1:24" s="10" customFormat="1" ht="45" outlineLevel="1" x14ac:dyDescent="0.25">
      <c r="A2" s="174" t="s">
        <v>107</v>
      </c>
      <c r="B2" s="174" t="s">
        <v>108</v>
      </c>
      <c r="C2" s="174" t="s">
        <v>109</v>
      </c>
      <c r="D2" s="29" t="s">
        <v>110</v>
      </c>
      <c r="E2" s="104" t="s">
        <v>111</v>
      </c>
      <c r="F2" s="109" t="s">
        <v>112</v>
      </c>
      <c r="G2" s="109" t="s">
        <v>113</v>
      </c>
      <c r="H2" s="109" t="s">
        <v>114</v>
      </c>
      <c r="I2" s="109" t="s">
        <v>115</v>
      </c>
      <c r="J2" s="11" t="s">
        <v>116</v>
      </c>
      <c r="K2" s="128" t="s">
        <v>117</v>
      </c>
      <c r="L2" s="104" t="s">
        <v>111</v>
      </c>
      <c r="M2" s="109" t="s">
        <v>112</v>
      </c>
      <c r="N2" s="109" t="s">
        <v>113</v>
      </c>
      <c r="O2" s="109" t="s">
        <v>114</v>
      </c>
      <c r="P2" s="109" t="s">
        <v>115</v>
      </c>
      <c r="Q2" s="11" t="s">
        <v>116</v>
      </c>
      <c r="R2" s="128" t="s">
        <v>117</v>
      </c>
      <c r="S2" s="112"/>
      <c r="T2" s="12"/>
      <c r="U2" s="12" t="s">
        <v>118</v>
      </c>
      <c r="V2" s="12" t="s">
        <v>119</v>
      </c>
      <c r="W2" s="12" t="s">
        <v>120</v>
      </c>
      <c r="X2" s="13" t="s">
        <v>121</v>
      </c>
    </row>
    <row r="3" spans="1:24" ht="30" outlineLevel="1" x14ac:dyDescent="0.25">
      <c r="A3" s="177">
        <v>1</v>
      </c>
      <c r="B3" s="178" t="s">
        <v>122</v>
      </c>
      <c r="C3" s="178" t="s">
        <v>123</v>
      </c>
      <c r="D3" s="134">
        <v>5</v>
      </c>
      <c r="E3" s="115">
        <f>E12/$D$3</f>
        <v>3.4</v>
      </c>
      <c r="F3" s="116">
        <f t="shared" ref="F3:J3" si="0">F12/$D$3</f>
        <v>0</v>
      </c>
      <c r="G3" s="116">
        <f t="shared" si="0"/>
        <v>0</v>
      </c>
      <c r="H3" s="116">
        <f>H12/$D$3</f>
        <v>0.2</v>
      </c>
      <c r="I3" s="116">
        <f t="shared" si="0"/>
        <v>0</v>
      </c>
      <c r="J3" s="117">
        <f t="shared" si="0"/>
        <v>3.2</v>
      </c>
      <c r="K3" s="129">
        <f t="shared" ref="K3" si="1">K12/$D$3</f>
        <v>1.2</v>
      </c>
      <c r="L3" s="118">
        <f>SUM(M3:Q3)</f>
        <v>3.3800000000000003</v>
      </c>
      <c r="M3" s="119">
        <f>F3*0.9</f>
        <v>0</v>
      </c>
      <c r="N3" s="119">
        <f t="shared" ref="N3:P3" si="2">G3*0.9</f>
        <v>0</v>
      </c>
      <c r="O3" s="119">
        <f>H3*0.9</f>
        <v>0.18000000000000002</v>
      </c>
      <c r="P3" s="119">
        <f t="shared" si="2"/>
        <v>0</v>
      </c>
      <c r="Q3" s="120">
        <f>J3</f>
        <v>3.2</v>
      </c>
      <c r="R3" s="117">
        <f t="shared" ref="R3" si="3">R12/$D$3</f>
        <v>1.02</v>
      </c>
      <c r="S3" s="113"/>
      <c r="T3" s="16"/>
      <c r="U3" s="16" t="s">
        <v>116</v>
      </c>
      <c r="V3" s="16" t="s">
        <v>124</v>
      </c>
      <c r="W3" s="16" t="s">
        <v>125</v>
      </c>
      <c r="X3" s="17">
        <v>3700</v>
      </c>
    </row>
    <row r="4" spans="1:24" ht="30" outlineLevel="1" x14ac:dyDescent="0.25">
      <c r="A4" s="177">
        <f>A3+1</f>
        <v>2</v>
      </c>
      <c r="B4" s="178" t="s">
        <v>126</v>
      </c>
      <c r="C4" s="311" t="s">
        <v>192</v>
      </c>
      <c r="D4" s="134">
        <v>5</v>
      </c>
      <c r="E4" s="115">
        <f t="shared" ref="E4:K4" si="4">E13/$D$3</f>
        <v>0.2</v>
      </c>
      <c r="F4" s="116">
        <f t="shared" si="4"/>
        <v>0.2</v>
      </c>
      <c r="G4" s="116">
        <f t="shared" si="4"/>
        <v>0</v>
      </c>
      <c r="H4" s="116">
        <f t="shared" si="4"/>
        <v>0</v>
      </c>
      <c r="I4" s="116">
        <f t="shared" si="4"/>
        <v>0</v>
      </c>
      <c r="J4" s="117">
        <f t="shared" si="4"/>
        <v>0</v>
      </c>
      <c r="K4" s="129">
        <f t="shared" si="4"/>
        <v>0.2</v>
      </c>
      <c r="L4" s="115">
        <f t="shared" ref="L4:L7" si="5">SUM(M4:Q4)</f>
        <v>0.18000000000000002</v>
      </c>
      <c r="M4" s="121">
        <f t="shared" ref="M4:M7" si="6">F4*0.9</f>
        <v>0.18000000000000002</v>
      </c>
      <c r="N4" s="121">
        <f t="shared" ref="N4:N7" si="7">G4*0.9</f>
        <v>0</v>
      </c>
      <c r="O4" s="121">
        <f t="shared" ref="O4:O7" si="8">H4*0.9</f>
        <v>0</v>
      </c>
      <c r="P4" s="121">
        <f t="shared" ref="P4:P7" si="9">I4*0.9</f>
        <v>0</v>
      </c>
      <c r="Q4" s="122">
        <f t="shared" ref="Q4:Q7" si="10">J4</f>
        <v>0</v>
      </c>
      <c r="R4" s="129">
        <f t="shared" ref="R4:R7" si="11">K4*0.85</f>
        <v>0.17</v>
      </c>
      <c r="S4" s="113"/>
      <c r="T4" s="16"/>
      <c r="U4" s="16" t="s">
        <v>115</v>
      </c>
      <c r="V4" s="16" t="s">
        <v>127</v>
      </c>
      <c r="W4" s="16" t="s">
        <v>128</v>
      </c>
      <c r="X4" s="17">
        <v>72500</v>
      </c>
    </row>
    <row r="5" spans="1:24" s="5" customFormat="1" ht="30" outlineLevel="1" x14ac:dyDescent="0.25">
      <c r="A5" s="177">
        <f t="shared" ref="A5:A7" si="12">A4+1</f>
        <v>3</v>
      </c>
      <c r="B5" s="6" t="s">
        <v>129</v>
      </c>
      <c r="C5" s="6" t="s">
        <v>130</v>
      </c>
      <c r="D5" s="134">
        <v>5</v>
      </c>
      <c r="E5" s="115">
        <f t="shared" ref="E5:K5" si="13">E14/$D$3</f>
        <v>3.8</v>
      </c>
      <c r="F5" s="116">
        <f t="shared" si="13"/>
        <v>0</v>
      </c>
      <c r="G5" s="116">
        <f t="shared" si="13"/>
        <v>0.2</v>
      </c>
      <c r="H5" s="116">
        <f t="shared" si="13"/>
        <v>0</v>
      </c>
      <c r="I5" s="116">
        <f t="shared" si="13"/>
        <v>0</v>
      </c>
      <c r="J5" s="117">
        <f t="shared" si="13"/>
        <v>3.6</v>
      </c>
      <c r="K5" s="129">
        <f t="shared" si="13"/>
        <v>1</v>
      </c>
      <c r="L5" s="115">
        <f t="shared" si="5"/>
        <v>3.7800000000000002</v>
      </c>
      <c r="M5" s="121">
        <f t="shared" si="6"/>
        <v>0</v>
      </c>
      <c r="N5" s="121">
        <f t="shared" si="7"/>
        <v>0.18000000000000002</v>
      </c>
      <c r="O5" s="121">
        <f t="shared" si="8"/>
        <v>0</v>
      </c>
      <c r="P5" s="121">
        <f t="shared" si="9"/>
        <v>0</v>
      </c>
      <c r="Q5" s="122">
        <f t="shared" si="10"/>
        <v>3.6</v>
      </c>
      <c r="R5" s="129">
        <f t="shared" si="11"/>
        <v>0.85</v>
      </c>
      <c r="S5" s="113"/>
      <c r="T5" s="16"/>
      <c r="U5" s="16" t="s">
        <v>114</v>
      </c>
      <c r="V5" s="16" t="s">
        <v>131</v>
      </c>
      <c r="W5" s="16" t="s">
        <v>132</v>
      </c>
      <c r="X5" s="17">
        <v>142000</v>
      </c>
    </row>
    <row r="6" spans="1:24" s="5" customFormat="1" ht="30" outlineLevel="1" x14ac:dyDescent="0.25">
      <c r="A6" s="177">
        <f t="shared" si="12"/>
        <v>4</v>
      </c>
      <c r="B6" s="6" t="s">
        <v>133</v>
      </c>
      <c r="C6" s="6" t="s">
        <v>134</v>
      </c>
      <c r="D6" s="134">
        <v>5</v>
      </c>
      <c r="E6" s="115">
        <f t="shared" ref="E6:K6" si="14">E15/$D$3</f>
        <v>4.5999999999999996</v>
      </c>
      <c r="F6" s="116">
        <f t="shared" si="14"/>
        <v>0</v>
      </c>
      <c r="G6" s="116">
        <f t="shared" si="14"/>
        <v>0</v>
      </c>
      <c r="H6" s="116">
        <f t="shared" si="14"/>
        <v>0</v>
      </c>
      <c r="I6" s="116">
        <f t="shared" si="14"/>
        <v>0.4</v>
      </c>
      <c r="J6" s="117">
        <f t="shared" si="14"/>
        <v>4.2</v>
      </c>
      <c r="K6" s="129">
        <f t="shared" si="14"/>
        <v>1.2</v>
      </c>
      <c r="L6" s="115">
        <f t="shared" si="5"/>
        <v>4.5600000000000005</v>
      </c>
      <c r="M6" s="121">
        <f t="shared" si="6"/>
        <v>0</v>
      </c>
      <c r="N6" s="121">
        <f t="shared" si="7"/>
        <v>0</v>
      </c>
      <c r="O6" s="121">
        <f t="shared" si="8"/>
        <v>0</v>
      </c>
      <c r="P6" s="121">
        <f t="shared" si="9"/>
        <v>0.36000000000000004</v>
      </c>
      <c r="Q6" s="122">
        <f t="shared" si="10"/>
        <v>4.2</v>
      </c>
      <c r="R6" s="129">
        <f t="shared" si="11"/>
        <v>1.02</v>
      </c>
      <c r="S6" s="113"/>
      <c r="T6" s="16"/>
      <c r="U6" s="16" t="s">
        <v>113</v>
      </c>
      <c r="V6" s="16" t="s">
        <v>135</v>
      </c>
      <c r="W6" s="16" t="s">
        <v>136</v>
      </c>
      <c r="X6" s="17">
        <v>521300</v>
      </c>
    </row>
    <row r="7" spans="1:24" ht="30" outlineLevel="1" x14ac:dyDescent="0.25">
      <c r="A7" s="177">
        <f t="shared" si="12"/>
        <v>5</v>
      </c>
      <c r="B7" s="178" t="s">
        <v>137</v>
      </c>
      <c r="C7" s="178" t="s">
        <v>138</v>
      </c>
      <c r="D7" s="134">
        <v>5</v>
      </c>
      <c r="E7" s="123">
        <f t="shared" ref="E7:K7" si="15">E16/$D$3</f>
        <v>0.8</v>
      </c>
      <c r="F7" s="124">
        <f t="shared" si="15"/>
        <v>0</v>
      </c>
      <c r="G7" s="124">
        <f t="shared" si="15"/>
        <v>0</v>
      </c>
      <c r="H7" s="124">
        <f t="shared" si="15"/>
        <v>0</v>
      </c>
      <c r="I7" s="124">
        <f t="shared" si="15"/>
        <v>0</v>
      </c>
      <c r="J7" s="125">
        <f t="shared" si="15"/>
        <v>0.8</v>
      </c>
      <c r="K7" s="130">
        <f t="shared" si="15"/>
        <v>0.4</v>
      </c>
      <c r="L7" s="123">
        <f t="shared" si="5"/>
        <v>0.8</v>
      </c>
      <c r="M7" s="126">
        <f t="shared" si="6"/>
        <v>0</v>
      </c>
      <c r="N7" s="126">
        <f t="shared" si="7"/>
        <v>0</v>
      </c>
      <c r="O7" s="126">
        <f t="shared" si="8"/>
        <v>0</v>
      </c>
      <c r="P7" s="126">
        <f t="shared" si="9"/>
        <v>0</v>
      </c>
      <c r="Q7" s="127">
        <f t="shared" si="10"/>
        <v>0.8</v>
      </c>
      <c r="R7" s="130">
        <f t="shared" si="11"/>
        <v>0.34</v>
      </c>
      <c r="S7" s="113"/>
      <c r="T7" s="16"/>
      <c r="U7" s="16" t="s">
        <v>112</v>
      </c>
      <c r="V7" s="16" t="s">
        <v>139</v>
      </c>
      <c r="W7" s="16" t="s">
        <v>140</v>
      </c>
      <c r="X7" s="17">
        <v>10900000</v>
      </c>
    </row>
    <row r="8" spans="1:24" outlineLevel="1" x14ac:dyDescent="0.25">
      <c r="A8" s="177"/>
      <c r="B8" s="178"/>
      <c r="C8" s="178"/>
      <c r="D8" s="114"/>
      <c r="E8" s="179" t="s">
        <v>121</v>
      </c>
      <c r="F8" s="132">
        <f>VLOOKUP(F2,$U$2:$X$8,4,FALSE)</f>
        <v>10900000</v>
      </c>
      <c r="G8" s="132">
        <f t="shared" ref="G8:J8" si="16">VLOOKUP(G2,$U$2:$X$8,4,FALSE)</f>
        <v>521300</v>
      </c>
      <c r="H8" s="132">
        <f t="shared" si="16"/>
        <v>142000</v>
      </c>
      <c r="I8" s="132">
        <f t="shared" si="16"/>
        <v>72500</v>
      </c>
      <c r="J8" s="132">
        <f t="shared" si="16"/>
        <v>3700</v>
      </c>
      <c r="K8" s="14"/>
      <c r="L8" s="179"/>
      <c r="M8" s="132">
        <f>VLOOKUP(M2,$U$2:$X$8,4,FALSE)</f>
        <v>10900000</v>
      </c>
      <c r="N8" s="132">
        <f t="shared" ref="N8:Q8" si="17">VLOOKUP(N2,$U$2:$X$8,4,FALSE)</f>
        <v>521300</v>
      </c>
      <c r="O8" s="132">
        <f t="shared" si="17"/>
        <v>142000</v>
      </c>
      <c r="P8" s="132">
        <f t="shared" si="17"/>
        <v>72500</v>
      </c>
      <c r="Q8" s="132">
        <f t="shared" si="17"/>
        <v>3700</v>
      </c>
      <c r="R8" s="110"/>
      <c r="S8" s="113"/>
      <c r="T8" s="177"/>
      <c r="U8" s="16" t="s">
        <v>141</v>
      </c>
      <c r="V8" s="16" t="s">
        <v>193</v>
      </c>
      <c r="W8" s="16" t="s">
        <v>142</v>
      </c>
      <c r="X8" s="17">
        <v>150200</v>
      </c>
    </row>
    <row r="9" spans="1:24" outlineLevel="1" x14ac:dyDescent="0.25">
      <c r="A9" s="177"/>
      <c r="B9" s="178"/>
      <c r="C9" s="178"/>
      <c r="D9" s="114"/>
      <c r="E9" s="179"/>
      <c r="F9" s="132"/>
      <c r="G9" s="132"/>
      <c r="H9" s="132"/>
      <c r="I9" s="132"/>
      <c r="J9" s="132"/>
      <c r="K9" s="14"/>
      <c r="L9" s="179"/>
      <c r="M9" s="132"/>
      <c r="N9" s="132"/>
      <c r="O9" s="132"/>
      <c r="P9" s="132"/>
      <c r="Q9" s="132"/>
      <c r="R9" s="110"/>
      <c r="S9" s="113"/>
      <c r="T9" s="177"/>
      <c r="U9" s="16"/>
      <c r="V9" s="16"/>
      <c r="W9" s="16"/>
      <c r="X9" s="17"/>
    </row>
    <row r="10" spans="1:24" outlineLevel="1" x14ac:dyDescent="0.25">
      <c r="A10" s="177"/>
      <c r="B10" s="178"/>
      <c r="C10" s="178"/>
      <c r="D10" s="114"/>
      <c r="E10" s="179"/>
      <c r="F10" s="132"/>
      <c r="G10" s="132"/>
      <c r="H10" s="132"/>
      <c r="I10" s="132"/>
      <c r="J10" s="132"/>
      <c r="K10" s="14"/>
      <c r="L10" s="179"/>
      <c r="M10" s="132"/>
      <c r="N10" s="132"/>
      <c r="O10" s="132"/>
      <c r="P10" s="132"/>
      <c r="Q10" s="132"/>
      <c r="R10" s="110"/>
      <c r="S10" s="113"/>
      <c r="T10" s="177"/>
      <c r="U10" s="16"/>
      <c r="V10" s="16"/>
      <c r="W10" s="16"/>
      <c r="X10" s="17"/>
    </row>
    <row r="11" spans="1:24" ht="45" outlineLevel="1" x14ac:dyDescent="0.25">
      <c r="A11" s="177"/>
      <c r="B11" s="178"/>
      <c r="C11" s="178"/>
      <c r="D11" s="114"/>
      <c r="E11" s="104" t="s">
        <v>111</v>
      </c>
      <c r="F11" s="109" t="s">
        <v>112</v>
      </c>
      <c r="G11" s="109" t="s">
        <v>113</v>
      </c>
      <c r="H11" s="109" t="s">
        <v>114</v>
      </c>
      <c r="I11" s="109" t="s">
        <v>115</v>
      </c>
      <c r="J11" s="11" t="s">
        <v>116</v>
      </c>
      <c r="K11" s="128" t="s">
        <v>117</v>
      </c>
      <c r="L11" s="104" t="s">
        <v>111</v>
      </c>
      <c r="M11" s="109" t="s">
        <v>112</v>
      </c>
      <c r="N11" s="109" t="s">
        <v>113</v>
      </c>
      <c r="O11" s="109" t="s">
        <v>114</v>
      </c>
      <c r="P11" s="109" t="s">
        <v>115</v>
      </c>
      <c r="Q11" s="11" t="s">
        <v>116</v>
      </c>
      <c r="R11" s="128" t="s">
        <v>117</v>
      </c>
      <c r="S11" s="113"/>
      <c r="T11" s="177"/>
      <c r="U11" s="16"/>
      <c r="V11" s="16"/>
      <c r="W11" s="16"/>
      <c r="X11" s="17"/>
    </row>
    <row r="12" spans="1:24" outlineLevel="1" x14ac:dyDescent="0.25">
      <c r="A12" s="177"/>
      <c r="B12" s="178"/>
      <c r="C12" s="178"/>
      <c r="D12" s="114"/>
      <c r="E12" s="115">
        <f>17</f>
        <v>17</v>
      </c>
      <c r="F12" s="116">
        <f>0</f>
        <v>0</v>
      </c>
      <c r="G12" s="116">
        <v>0</v>
      </c>
      <c r="H12" s="116">
        <v>1</v>
      </c>
      <c r="I12" s="116">
        <v>0</v>
      </c>
      <c r="J12" s="117">
        <v>16</v>
      </c>
      <c r="K12" s="129">
        <v>6</v>
      </c>
      <c r="L12" s="118">
        <f>SUM(M12:Q12)</f>
        <v>16.899999999999999</v>
      </c>
      <c r="M12" s="119">
        <f>F12*0.9</f>
        <v>0</v>
      </c>
      <c r="N12" s="119">
        <f t="shared" ref="N12:N16" si="18">G12*0.9</f>
        <v>0</v>
      </c>
      <c r="O12" s="119">
        <f t="shared" ref="O12:O16" si="19">H12*0.9</f>
        <v>0.9</v>
      </c>
      <c r="P12" s="119">
        <f t="shared" ref="P12:P16" si="20">I12*0.9</f>
        <v>0</v>
      </c>
      <c r="Q12" s="120">
        <f>J12</f>
        <v>16</v>
      </c>
      <c r="R12" s="131">
        <f>K12*0.85</f>
        <v>5.0999999999999996</v>
      </c>
      <c r="S12" s="113"/>
      <c r="T12" s="177"/>
      <c r="U12" s="16"/>
      <c r="V12" s="16"/>
      <c r="W12" s="16"/>
      <c r="X12" s="17"/>
    </row>
    <row r="13" spans="1:24" outlineLevel="1" x14ac:dyDescent="0.25">
      <c r="A13" s="177"/>
      <c r="B13" s="178"/>
      <c r="C13" s="178"/>
      <c r="D13" s="114"/>
      <c r="E13" s="115">
        <v>1</v>
      </c>
      <c r="F13" s="116">
        <v>1</v>
      </c>
      <c r="G13" s="116">
        <v>0</v>
      </c>
      <c r="H13" s="116">
        <v>0</v>
      </c>
      <c r="I13" s="116">
        <v>0</v>
      </c>
      <c r="J13" s="117">
        <v>0</v>
      </c>
      <c r="K13" s="129">
        <v>1</v>
      </c>
      <c r="L13" s="115">
        <f t="shared" ref="L13:L16" si="21">SUM(M13:Q13)</f>
        <v>0.9</v>
      </c>
      <c r="M13" s="121">
        <f t="shared" ref="M13:M16" si="22">F13*0.9</f>
        <v>0.9</v>
      </c>
      <c r="N13" s="121">
        <f t="shared" si="18"/>
        <v>0</v>
      </c>
      <c r="O13" s="121">
        <f t="shared" si="19"/>
        <v>0</v>
      </c>
      <c r="P13" s="121">
        <f t="shared" si="20"/>
        <v>0</v>
      </c>
      <c r="Q13" s="122">
        <f t="shared" ref="Q13:Q16" si="23">J13</f>
        <v>0</v>
      </c>
      <c r="R13" s="129">
        <f t="shared" ref="R13:R16" si="24">K13*0.85</f>
        <v>0.85</v>
      </c>
      <c r="S13" s="113"/>
      <c r="T13" s="177"/>
      <c r="U13" s="16"/>
      <c r="V13" s="16"/>
      <c r="W13" s="16"/>
      <c r="X13" s="17"/>
    </row>
    <row r="14" spans="1:24" outlineLevel="1" x14ac:dyDescent="0.25">
      <c r="A14" s="177"/>
      <c r="B14" s="178"/>
      <c r="C14" s="178"/>
      <c r="D14" s="114"/>
      <c r="E14" s="115">
        <v>19</v>
      </c>
      <c r="F14" s="116">
        <v>0</v>
      </c>
      <c r="G14" s="116">
        <v>1</v>
      </c>
      <c r="H14" s="116">
        <v>0</v>
      </c>
      <c r="I14" s="116">
        <v>0</v>
      </c>
      <c r="J14" s="117">
        <v>18</v>
      </c>
      <c r="K14" s="129">
        <v>5</v>
      </c>
      <c r="L14" s="115">
        <f t="shared" si="21"/>
        <v>18.899999999999999</v>
      </c>
      <c r="M14" s="121">
        <f t="shared" si="22"/>
        <v>0</v>
      </c>
      <c r="N14" s="121">
        <f t="shared" si="18"/>
        <v>0.9</v>
      </c>
      <c r="O14" s="121">
        <f t="shared" si="19"/>
        <v>0</v>
      </c>
      <c r="P14" s="121">
        <f t="shared" si="20"/>
        <v>0</v>
      </c>
      <c r="Q14" s="122">
        <f t="shared" si="23"/>
        <v>18</v>
      </c>
      <c r="R14" s="129">
        <f t="shared" si="24"/>
        <v>4.25</v>
      </c>
      <c r="S14" s="113"/>
      <c r="T14" s="177"/>
      <c r="U14" s="16"/>
      <c r="V14" s="16"/>
      <c r="W14" s="16"/>
      <c r="X14" s="17"/>
    </row>
    <row r="15" spans="1:24" outlineLevel="1" x14ac:dyDescent="0.25">
      <c r="A15" s="177"/>
      <c r="B15" s="178"/>
      <c r="C15" s="178"/>
      <c r="D15" s="114"/>
      <c r="E15" s="115">
        <v>23</v>
      </c>
      <c r="F15" s="116">
        <v>0</v>
      </c>
      <c r="G15" s="116">
        <v>0</v>
      </c>
      <c r="H15" s="116">
        <v>0</v>
      </c>
      <c r="I15" s="116">
        <v>2</v>
      </c>
      <c r="J15" s="117">
        <v>21</v>
      </c>
      <c r="K15" s="129">
        <v>6</v>
      </c>
      <c r="L15" s="115">
        <f t="shared" si="21"/>
        <v>22.8</v>
      </c>
      <c r="M15" s="121">
        <f t="shared" si="22"/>
        <v>0</v>
      </c>
      <c r="N15" s="121">
        <f t="shared" si="18"/>
        <v>0</v>
      </c>
      <c r="O15" s="121">
        <f t="shared" si="19"/>
        <v>0</v>
      </c>
      <c r="P15" s="121">
        <f t="shared" si="20"/>
        <v>1.8</v>
      </c>
      <c r="Q15" s="122">
        <f t="shared" si="23"/>
        <v>21</v>
      </c>
      <c r="R15" s="129">
        <f t="shared" si="24"/>
        <v>5.0999999999999996</v>
      </c>
      <c r="S15" s="113"/>
      <c r="T15" s="177"/>
      <c r="U15" s="16"/>
      <c r="V15" s="16"/>
      <c r="W15" s="16"/>
      <c r="X15" s="17"/>
    </row>
    <row r="16" spans="1:24" outlineLevel="1" x14ac:dyDescent="0.25">
      <c r="A16" s="177"/>
      <c r="B16" s="178"/>
      <c r="C16" s="178"/>
      <c r="D16" s="114"/>
      <c r="E16" s="123">
        <v>4</v>
      </c>
      <c r="F16" s="124">
        <v>0</v>
      </c>
      <c r="G16" s="124">
        <v>0</v>
      </c>
      <c r="H16" s="124">
        <v>0</v>
      </c>
      <c r="I16" s="124">
        <v>0</v>
      </c>
      <c r="J16" s="125">
        <v>4</v>
      </c>
      <c r="K16" s="130">
        <v>2</v>
      </c>
      <c r="L16" s="123">
        <f t="shared" si="21"/>
        <v>4</v>
      </c>
      <c r="M16" s="126">
        <f t="shared" si="22"/>
        <v>0</v>
      </c>
      <c r="N16" s="126">
        <f t="shared" si="18"/>
        <v>0</v>
      </c>
      <c r="O16" s="126">
        <f t="shared" si="19"/>
        <v>0</v>
      </c>
      <c r="P16" s="126">
        <f t="shared" si="20"/>
        <v>0</v>
      </c>
      <c r="Q16" s="127">
        <f t="shared" si="23"/>
        <v>4</v>
      </c>
      <c r="R16" s="130">
        <f t="shared" si="24"/>
        <v>1.7</v>
      </c>
      <c r="S16" s="110"/>
      <c r="T16" s="177"/>
      <c r="U16" s="176"/>
      <c r="V16" s="176"/>
      <c r="W16" s="177"/>
      <c r="X16" s="177"/>
    </row>
    <row r="17" spans="1:24" outlineLevel="1" x14ac:dyDescent="0.25">
      <c r="A17" s="177"/>
      <c r="B17" s="178"/>
      <c r="C17" s="178"/>
      <c r="D17" s="114"/>
      <c r="E17" s="102"/>
      <c r="F17" s="102"/>
      <c r="G17" s="102"/>
      <c r="H17" s="102"/>
      <c r="I17" s="3"/>
      <c r="J17" s="102"/>
      <c r="K17" s="14"/>
      <c r="L17" s="102"/>
      <c r="M17" s="15"/>
      <c r="N17" s="15"/>
      <c r="O17" s="15"/>
      <c r="P17" s="15"/>
      <c r="Q17" s="15"/>
      <c r="R17" s="110"/>
      <c r="S17" s="110"/>
      <c r="T17" s="177"/>
      <c r="U17" s="176"/>
      <c r="V17" s="176"/>
      <c r="W17" s="177"/>
      <c r="X17" s="177"/>
    </row>
    <row r="18" spans="1:24" s="20" customFormat="1" ht="45" customHeight="1" x14ac:dyDescent="0.25">
      <c r="A18" s="180"/>
      <c r="B18" s="181"/>
      <c r="C18" s="180"/>
      <c r="D18" s="180"/>
      <c r="E18" s="180"/>
      <c r="F18" s="182"/>
      <c r="G18" s="106"/>
      <c r="H18" s="21" t="s">
        <v>122</v>
      </c>
      <c r="I18" s="21" t="s">
        <v>126</v>
      </c>
      <c r="J18" s="21" t="s">
        <v>129</v>
      </c>
      <c r="K18" s="21" t="s">
        <v>133</v>
      </c>
      <c r="L18" s="21" t="s">
        <v>137</v>
      </c>
      <c r="M18" s="182"/>
      <c r="N18" s="180"/>
      <c r="O18" s="180"/>
      <c r="P18" s="180"/>
      <c r="Q18" s="180"/>
      <c r="R18" s="180"/>
      <c r="S18" s="180"/>
      <c r="T18" s="180"/>
      <c r="U18" s="177"/>
      <c r="V18" s="177"/>
      <c r="W18" s="177"/>
      <c r="X18" s="177"/>
    </row>
    <row r="19" spans="1:24" ht="21" customHeight="1" x14ac:dyDescent="0.25">
      <c r="A19" s="177"/>
      <c r="B19" s="177"/>
      <c r="C19" s="177"/>
      <c r="D19" s="177"/>
      <c r="E19" s="177"/>
      <c r="F19" s="177"/>
      <c r="G19" s="173" t="s">
        <v>143</v>
      </c>
      <c r="H19" s="19">
        <f>SUMPRODUCT($F$8:$J$8,F3:J3)</f>
        <v>40240</v>
      </c>
      <c r="I19" s="19">
        <f>SUMPRODUCT($F$8:$J$8,F4:J4)</f>
        <v>2180000</v>
      </c>
      <c r="J19" s="19">
        <f>SUMPRODUCT($F$8:$J$8,F5:J5)</f>
        <v>117580</v>
      </c>
      <c r="K19" s="19">
        <f>SUMPRODUCT($F$8:$J$8,F6:J6)</f>
        <v>44540</v>
      </c>
      <c r="L19" s="19">
        <f>SUMPRODUCT($F$8:$J$8,F7:J7)</f>
        <v>2960</v>
      </c>
      <c r="M19" s="19"/>
      <c r="N19" s="19"/>
      <c r="O19" s="177"/>
      <c r="P19" s="177"/>
      <c r="Q19" s="177"/>
      <c r="R19" s="177"/>
      <c r="S19" s="177"/>
      <c r="T19" s="177"/>
      <c r="U19" s="177"/>
      <c r="V19" s="177"/>
      <c r="W19" s="177"/>
      <c r="X19" s="177"/>
    </row>
    <row r="20" spans="1:24" ht="22.5" customHeight="1" x14ac:dyDescent="0.25">
      <c r="A20" s="177"/>
      <c r="B20" s="177"/>
      <c r="C20" s="177"/>
      <c r="D20" s="177"/>
      <c r="E20" s="177"/>
      <c r="F20" s="177"/>
      <c r="G20" s="173" t="s">
        <v>144</v>
      </c>
      <c r="H20" s="19">
        <f>SUMPRODUCT($M$8:$Q$8,$M3:$Q3)</f>
        <v>37400</v>
      </c>
      <c r="I20" s="19">
        <f>SUMPRODUCT($M$8:$Q$8,$M4:$Q4)</f>
        <v>1962000.0000000002</v>
      </c>
      <c r="J20" s="19">
        <f>SUMPRODUCT($M$8:$Q$8,$M5:$Q5)</f>
        <v>107154.00000000001</v>
      </c>
      <c r="K20" s="19">
        <f>SUMPRODUCT($M$8:$Q$8,$M6:$Q6)</f>
        <v>41640</v>
      </c>
      <c r="L20" s="19">
        <f>SUMPRODUCT($M$8:$Q$8,$M7:$Q7)</f>
        <v>2960</v>
      </c>
      <c r="M20" s="22"/>
      <c r="N20" s="22"/>
      <c r="O20" s="177"/>
      <c r="P20" s="177"/>
      <c r="Q20" s="177"/>
      <c r="R20" s="177"/>
      <c r="S20" s="177"/>
      <c r="T20" s="177"/>
      <c r="U20" s="177"/>
      <c r="V20" s="177"/>
      <c r="W20" s="177"/>
      <c r="X20" s="177"/>
    </row>
    <row r="21" spans="1:24" ht="15.6" hidden="1" customHeight="1" x14ac:dyDescent="0.25">
      <c r="A21" s="177"/>
      <c r="B21" s="177"/>
      <c r="C21" s="177"/>
      <c r="D21" s="177"/>
      <c r="E21" s="177"/>
      <c r="F21" s="183"/>
      <c r="G21" s="105"/>
      <c r="H21" s="183"/>
      <c r="I21" s="183"/>
      <c r="J21" s="183"/>
      <c r="K21" s="183"/>
      <c r="L21" s="183"/>
      <c r="M21" s="177"/>
      <c r="N21" s="177"/>
      <c r="O21" s="177"/>
      <c r="P21" s="177"/>
      <c r="Q21" s="177"/>
      <c r="R21" s="177"/>
      <c r="S21" s="177"/>
      <c r="T21" s="177"/>
      <c r="U21" s="177"/>
      <c r="V21" s="177"/>
      <c r="W21" s="177"/>
      <c r="X21" s="177"/>
    </row>
    <row r="22" spans="1:24" ht="15.6" hidden="1" customHeight="1" x14ac:dyDescent="0.25">
      <c r="A22" s="177"/>
      <c r="B22" s="23"/>
      <c r="C22" s="177"/>
      <c r="D22" s="177"/>
      <c r="E22" s="177"/>
      <c r="F22" s="183"/>
      <c r="G22" s="105"/>
      <c r="H22" s="22"/>
      <c r="I22" s="22"/>
      <c r="J22" s="22"/>
      <c r="K22" s="22"/>
      <c r="L22" s="22"/>
      <c r="M22" s="22"/>
      <c r="N22" s="22"/>
      <c r="O22" s="177"/>
      <c r="P22" s="177"/>
      <c r="Q22" s="177"/>
      <c r="R22" s="177"/>
      <c r="S22" s="177"/>
      <c r="T22" s="177"/>
      <c r="U22" s="177"/>
      <c r="V22" s="177"/>
      <c r="W22" s="177"/>
      <c r="X22" s="177"/>
    </row>
    <row r="23" spans="1:24" ht="15.6" hidden="1" customHeight="1" x14ac:dyDescent="0.25">
      <c r="A23" s="177"/>
      <c r="B23" s="177"/>
      <c r="C23" s="177"/>
      <c r="D23" s="177"/>
      <c r="E23" s="177"/>
      <c r="F23" s="177"/>
      <c r="G23" s="95"/>
      <c r="H23" s="24"/>
      <c r="I23" s="24"/>
      <c r="J23" s="24"/>
      <c r="K23" s="24"/>
      <c r="L23" s="24"/>
      <c r="M23" s="24"/>
      <c r="N23" s="24"/>
      <c r="O23" s="177"/>
      <c r="P23" s="177"/>
      <c r="Q23" s="177"/>
      <c r="R23" s="177"/>
      <c r="S23" s="177"/>
      <c r="T23" s="177"/>
      <c r="U23" s="177"/>
      <c r="V23" s="177"/>
      <c r="W23" s="177"/>
      <c r="X23" s="177"/>
    </row>
    <row r="24" spans="1:24" hidden="1" x14ac:dyDescent="0.25">
      <c r="A24" s="177"/>
      <c r="B24" s="177"/>
      <c r="C24" s="177"/>
      <c r="D24" s="177"/>
      <c r="E24" s="177"/>
      <c r="F24" s="177"/>
      <c r="G24" s="95"/>
      <c r="H24" s="184"/>
      <c r="I24" s="184"/>
      <c r="J24" s="184"/>
      <c r="K24" s="184"/>
      <c r="L24" s="184"/>
      <c r="M24" s="184"/>
      <c r="N24" s="177"/>
      <c r="O24" s="177"/>
      <c r="P24" s="177"/>
      <c r="Q24" s="177"/>
      <c r="R24" s="177"/>
      <c r="S24" s="177"/>
      <c r="T24" s="177"/>
      <c r="U24" s="177"/>
      <c r="V24" s="177"/>
      <c r="W24" s="177"/>
      <c r="X24" s="177"/>
    </row>
    <row r="25" spans="1:24" x14ac:dyDescent="0.25">
      <c r="A25" s="177"/>
      <c r="B25" s="177"/>
      <c r="C25" s="177"/>
      <c r="D25" s="177"/>
      <c r="E25" s="177"/>
      <c r="F25" s="177"/>
      <c r="G25" s="96"/>
      <c r="H25" s="177"/>
      <c r="I25" s="177"/>
      <c r="J25" s="177"/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7"/>
      <c r="V25" s="177"/>
      <c r="W25" s="177"/>
      <c r="X25" s="177"/>
    </row>
    <row r="26" spans="1:24" x14ac:dyDescent="0.25">
      <c r="D26" s="280"/>
      <c r="E26" s="281"/>
      <c r="F26" s="283"/>
      <c r="G26" s="315" t="s">
        <v>145</v>
      </c>
      <c r="H26" s="315"/>
      <c r="I26" s="315"/>
      <c r="J26" s="315"/>
      <c r="K26" s="315"/>
      <c r="L26" s="316"/>
      <c r="M26" s="314" t="s">
        <v>146</v>
      </c>
      <c r="N26" s="315"/>
      <c r="O26" s="315"/>
      <c r="P26" s="315"/>
      <c r="Q26" s="315"/>
      <c r="R26" s="315"/>
      <c r="S26" s="314" t="s">
        <v>92</v>
      </c>
      <c r="T26" s="315"/>
      <c r="U26" s="316"/>
      <c r="V26"/>
      <c r="W26"/>
      <c r="X26"/>
    </row>
    <row r="27" spans="1:24" ht="60" x14ac:dyDescent="0.25">
      <c r="D27" s="25" t="s">
        <v>40</v>
      </c>
      <c r="E27" s="21" t="s">
        <v>41</v>
      </c>
      <c r="F27" s="25" t="s">
        <v>147</v>
      </c>
      <c r="G27" s="21" t="s">
        <v>122</v>
      </c>
      <c r="H27" s="21" t="s">
        <v>126</v>
      </c>
      <c r="I27" s="21" t="s">
        <v>129</v>
      </c>
      <c r="J27" s="21" t="s">
        <v>133</v>
      </c>
      <c r="K27" s="26" t="s">
        <v>137</v>
      </c>
      <c r="L27" s="133" t="s">
        <v>148</v>
      </c>
      <c r="M27" s="21" t="s">
        <v>122</v>
      </c>
      <c r="N27" s="21" t="s">
        <v>126</v>
      </c>
      <c r="O27" s="21" t="s">
        <v>129</v>
      </c>
      <c r="P27" s="21" t="s">
        <v>133</v>
      </c>
      <c r="Q27" s="26" t="s">
        <v>137</v>
      </c>
      <c r="R27" s="275" t="s">
        <v>45</v>
      </c>
      <c r="S27" s="275" t="s">
        <v>92</v>
      </c>
      <c r="T27" s="27" t="s">
        <v>19</v>
      </c>
      <c r="U27" s="67" t="s">
        <v>20</v>
      </c>
      <c r="V27"/>
      <c r="W27"/>
      <c r="X27"/>
    </row>
    <row r="28" spans="1:24" x14ac:dyDescent="0.25">
      <c r="D28" s="233">
        <f>'A - Inputs'!$C$7</f>
        <v>2021</v>
      </c>
      <c r="E28" s="282">
        <v>0</v>
      </c>
      <c r="F28" s="103">
        <f t="shared" ref="F28:F64" si="25">MAX(D28-BenefitStart+1,0)</f>
        <v>0</v>
      </c>
      <c r="G28" s="276">
        <f>IF(OR($D28&lt;$D$35,$E28&gt;'A - Inputs'!$C$11),0,$E$3)</f>
        <v>0</v>
      </c>
      <c r="H28" s="276">
        <f>IF(OR($D28&lt;$D$35,$E28&gt;'A - Inputs'!$C$11),0,$I$19)</f>
        <v>0</v>
      </c>
      <c r="I28" s="276">
        <f>IF(OR($D28&lt;$D$35,$E28&gt;'A - Inputs'!$C$11),0,$J$19)</f>
        <v>0</v>
      </c>
      <c r="J28" s="276">
        <f>IF(OR($D28&lt;$D$35,$E28&gt;'A - Inputs'!$C$11),0,$K$19)</f>
        <v>0</v>
      </c>
      <c r="K28" s="276">
        <f>IF(OR($D28&lt;$D$35,$E28&gt;'A - Inputs'!$C$11),0,$L$19)</f>
        <v>0</v>
      </c>
      <c r="L28" s="185">
        <f t="shared" ref="L28:L57" si="26">SUM(G28:K28)</f>
        <v>0</v>
      </c>
      <c r="M28" s="276">
        <f>IF(OR($D28&lt;$D$35,$E28&gt;'A - Inputs'!$C$11),0,$H$20)</f>
        <v>0</v>
      </c>
      <c r="N28" s="276">
        <f>IF(OR($D28&lt;$D$35,$E28&gt;'A - Inputs'!$C$11),0,$I$20)</f>
        <v>0</v>
      </c>
      <c r="O28" s="276">
        <f>IF(OR($D28&lt;$D$35,$E28&gt;'A - Inputs'!$C$11),0,$J$20)</f>
        <v>0</v>
      </c>
      <c r="P28" s="276">
        <f>IF(OR($D28&lt;$D$35,$E28&gt;'A - Inputs'!$C$11),0,$K$20)</f>
        <v>0</v>
      </c>
      <c r="Q28" s="276">
        <f>IF(OR($D28&lt;$D$35,$E28&gt;'A - Inputs'!$C$11),0,$L$20)</f>
        <v>0</v>
      </c>
      <c r="R28" s="284">
        <f t="shared" ref="R28:R57" si="27">SUM(M28:Q28)</f>
        <v>0</v>
      </c>
      <c r="S28" s="301">
        <f t="shared" ref="S28:S57" si="28">L28-R28</f>
        <v>0</v>
      </c>
      <c r="T28" s="302">
        <f>S28/(1+0.03)^(D28-'A - Inputs'!$C$6)</f>
        <v>0</v>
      </c>
      <c r="U28" s="303">
        <f>S28/(1+0.07)^(D28-'A - Inputs'!$C$6)</f>
        <v>0</v>
      </c>
      <c r="V28"/>
      <c r="W28"/>
      <c r="X28"/>
    </row>
    <row r="29" spans="1:24" x14ac:dyDescent="0.25">
      <c r="D29" s="234">
        <f t="shared" ref="D29:D64" si="29">D28+1</f>
        <v>2022</v>
      </c>
      <c r="E29" s="282">
        <f t="shared" ref="E29:E64" si="30">E28+1</f>
        <v>1</v>
      </c>
      <c r="F29" s="103">
        <f t="shared" si="25"/>
        <v>0</v>
      </c>
      <c r="G29" s="276">
        <f>IF(OR($D29&lt;$D$35,$E29&gt;'A - Inputs'!$C$11),0,$E$3)</f>
        <v>0</v>
      </c>
      <c r="H29" s="276">
        <f>IF(OR($D29&lt;$D$35,$E29&gt;'A - Inputs'!$C$11),0,$I$19)</f>
        <v>0</v>
      </c>
      <c r="I29" s="276">
        <f>IF(OR($D29&lt;$D$35,$E29&gt;'A - Inputs'!$C$11),0,$J$19)</f>
        <v>0</v>
      </c>
      <c r="J29" s="276">
        <f>IF(OR($D29&lt;$D$35,$E29&gt;'A - Inputs'!$C$11),0,$K$19)</f>
        <v>0</v>
      </c>
      <c r="K29" s="276">
        <f>IF(OR($D29&lt;$D$35,$E29&gt;'A - Inputs'!$C$11),0,$L$19)</f>
        <v>0</v>
      </c>
      <c r="L29" s="185">
        <f t="shared" si="26"/>
        <v>0</v>
      </c>
      <c r="M29" s="276">
        <f>IF(OR($D29&lt;$D$35,$E29&gt;'A - Inputs'!$C$11),0,$H$20)</f>
        <v>0</v>
      </c>
      <c r="N29" s="276">
        <f>IF(OR($D29&lt;$D$35,$E29&gt;'A - Inputs'!$C$11),0,$I$20)</f>
        <v>0</v>
      </c>
      <c r="O29" s="276">
        <f>IF(OR($D29&lt;$D$35,$E29&gt;'A - Inputs'!$C$11),0,$J$20)</f>
        <v>0</v>
      </c>
      <c r="P29" s="276">
        <f>IF(OR($D29&lt;$D$35,$E29&gt;'A - Inputs'!$C$11),0,$K$20)</f>
        <v>0</v>
      </c>
      <c r="Q29" s="276">
        <f>IF(OR($D29&lt;$D$35,$E29&gt;'A - Inputs'!$C$11),0,$L$20)</f>
        <v>0</v>
      </c>
      <c r="R29" s="284">
        <f t="shared" si="27"/>
        <v>0</v>
      </c>
      <c r="S29" s="284">
        <f t="shared" si="28"/>
        <v>0</v>
      </c>
      <c r="T29" s="276">
        <f>S29/(1+0.03)^(D29-'A - Inputs'!$C$6)</f>
        <v>0</v>
      </c>
      <c r="U29" s="186">
        <f>S29/(1+0.07)^(D29-'A - Inputs'!$C$6)</f>
        <v>0</v>
      </c>
      <c r="V29"/>
      <c r="W29"/>
      <c r="X29"/>
    </row>
    <row r="30" spans="1:24" x14ac:dyDescent="0.25">
      <c r="D30" s="234">
        <f t="shared" si="29"/>
        <v>2023</v>
      </c>
      <c r="E30" s="282">
        <f t="shared" si="30"/>
        <v>2</v>
      </c>
      <c r="F30" s="103">
        <f t="shared" si="25"/>
        <v>0</v>
      </c>
      <c r="G30" s="276">
        <f>IF(OR($D30&lt;$D$35,$E30&gt;'A - Inputs'!$C$11),0,$E$3)</f>
        <v>0</v>
      </c>
      <c r="H30" s="276">
        <f>IF(OR($D30&lt;$D$35,$E30&gt;'A - Inputs'!$C$11),0,$I$19)</f>
        <v>0</v>
      </c>
      <c r="I30" s="276">
        <f>IF(OR($D30&lt;$D$35,$E30&gt;'A - Inputs'!$C$11),0,$J$19)</f>
        <v>0</v>
      </c>
      <c r="J30" s="276">
        <f>IF(OR($D30&lt;$D$35,$E30&gt;'A - Inputs'!$C$11),0,$K$19)</f>
        <v>0</v>
      </c>
      <c r="K30" s="276">
        <f>IF(OR($D30&lt;$D$35,$E30&gt;'A - Inputs'!$C$11),0,$L$19)</f>
        <v>0</v>
      </c>
      <c r="L30" s="185">
        <f t="shared" si="26"/>
        <v>0</v>
      </c>
      <c r="M30" s="276">
        <f>IF(OR($D30&lt;$D$35,$E30&gt;'A - Inputs'!$C$11),0,$H$20)</f>
        <v>0</v>
      </c>
      <c r="N30" s="276">
        <f>IF(OR($D30&lt;$D$35,$E30&gt;'A - Inputs'!$C$11),0,$I$20)</f>
        <v>0</v>
      </c>
      <c r="O30" s="276">
        <f>IF(OR($D30&lt;$D$35,$E30&gt;'A - Inputs'!$C$11),0,$J$20)</f>
        <v>0</v>
      </c>
      <c r="P30" s="276">
        <f>IF(OR($D30&lt;$D$35,$E30&gt;'A - Inputs'!$C$11),0,$K$20)</f>
        <v>0</v>
      </c>
      <c r="Q30" s="276">
        <f>IF(OR($D30&lt;$D$35,$E30&gt;'A - Inputs'!$C$11),0,$L$20)</f>
        <v>0</v>
      </c>
      <c r="R30" s="284">
        <f t="shared" si="27"/>
        <v>0</v>
      </c>
      <c r="S30" s="284">
        <f t="shared" si="28"/>
        <v>0</v>
      </c>
      <c r="T30" s="276">
        <f>S30/(1+0.03)^(D30-'A - Inputs'!$C$6)</f>
        <v>0</v>
      </c>
      <c r="U30" s="186">
        <f>S30/(1+0.07)^(D30-'A - Inputs'!$C$6)</f>
        <v>0</v>
      </c>
      <c r="V30"/>
      <c r="W30"/>
      <c r="X30"/>
    </row>
    <row r="31" spans="1:24" x14ac:dyDescent="0.25">
      <c r="D31" s="234">
        <f t="shared" si="29"/>
        <v>2024</v>
      </c>
      <c r="E31" s="282">
        <f t="shared" si="30"/>
        <v>3</v>
      </c>
      <c r="F31" s="103">
        <f t="shared" si="25"/>
        <v>0</v>
      </c>
      <c r="G31" s="276">
        <f>IF(OR($D31&lt;$D$35,$E31&gt;'A - Inputs'!$C$11),0,$E$3)</f>
        <v>0</v>
      </c>
      <c r="H31" s="276">
        <f>IF(OR($D31&lt;$D$35,$E31&gt;'A - Inputs'!$C$11),0,$I$19)</f>
        <v>0</v>
      </c>
      <c r="I31" s="276">
        <f>IF(OR($D31&lt;$D$35,$E31&gt;'A - Inputs'!$C$11),0,$J$19)</f>
        <v>0</v>
      </c>
      <c r="J31" s="276">
        <f>IF(OR($D31&lt;$D$35,$E31&gt;'A - Inputs'!$C$11),0,$K$19)</f>
        <v>0</v>
      </c>
      <c r="K31" s="276">
        <f>IF(OR($D31&lt;$D$35,$E31&gt;'A - Inputs'!$C$11),0,$L$19)</f>
        <v>0</v>
      </c>
      <c r="L31" s="185">
        <f t="shared" si="26"/>
        <v>0</v>
      </c>
      <c r="M31" s="276">
        <f>IF(OR($D31&lt;$D$35,$E31&gt;'A - Inputs'!$C$11),0,$H$20)</f>
        <v>0</v>
      </c>
      <c r="N31" s="276">
        <f>IF(OR($D31&lt;$D$35,$E31&gt;'A - Inputs'!$C$11),0,$I$20)</f>
        <v>0</v>
      </c>
      <c r="O31" s="276">
        <f>IF(OR($D31&lt;$D$35,$E31&gt;'A - Inputs'!$C$11),0,$J$20)</f>
        <v>0</v>
      </c>
      <c r="P31" s="276">
        <f>IF(OR($D31&lt;$D$35,$E31&gt;'A - Inputs'!$C$11),0,$K$20)</f>
        <v>0</v>
      </c>
      <c r="Q31" s="276">
        <f>IF(OR($D31&lt;$D$35,$E31&gt;'A - Inputs'!$C$11),0,$L$20)</f>
        <v>0</v>
      </c>
      <c r="R31" s="284">
        <f t="shared" si="27"/>
        <v>0</v>
      </c>
      <c r="S31" s="284">
        <f t="shared" si="28"/>
        <v>0</v>
      </c>
      <c r="T31" s="276">
        <f>S31/(1+0.03)^(D31-'A - Inputs'!$C$6)</f>
        <v>0</v>
      </c>
      <c r="U31" s="186">
        <f>S31/(1+0.07)^(D31-'A - Inputs'!$C$6)</f>
        <v>0</v>
      </c>
      <c r="V31"/>
      <c r="W31"/>
      <c r="X31"/>
    </row>
    <row r="32" spans="1:24" x14ac:dyDescent="0.25">
      <c r="D32" s="234">
        <f t="shared" si="29"/>
        <v>2025</v>
      </c>
      <c r="E32" s="282">
        <f t="shared" si="30"/>
        <v>4</v>
      </c>
      <c r="F32" s="103">
        <f t="shared" si="25"/>
        <v>0</v>
      </c>
      <c r="G32" s="276">
        <f>IF(OR($D32&lt;$D$35,$E32&gt;'A - Inputs'!$C$11),0,$E$3)</f>
        <v>0</v>
      </c>
      <c r="H32" s="276">
        <f>IF(OR($D32&lt;$D$35,$E32&gt;'A - Inputs'!$C$11),0,$I$19)</f>
        <v>0</v>
      </c>
      <c r="I32" s="276">
        <f>IF(OR($D32&lt;$D$35,$E32&gt;'A - Inputs'!$C$11),0,$J$19)</f>
        <v>0</v>
      </c>
      <c r="J32" s="276">
        <f>IF(OR($D32&lt;$D$35,$E32&gt;'A - Inputs'!$C$11),0,$K$19)</f>
        <v>0</v>
      </c>
      <c r="K32" s="276">
        <f>IF(OR($D32&lt;$D$35,$E32&gt;'A - Inputs'!$C$11),0,$L$19)</f>
        <v>0</v>
      </c>
      <c r="L32" s="185">
        <f t="shared" si="26"/>
        <v>0</v>
      </c>
      <c r="M32" s="276">
        <f>IF(OR($D32&lt;$D$35,$E32&gt;'A - Inputs'!$C$11),0,$H$20)</f>
        <v>0</v>
      </c>
      <c r="N32" s="276">
        <f>IF(OR($D32&lt;$D$35,$E32&gt;'A - Inputs'!$C$11),0,$I$20)</f>
        <v>0</v>
      </c>
      <c r="O32" s="276">
        <f>IF(OR($D32&lt;$D$35,$E32&gt;'A - Inputs'!$C$11),0,$J$20)</f>
        <v>0</v>
      </c>
      <c r="P32" s="276">
        <f>IF(OR($D32&lt;$D$35,$E32&gt;'A - Inputs'!$C$11),0,$K$20)</f>
        <v>0</v>
      </c>
      <c r="Q32" s="276">
        <f>IF(OR($D32&lt;$D$35,$E32&gt;'A - Inputs'!$C$11),0,$L$20)</f>
        <v>0</v>
      </c>
      <c r="R32" s="284">
        <f t="shared" si="27"/>
        <v>0</v>
      </c>
      <c r="S32" s="284">
        <f t="shared" si="28"/>
        <v>0</v>
      </c>
      <c r="T32" s="276">
        <f>S32/(1+0.03)^(D32-'A - Inputs'!$C$6)</f>
        <v>0</v>
      </c>
      <c r="U32" s="186">
        <f>S32/(1+0.07)^(D32-'A - Inputs'!$C$6)</f>
        <v>0</v>
      </c>
      <c r="V32"/>
      <c r="W32"/>
      <c r="X32"/>
    </row>
    <row r="33" spans="4:24" x14ac:dyDescent="0.25">
      <c r="D33" s="234">
        <f t="shared" si="29"/>
        <v>2026</v>
      </c>
      <c r="E33" s="282">
        <f t="shared" si="30"/>
        <v>5</v>
      </c>
      <c r="F33" s="103">
        <f t="shared" si="25"/>
        <v>0</v>
      </c>
      <c r="G33" s="276">
        <f>IF(OR($D33&lt;$D$35,$E33&gt;'A - Inputs'!$C$11),0,$E$3)</f>
        <v>0</v>
      </c>
      <c r="H33" s="276">
        <f>IF(OR($D33&lt;$D$35,$E33&gt;'A - Inputs'!$C$11),0,$I$19)</f>
        <v>0</v>
      </c>
      <c r="I33" s="276">
        <f>IF(OR($D33&lt;$D$35,$E33&gt;'A - Inputs'!$C$11),0,$J$19)</f>
        <v>0</v>
      </c>
      <c r="J33" s="276">
        <f>IF(OR($D33&lt;$D$35,$E33&gt;'A - Inputs'!$C$11),0,$K$19)</f>
        <v>0</v>
      </c>
      <c r="K33" s="276">
        <f>IF(OR($D33&lt;$D$35,$E33&gt;'A - Inputs'!$C$11),0,$L$19)</f>
        <v>0</v>
      </c>
      <c r="L33" s="185">
        <f t="shared" si="26"/>
        <v>0</v>
      </c>
      <c r="M33" s="276">
        <f>IF(OR($D33&lt;$D$35,$E33&gt;'A - Inputs'!$C$11),0,$H$20)</f>
        <v>0</v>
      </c>
      <c r="N33" s="276">
        <f>IF(OR($D33&lt;$D$35,$E33&gt;'A - Inputs'!$C$11),0,$I$20)</f>
        <v>0</v>
      </c>
      <c r="O33" s="276">
        <f>IF(OR($D33&lt;$D$35,$E33&gt;'A - Inputs'!$C$11),0,$J$20)</f>
        <v>0</v>
      </c>
      <c r="P33" s="276">
        <f>IF(OR($D33&lt;$D$35,$E33&gt;'A - Inputs'!$C$11),0,$K$20)</f>
        <v>0</v>
      </c>
      <c r="Q33" s="276">
        <f>IF(OR($D33&lt;$D$35,$E33&gt;'A - Inputs'!$C$11),0,$L$20)</f>
        <v>0</v>
      </c>
      <c r="R33" s="284">
        <f t="shared" si="27"/>
        <v>0</v>
      </c>
      <c r="S33" s="284">
        <f t="shared" si="28"/>
        <v>0</v>
      </c>
      <c r="T33" s="276">
        <f>S33/(1+0.03)^(D33-'A - Inputs'!$C$6)</f>
        <v>0</v>
      </c>
      <c r="U33" s="186">
        <f>S33/(1+0.07)^(D33-'A - Inputs'!$C$6)</f>
        <v>0</v>
      </c>
      <c r="V33" s="177"/>
      <c r="W33" s="177"/>
      <c r="X33" s="177"/>
    </row>
    <row r="34" spans="4:24" x14ac:dyDescent="0.25">
      <c r="D34" s="234">
        <f t="shared" si="29"/>
        <v>2027</v>
      </c>
      <c r="E34" s="282">
        <f t="shared" si="30"/>
        <v>6</v>
      </c>
      <c r="F34" s="103">
        <f t="shared" si="25"/>
        <v>0</v>
      </c>
      <c r="G34" s="276">
        <f>IF(OR($D34&lt;$D$35,$E34&gt;'A - Inputs'!$C$11),0,$E$3)</f>
        <v>0</v>
      </c>
      <c r="H34" s="276">
        <f>IF(OR($D34&lt;$D$35,$E34&gt;'A - Inputs'!$C$11),0,$I$19)</f>
        <v>0</v>
      </c>
      <c r="I34" s="276">
        <f>IF(OR($D34&lt;$D$35,$E34&gt;'A - Inputs'!$C$11),0,$J$19)</f>
        <v>0</v>
      </c>
      <c r="J34" s="276">
        <f>IF(OR($D34&lt;$D$35,$E34&gt;'A - Inputs'!$C$11),0,$K$19)</f>
        <v>0</v>
      </c>
      <c r="K34" s="276">
        <f>IF(OR($D34&lt;$D$35,$E34&gt;'A - Inputs'!$C$11),0,$L$19)</f>
        <v>0</v>
      </c>
      <c r="L34" s="185">
        <f t="shared" si="26"/>
        <v>0</v>
      </c>
      <c r="M34" s="276">
        <f>IF(OR($D34&lt;$D$35,$E34&gt;'A - Inputs'!$C$11),0,$H$20)</f>
        <v>0</v>
      </c>
      <c r="N34" s="276">
        <f>IF(OR($D34&lt;$D$35,$E34&gt;'A - Inputs'!$C$11),0,$I$20)</f>
        <v>0</v>
      </c>
      <c r="O34" s="276">
        <f>IF(OR($D34&lt;$D$35,$E34&gt;'A - Inputs'!$C$11),0,$J$20)</f>
        <v>0</v>
      </c>
      <c r="P34" s="276">
        <f>IF(OR($D34&lt;$D$35,$E34&gt;'A - Inputs'!$C$11),0,$K$20)</f>
        <v>0</v>
      </c>
      <c r="Q34" s="276">
        <f>IF(OR($D34&lt;$D$35,$E34&gt;'A - Inputs'!$C$11),0,$L$20)</f>
        <v>0</v>
      </c>
      <c r="R34" s="284">
        <f t="shared" si="27"/>
        <v>0</v>
      </c>
      <c r="S34" s="284">
        <f t="shared" si="28"/>
        <v>0</v>
      </c>
      <c r="T34" s="276">
        <f>S34/(1+0.03)^(D34-'A - Inputs'!$C$6)</f>
        <v>0</v>
      </c>
      <c r="U34" s="186">
        <f>S34/(1+0.07)^(D34-'A - Inputs'!$C$6)</f>
        <v>0</v>
      </c>
      <c r="V34" s="177"/>
      <c r="W34" s="177"/>
      <c r="X34" s="177"/>
    </row>
    <row r="35" spans="4:24" x14ac:dyDescent="0.25">
      <c r="D35" s="234">
        <f t="shared" si="29"/>
        <v>2028</v>
      </c>
      <c r="E35" s="282">
        <f t="shared" si="30"/>
        <v>7</v>
      </c>
      <c r="F35" s="103">
        <f t="shared" si="25"/>
        <v>1</v>
      </c>
      <c r="G35" s="276">
        <f>IF(OR($D35&lt;$D$35,$E35&gt;'A - Inputs'!$C$11),0,$H$19)</f>
        <v>40240</v>
      </c>
      <c r="H35" s="276">
        <f>IF(OR($D35&lt;$D$35,$E35&gt;'A - Inputs'!$C$11),0,$I$19)</f>
        <v>2180000</v>
      </c>
      <c r="I35" s="276">
        <f>IF(OR($D35&lt;$D$35,$E35&gt;'A - Inputs'!$C$11),0,$J$19)</f>
        <v>117580</v>
      </c>
      <c r="J35" s="276">
        <f>IF(OR($D35&lt;$D$35,$E35&gt;'A - Inputs'!$C$11),0,$K$19)</f>
        <v>44540</v>
      </c>
      <c r="K35" s="276">
        <f>IF(OR($D35&lt;$D$35,$E35&gt;'A - Inputs'!$C$11),0,$L$19)</f>
        <v>2960</v>
      </c>
      <c r="L35" s="185">
        <f t="shared" si="26"/>
        <v>2385320</v>
      </c>
      <c r="M35" s="276">
        <f>IF(OR($D35&lt;$D$35,$E35&gt;'A - Inputs'!$C$11),0,$H$20)</f>
        <v>37400</v>
      </c>
      <c r="N35" s="276">
        <f>IF(OR($D35&lt;$D$35,$E35&gt;'A - Inputs'!$C$11),0,$I$20)</f>
        <v>1962000.0000000002</v>
      </c>
      <c r="O35" s="276">
        <f>IF(OR($D35&lt;$D$35,$E35&gt;'A - Inputs'!$C$11),0,$J$20)</f>
        <v>107154.00000000001</v>
      </c>
      <c r="P35" s="276">
        <f>IF(OR($D35&lt;$D$35,$E35&gt;'A - Inputs'!$C$11),0,$K$20)</f>
        <v>41640</v>
      </c>
      <c r="Q35" s="276">
        <f>IF(OR($D35&lt;$D$35,$E35&gt;'A - Inputs'!$C$11),0,$L$20)</f>
        <v>2960</v>
      </c>
      <c r="R35" s="284">
        <f t="shared" si="27"/>
        <v>2151154.0000000005</v>
      </c>
      <c r="S35" s="284">
        <f>L35-R35</f>
        <v>234165.99999999953</v>
      </c>
      <c r="T35" s="276">
        <f>S35/(1+0.03)^(D35-'A - Inputs'!$C$6)</f>
        <v>179468.7405459774</v>
      </c>
      <c r="U35" s="186">
        <f>S35/(1+0.07)^(D35-'A - Inputs'!$C$6)</f>
        <v>127370.78876595935</v>
      </c>
      <c r="V35" s="177"/>
      <c r="W35" s="177"/>
      <c r="X35" s="177"/>
    </row>
    <row r="36" spans="4:24" x14ac:dyDescent="0.25">
      <c r="D36" s="234">
        <f t="shared" si="29"/>
        <v>2029</v>
      </c>
      <c r="E36" s="282">
        <f t="shared" si="30"/>
        <v>8</v>
      </c>
      <c r="F36" s="103">
        <f t="shared" si="25"/>
        <v>2</v>
      </c>
      <c r="G36" s="276">
        <f>IF(OR($D36&lt;$D$35,$E36&gt;'A - Inputs'!$C$11),0,$H$19)</f>
        <v>40240</v>
      </c>
      <c r="H36" s="276">
        <f>IF(OR($D36&lt;$D$35,$E36&gt;'A - Inputs'!$C$11),0,$I$19)</f>
        <v>2180000</v>
      </c>
      <c r="I36" s="276">
        <f>IF(OR($D36&lt;$D$35,$E36&gt;'A - Inputs'!$C$11),0,$J$19)</f>
        <v>117580</v>
      </c>
      <c r="J36" s="276">
        <f>IF(OR($D36&lt;$D$35,$E36&gt;'A - Inputs'!$C$11),0,$K$19)</f>
        <v>44540</v>
      </c>
      <c r="K36" s="276">
        <f>IF(OR($D36&lt;$D$35,$E36&gt;'A - Inputs'!$C$11),0,$L$19)</f>
        <v>2960</v>
      </c>
      <c r="L36" s="185">
        <f t="shared" si="26"/>
        <v>2385320</v>
      </c>
      <c r="M36" s="276">
        <f>IF(OR($D36&lt;$D$35,$E36&gt;'A - Inputs'!$C$11),0,$H$20)</f>
        <v>37400</v>
      </c>
      <c r="N36" s="276">
        <f>IF(OR($D36&lt;$D$35,$E36&gt;'A - Inputs'!$C$11),0,$I$20)</f>
        <v>1962000.0000000002</v>
      </c>
      <c r="O36" s="276">
        <f>IF(OR($D36&lt;$D$35,$E36&gt;'A - Inputs'!$C$11),0,$J$20)</f>
        <v>107154.00000000001</v>
      </c>
      <c r="P36" s="276">
        <f>IF(OR($D36&lt;$D$35,$E36&gt;'A - Inputs'!$C$11),0,$K$20)</f>
        <v>41640</v>
      </c>
      <c r="Q36" s="276">
        <f>IF(OR($D36&lt;$D$35,$E36&gt;'A - Inputs'!$C$11),0,$L$20)</f>
        <v>2960</v>
      </c>
      <c r="R36" s="284">
        <f t="shared" si="27"/>
        <v>2151154.0000000005</v>
      </c>
      <c r="S36" s="284">
        <f t="shared" si="28"/>
        <v>234165.99999999953</v>
      </c>
      <c r="T36" s="276">
        <f>S36/(1+0.03)^(D36-'A - Inputs'!$C$6)</f>
        <v>174241.49567570622</v>
      </c>
      <c r="U36" s="186">
        <f>S36/(1+0.07)^(D36-'A - Inputs'!$C$6)</f>
        <v>119038.1203420181</v>
      </c>
      <c r="V36" s="177"/>
      <c r="W36" s="177"/>
      <c r="X36" s="177"/>
    </row>
    <row r="37" spans="4:24" x14ac:dyDescent="0.25">
      <c r="D37" s="234">
        <f t="shared" si="29"/>
        <v>2030</v>
      </c>
      <c r="E37" s="282">
        <f t="shared" si="30"/>
        <v>9</v>
      </c>
      <c r="F37" s="103">
        <f t="shared" si="25"/>
        <v>3</v>
      </c>
      <c r="G37" s="276">
        <f>IF(OR($D37&lt;$D$35,$E37&gt;'A - Inputs'!$C$11),0,$H$19)</f>
        <v>40240</v>
      </c>
      <c r="H37" s="276">
        <f>IF(OR($D37&lt;$D$35,$E37&gt;'A - Inputs'!$C$11),0,$I$19)</f>
        <v>2180000</v>
      </c>
      <c r="I37" s="276">
        <f>IF(OR($D37&lt;$D$35,$E37&gt;'A - Inputs'!$C$11),0,$J$19)</f>
        <v>117580</v>
      </c>
      <c r="J37" s="276">
        <f>IF(OR($D37&lt;$D$35,$E37&gt;'A - Inputs'!$C$11),0,$K$19)</f>
        <v>44540</v>
      </c>
      <c r="K37" s="276">
        <f>IF(OR($D37&lt;$D$35,$E37&gt;'A - Inputs'!$C$11),0,$L$19)</f>
        <v>2960</v>
      </c>
      <c r="L37" s="185">
        <f t="shared" si="26"/>
        <v>2385320</v>
      </c>
      <c r="M37" s="276">
        <f>IF(OR($D37&lt;$D$35,$E37&gt;'A - Inputs'!$C$11),0,$H$20)</f>
        <v>37400</v>
      </c>
      <c r="N37" s="276">
        <f>IF(OR($D37&lt;$D$35,$E37&gt;'A - Inputs'!$C$11),0,$I$20)</f>
        <v>1962000.0000000002</v>
      </c>
      <c r="O37" s="276">
        <f>IF(OR($D37&lt;$D$35,$E37&gt;'A - Inputs'!$C$11),0,$J$20)</f>
        <v>107154.00000000001</v>
      </c>
      <c r="P37" s="276">
        <f>IF(OR($D37&lt;$D$35,$E37&gt;'A - Inputs'!$C$11),0,$K$20)</f>
        <v>41640</v>
      </c>
      <c r="Q37" s="276">
        <f>IF(OR($D37&lt;$D$35,$E37&gt;'A - Inputs'!$C$11),0,$L$20)</f>
        <v>2960</v>
      </c>
      <c r="R37" s="284">
        <f t="shared" si="27"/>
        <v>2151154.0000000005</v>
      </c>
      <c r="S37" s="284">
        <f t="shared" si="28"/>
        <v>234165.99999999953</v>
      </c>
      <c r="T37" s="276">
        <f>S37/(1+0.03)^(D37-'A - Inputs'!$C$6)</f>
        <v>169166.50065602543</v>
      </c>
      <c r="U37" s="186">
        <f>S37/(1+0.07)^(D37-'A - Inputs'!$C$6)</f>
        <v>111250.5797588954</v>
      </c>
      <c r="V37" s="177"/>
      <c r="W37" s="177"/>
      <c r="X37" s="177"/>
    </row>
    <row r="38" spans="4:24" x14ac:dyDescent="0.25">
      <c r="D38" s="234">
        <f t="shared" si="29"/>
        <v>2031</v>
      </c>
      <c r="E38" s="282">
        <f t="shared" si="30"/>
        <v>10</v>
      </c>
      <c r="F38" s="103">
        <f t="shared" si="25"/>
        <v>4</v>
      </c>
      <c r="G38" s="276">
        <f>IF(OR($D38&lt;$D$35,$E38&gt;'A - Inputs'!$C$11),0,$H$19)</f>
        <v>40240</v>
      </c>
      <c r="H38" s="276">
        <f>IF(OR($D38&lt;$D$35,$E38&gt;'A - Inputs'!$C$11),0,$I$19)</f>
        <v>2180000</v>
      </c>
      <c r="I38" s="276">
        <f>IF(OR($D38&lt;$D$35,$E38&gt;'A - Inputs'!$C$11),0,$J$19)</f>
        <v>117580</v>
      </c>
      <c r="J38" s="276">
        <f>IF(OR($D38&lt;$D$35,$E38&gt;'A - Inputs'!$C$11),0,$K$19)</f>
        <v>44540</v>
      </c>
      <c r="K38" s="276">
        <f>IF(OR($D38&lt;$D$35,$E38&gt;'A - Inputs'!$C$11),0,$L$19)</f>
        <v>2960</v>
      </c>
      <c r="L38" s="185">
        <f t="shared" si="26"/>
        <v>2385320</v>
      </c>
      <c r="M38" s="276">
        <f>IF(OR($D38&lt;$D$35,$E38&gt;'A - Inputs'!$C$11),0,$H$20)</f>
        <v>37400</v>
      </c>
      <c r="N38" s="276">
        <f>IF(OR($D38&lt;$D$35,$E38&gt;'A - Inputs'!$C$11),0,$I$20)</f>
        <v>1962000.0000000002</v>
      </c>
      <c r="O38" s="276">
        <f>IF(OR($D38&lt;$D$35,$E38&gt;'A - Inputs'!$C$11),0,$J$20)</f>
        <v>107154.00000000001</v>
      </c>
      <c r="P38" s="276">
        <f>IF(OR($D38&lt;$D$35,$E38&gt;'A - Inputs'!$C$11),0,$K$20)</f>
        <v>41640</v>
      </c>
      <c r="Q38" s="276">
        <f>IF(OR($D38&lt;$D$35,$E38&gt;'A - Inputs'!$C$11),0,$L$20)</f>
        <v>2960</v>
      </c>
      <c r="R38" s="284">
        <f t="shared" si="27"/>
        <v>2151154.0000000005</v>
      </c>
      <c r="S38" s="284">
        <f t="shared" si="28"/>
        <v>234165.99999999953</v>
      </c>
      <c r="T38" s="276">
        <f>S38/(1+0.03)^(D38-'A - Inputs'!$C$6)</f>
        <v>164239.32102526745</v>
      </c>
      <c r="U38" s="186">
        <f>S38/(1+0.07)^(D38-'A - Inputs'!$C$6)</f>
        <v>103972.50444756581</v>
      </c>
      <c r="V38" s="177"/>
      <c r="W38" s="177"/>
      <c r="X38" s="177"/>
    </row>
    <row r="39" spans="4:24" x14ac:dyDescent="0.25">
      <c r="D39" s="234">
        <f t="shared" si="29"/>
        <v>2032</v>
      </c>
      <c r="E39" s="282">
        <f t="shared" si="30"/>
        <v>11</v>
      </c>
      <c r="F39" s="103">
        <f t="shared" si="25"/>
        <v>5</v>
      </c>
      <c r="G39" s="276">
        <f>IF(OR($D39&lt;$D$35,$E39&gt;'A - Inputs'!$C$11),0,$H$19)</f>
        <v>40240</v>
      </c>
      <c r="H39" s="276">
        <f>IF(OR($D39&lt;$D$35,$E39&gt;'A - Inputs'!$C$11),0,$I$19)</f>
        <v>2180000</v>
      </c>
      <c r="I39" s="276">
        <f>IF(OR($D39&lt;$D$35,$E39&gt;'A - Inputs'!$C$11),0,$J$19)</f>
        <v>117580</v>
      </c>
      <c r="J39" s="276">
        <f>IF(OR($D39&lt;$D$35,$E39&gt;'A - Inputs'!$C$11),0,$K$19)</f>
        <v>44540</v>
      </c>
      <c r="K39" s="276">
        <f>IF(OR($D39&lt;$D$35,$E39&gt;'A - Inputs'!$C$11),0,$L$19)</f>
        <v>2960</v>
      </c>
      <c r="L39" s="185">
        <f t="shared" si="26"/>
        <v>2385320</v>
      </c>
      <c r="M39" s="276">
        <f>IF(OR($D39&lt;$D$35,$E39&gt;'A - Inputs'!$C$11),0,$H$20)</f>
        <v>37400</v>
      </c>
      <c r="N39" s="276">
        <f>IF(OR($D39&lt;$D$35,$E39&gt;'A - Inputs'!$C$11),0,$I$20)</f>
        <v>1962000.0000000002</v>
      </c>
      <c r="O39" s="276">
        <f>IF(OR($D39&lt;$D$35,$E39&gt;'A - Inputs'!$C$11),0,$J$20)</f>
        <v>107154.00000000001</v>
      </c>
      <c r="P39" s="276">
        <f>IF(OR($D39&lt;$D$35,$E39&gt;'A - Inputs'!$C$11),0,$K$20)</f>
        <v>41640</v>
      </c>
      <c r="Q39" s="276">
        <f>IF(OR($D39&lt;$D$35,$E39&gt;'A - Inputs'!$C$11),0,$L$20)</f>
        <v>2960</v>
      </c>
      <c r="R39" s="284">
        <f t="shared" si="27"/>
        <v>2151154.0000000005</v>
      </c>
      <c r="S39" s="284">
        <f t="shared" si="28"/>
        <v>234165.99999999953</v>
      </c>
      <c r="T39" s="276">
        <f>S39/(1+0.03)^(D39-'A - Inputs'!$C$6)</f>
        <v>159455.65148084218</v>
      </c>
      <c r="U39" s="186">
        <f>S39/(1+0.07)^(D39-'A - Inputs'!$C$6)</f>
        <v>97170.564904267099</v>
      </c>
      <c r="V39" s="177"/>
      <c r="W39" s="177"/>
      <c r="X39" s="177"/>
    </row>
    <row r="40" spans="4:24" x14ac:dyDescent="0.25">
      <c r="D40" s="234">
        <f t="shared" si="29"/>
        <v>2033</v>
      </c>
      <c r="E40" s="282">
        <f t="shared" si="30"/>
        <v>12</v>
      </c>
      <c r="F40" s="103">
        <f t="shared" si="25"/>
        <v>6</v>
      </c>
      <c r="G40" s="276">
        <f>IF(OR($D40&lt;$D$35,$E40&gt;'A - Inputs'!$C$11),0,$H$19)</f>
        <v>40240</v>
      </c>
      <c r="H40" s="276">
        <f>IF(OR($D40&lt;$D$35,$E40&gt;'A - Inputs'!$C$11),0,$I$19)</f>
        <v>2180000</v>
      </c>
      <c r="I40" s="276">
        <f>IF(OR($D40&lt;$D$35,$E40&gt;'A - Inputs'!$C$11),0,$J$19)</f>
        <v>117580</v>
      </c>
      <c r="J40" s="276">
        <f>IF(OR($D40&lt;$D$35,$E40&gt;'A - Inputs'!$C$11),0,$K$19)</f>
        <v>44540</v>
      </c>
      <c r="K40" s="276">
        <f>IF(OR($D40&lt;$D$35,$E40&gt;'A - Inputs'!$C$11),0,$L$19)</f>
        <v>2960</v>
      </c>
      <c r="L40" s="185">
        <f t="shared" si="26"/>
        <v>2385320</v>
      </c>
      <c r="M40" s="276">
        <f>IF(OR($D40&lt;$D$35,$E40&gt;'A - Inputs'!$C$11),0,$H$20)</f>
        <v>37400</v>
      </c>
      <c r="N40" s="276">
        <f>IF(OR($D40&lt;$D$35,$E40&gt;'A - Inputs'!$C$11),0,$I$20)</f>
        <v>1962000.0000000002</v>
      </c>
      <c r="O40" s="276">
        <f>IF(OR($D40&lt;$D$35,$E40&gt;'A - Inputs'!$C$11),0,$J$20)</f>
        <v>107154.00000000001</v>
      </c>
      <c r="P40" s="276">
        <f>IF(OR($D40&lt;$D$35,$E40&gt;'A - Inputs'!$C$11),0,$K$20)</f>
        <v>41640</v>
      </c>
      <c r="Q40" s="276">
        <f>IF(OR($D40&lt;$D$35,$E40&gt;'A - Inputs'!$C$11),0,$L$20)</f>
        <v>2960</v>
      </c>
      <c r="R40" s="284">
        <f t="shared" si="27"/>
        <v>2151154.0000000005</v>
      </c>
      <c r="S40" s="284">
        <f t="shared" si="28"/>
        <v>234165.99999999953</v>
      </c>
      <c r="T40" s="276">
        <f>S40/(1+0.03)^(D40-'A - Inputs'!$C$6)</f>
        <v>154811.31211732249</v>
      </c>
      <c r="U40" s="186">
        <f>S40/(1+0.07)^(D40-'A - Inputs'!$C$6)</f>
        <v>90813.612060062718</v>
      </c>
    </row>
    <row r="41" spans="4:24" x14ac:dyDescent="0.25">
      <c r="D41" s="234">
        <f t="shared" si="29"/>
        <v>2034</v>
      </c>
      <c r="E41" s="282">
        <f t="shared" si="30"/>
        <v>13</v>
      </c>
      <c r="F41" s="103">
        <f t="shared" si="25"/>
        <v>7</v>
      </c>
      <c r="G41" s="276">
        <f>IF(OR($D41&lt;$D$35,$E41&gt;'A - Inputs'!$C$11),0,$H$19)</f>
        <v>40240</v>
      </c>
      <c r="H41" s="276">
        <f>IF(OR($D41&lt;$D$35,$E41&gt;'A - Inputs'!$C$11),0,$I$19)</f>
        <v>2180000</v>
      </c>
      <c r="I41" s="276">
        <f>IF(OR($D41&lt;$D$35,$E41&gt;'A - Inputs'!$C$11),0,$J$19)</f>
        <v>117580</v>
      </c>
      <c r="J41" s="276">
        <f>IF(OR($D41&lt;$D$35,$E41&gt;'A - Inputs'!$C$11),0,$K$19)</f>
        <v>44540</v>
      </c>
      <c r="K41" s="276">
        <f>IF(OR($D41&lt;$D$35,$E41&gt;'A - Inputs'!$C$11),0,$L$19)</f>
        <v>2960</v>
      </c>
      <c r="L41" s="185">
        <f t="shared" si="26"/>
        <v>2385320</v>
      </c>
      <c r="M41" s="276">
        <f>IF(OR($D41&lt;$D$35,$E41&gt;'A - Inputs'!$C$11),0,$H$20)</f>
        <v>37400</v>
      </c>
      <c r="N41" s="276">
        <f>IF(OR($D41&lt;$D$35,$E41&gt;'A - Inputs'!$C$11),0,$I$20)</f>
        <v>1962000.0000000002</v>
      </c>
      <c r="O41" s="276">
        <f>IF(OR($D41&lt;$D$35,$E41&gt;'A - Inputs'!$C$11),0,$J$20)</f>
        <v>107154.00000000001</v>
      </c>
      <c r="P41" s="276">
        <f>IF(OR($D41&lt;$D$35,$E41&gt;'A - Inputs'!$C$11),0,$K$20)</f>
        <v>41640</v>
      </c>
      <c r="Q41" s="276">
        <f>IF(OR($D41&lt;$D$35,$E41&gt;'A - Inputs'!$C$11),0,$L$20)</f>
        <v>2960</v>
      </c>
      <c r="R41" s="284">
        <f t="shared" si="27"/>
        <v>2151154.0000000005</v>
      </c>
      <c r="S41" s="284">
        <f t="shared" si="28"/>
        <v>234165.99999999953</v>
      </c>
      <c r="T41" s="276">
        <f>S41/(1+0.03)^(D41-'A - Inputs'!$C$6)</f>
        <v>150302.2447740995</v>
      </c>
      <c r="U41" s="186">
        <f>S41/(1+0.07)^(D41-'A - Inputs'!$C$6)</f>
        <v>84872.534635572621</v>
      </c>
    </row>
    <row r="42" spans="4:24" x14ac:dyDescent="0.25">
      <c r="D42" s="234">
        <f t="shared" si="29"/>
        <v>2035</v>
      </c>
      <c r="E42" s="282">
        <f t="shared" si="30"/>
        <v>14</v>
      </c>
      <c r="F42" s="103">
        <f t="shared" si="25"/>
        <v>8</v>
      </c>
      <c r="G42" s="276">
        <f>IF(OR($D42&lt;$D$35,$E42&gt;'A - Inputs'!$C$11),0,$H$19)</f>
        <v>40240</v>
      </c>
      <c r="H42" s="276">
        <f>IF(OR($D42&lt;$D$35,$E42&gt;'A - Inputs'!$C$11),0,$I$19)</f>
        <v>2180000</v>
      </c>
      <c r="I42" s="276">
        <f>IF(OR($D42&lt;$D$35,$E42&gt;'A - Inputs'!$C$11),0,$J$19)</f>
        <v>117580</v>
      </c>
      <c r="J42" s="276">
        <f>IF(OR($D42&lt;$D$35,$E42&gt;'A - Inputs'!$C$11),0,$K$19)</f>
        <v>44540</v>
      </c>
      <c r="K42" s="276">
        <f>IF(OR($D42&lt;$D$35,$E42&gt;'A - Inputs'!$C$11),0,$L$19)</f>
        <v>2960</v>
      </c>
      <c r="L42" s="185">
        <f t="shared" si="26"/>
        <v>2385320</v>
      </c>
      <c r="M42" s="276">
        <f>IF(OR($D42&lt;$D$35,$E42&gt;'A - Inputs'!$C$11),0,$H$20)</f>
        <v>37400</v>
      </c>
      <c r="N42" s="276">
        <f>IF(OR($D42&lt;$D$35,$E42&gt;'A - Inputs'!$C$11),0,$I$20)</f>
        <v>1962000.0000000002</v>
      </c>
      <c r="O42" s="276">
        <f>IF(OR($D42&lt;$D$35,$E42&gt;'A - Inputs'!$C$11),0,$J$20)</f>
        <v>107154.00000000001</v>
      </c>
      <c r="P42" s="276">
        <f>IF(OR($D42&lt;$D$35,$E42&gt;'A - Inputs'!$C$11),0,$K$20)</f>
        <v>41640</v>
      </c>
      <c r="Q42" s="276">
        <f>IF(OR($D42&lt;$D$35,$E42&gt;'A - Inputs'!$C$11),0,$L$20)</f>
        <v>2960</v>
      </c>
      <c r="R42" s="284">
        <f t="shared" si="27"/>
        <v>2151154.0000000005</v>
      </c>
      <c r="S42" s="284">
        <f t="shared" si="28"/>
        <v>234165.99999999953</v>
      </c>
      <c r="T42" s="276">
        <f>S42/(1+0.03)^(D42-'A - Inputs'!$C$6)</f>
        <v>145924.50948941702</v>
      </c>
      <c r="U42" s="186">
        <f>S42/(1+0.07)^(D42-'A - Inputs'!$C$6)</f>
        <v>79320.125827637981</v>
      </c>
    </row>
    <row r="43" spans="4:24" x14ac:dyDescent="0.25">
      <c r="D43" s="234">
        <f t="shared" si="29"/>
        <v>2036</v>
      </c>
      <c r="E43" s="282">
        <f t="shared" si="30"/>
        <v>15</v>
      </c>
      <c r="F43" s="103">
        <f t="shared" si="25"/>
        <v>9</v>
      </c>
      <c r="G43" s="276">
        <f>IF(OR($D43&lt;$D$35,$E43&gt;'A - Inputs'!$C$11),0,$H$19)</f>
        <v>40240</v>
      </c>
      <c r="H43" s="276">
        <f>IF(OR($D43&lt;$D$35,$E43&gt;'A - Inputs'!$C$11),0,$I$19)</f>
        <v>2180000</v>
      </c>
      <c r="I43" s="276">
        <f>IF(OR($D43&lt;$D$35,$E43&gt;'A - Inputs'!$C$11),0,$J$19)</f>
        <v>117580</v>
      </c>
      <c r="J43" s="276">
        <f>IF(OR($D43&lt;$D$35,$E43&gt;'A - Inputs'!$C$11),0,$K$19)</f>
        <v>44540</v>
      </c>
      <c r="K43" s="276">
        <f>IF(OR($D43&lt;$D$35,$E43&gt;'A - Inputs'!$C$11),0,$L$19)</f>
        <v>2960</v>
      </c>
      <c r="L43" s="185">
        <f t="shared" si="26"/>
        <v>2385320</v>
      </c>
      <c r="M43" s="276">
        <f>IF(OR($D43&lt;$D$35,$E43&gt;'A - Inputs'!$C$11),0,$H$20)</f>
        <v>37400</v>
      </c>
      <c r="N43" s="276">
        <f>IF(OR($D43&lt;$D$35,$E43&gt;'A - Inputs'!$C$11),0,$I$20)</f>
        <v>1962000.0000000002</v>
      </c>
      <c r="O43" s="276">
        <f>IF(OR($D43&lt;$D$35,$E43&gt;'A - Inputs'!$C$11),0,$J$20)</f>
        <v>107154.00000000001</v>
      </c>
      <c r="P43" s="276">
        <f>IF(OR($D43&lt;$D$35,$E43&gt;'A - Inputs'!$C$11),0,$K$20)</f>
        <v>41640</v>
      </c>
      <c r="Q43" s="276">
        <f>IF(OR($D43&lt;$D$35,$E43&gt;'A - Inputs'!$C$11),0,$L$20)</f>
        <v>2960</v>
      </c>
      <c r="R43" s="284">
        <f t="shared" si="27"/>
        <v>2151154.0000000005</v>
      </c>
      <c r="S43" s="284">
        <f t="shared" si="28"/>
        <v>234165.99999999953</v>
      </c>
      <c r="T43" s="276">
        <f>S43/(1+0.03)^(D43-'A - Inputs'!$C$6)</f>
        <v>141674.28105768643</v>
      </c>
      <c r="U43" s="186">
        <f>S43/(1+0.07)^(D43-'A - Inputs'!$C$6)</f>
        <v>74130.958717418674</v>
      </c>
    </row>
    <row r="44" spans="4:24" x14ac:dyDescent="0.25">
      <c r="D44" s="234">
        <f t="shared" si="29"/>
        <v>2037</v>
      </c>
      <c r="E44" s="282">
        <f t="shared" si="30"/>
        <v>16</v>
      </c>
      <c r="F44" s="103">
        <f t="shared" si="25"/>
        <v>10</v>
      </c>
      <c r="G44" s="276">
        <f>IF(OR($D44&lt;$D$35,$E44&gt;'A - Inputs'!$C$11),0,$H$19)</f>
        <v>40240</v>
      </c>
      <c r="H44" s="276">
        <f>IF(OR($D44&lt;$D$35,$E44&gt;'A - Inputs'!$C$11),0,$I$19)</f>
        <v>2180000</v>
      </c>
      <c r="I44" s="276">
        <f>IF(OR($D44&lt;$D$35,$E44&gt;'A - Inputs'!$C$11),0,$J$19)</f>
        <v>117580</v>
      </c>
      <c r="J44" s="276">
        <f>IF(OR($D44&lt;$D$35,$E44&gt;'A - Inputs'!$C$11),0,$K$19)</f>
        <v>44540</v>
      </c>
      <c r="K44" s="276">
        <f>IF(OR($D44&lt;$D$35,$E44&gt;'A - Inputs'!$C$11),0,$L$19)</f>
        <v>2960</v>
      </c>
      <c r="L44" s="185">
        <f t="shared" si="26"/>
        <v>2385320</v>
      </c>
      <c r="M44" s="276">
        <f>IF(OR($D44&lt;$D$35,$E44&gt;'A - Inputs'!$C$11),0,$H$20)</f>
        <v>37400</v>
      </c>
      <c r="N44" s="276">
        <f>IF(OR($D44&lt;$D$35,$E44&gt;'A - Inputs'!$C$11),0,$I$20)</f>
        <v>1962000.0000000002</v>
      </c>
      <c r="O44" s="276">
        <f>IF(OR($D44&lt;$D$35,$E44&gt;'A - Inputs'!$C$11),0,$J$20)</f>
        <v>107154.00000000001</v>
      </c>
      <c r="P44" s="276">
        <f>IF(OR($D44&lt;$D$35,$E44&gt;'A - Inputs'!$C$11),0,$K$20)</f>
        <v>41640</v>
      </c>
      <c r="Q44" s="276">
        <f>IF(OR($D44&lt;$D$35,$E44&gt;'A - Inputs'!$C$11),0,$L$20)</f>
        <v>2960</v>
      </c>
      <c r="R44" s="284">
        <f t="shared" si="27"/>
        <v>2151154.0000000005</v>
      </c>
      <c r="S44" s="284">
        <f t="shared" si="28"/>
        <v>234165.99999999953</v>
      </c>
      <c r="T44" s="276">
        <f>S44/(1+0.03)^(D44-'A - Inputs'!$C$6)</f>
        <v>137547.84568707418</v>
      </c>
      <c r="U44" s="186">
        <f>S44/(1+0.07)^(D44-'A - Inputs'!$C$6)</f>
        <v>69281.269829363242</v>
      </c>
    </row>
    <row r="45" spans="4:24" x14ac:dyDescent="0.25">
      <c r="D45" s="234">
        <f t="shared" si="29"/>
        <v>2038</v>
      </c>
      <c r="E45" s="282">
        <f t="shared" si="30"/>
        <v>17</v>
      </c>
      <c r="F45" s="103">
        <f t="shared" si="25"/>
        <v>11</v>
      </c>
      <c r="G45" s="276">
        <f>IF(OR($D45&lt;$D$35,$E45&gt;'A - Inputs'!$C$11),0,$H$19)</f>
        <v>40240</v>
      </c>
      <c r="H45" s="276">
        <f>IF(OR($D45&lt;$D$35,$E45&gt;'A - Inputs'!$C$11),0,$I$19)</f>
        <v>2180000</v>
      </c>
      <c r="I45" s="276">
        <f>IF(OR($D45&lt;$D$35,$E45&gt;'A - Inputs'!$C$11),0,$J$19)</f>
        <v>117580</v>
      </c>
      <c r="J45" s="276">
        <f>IF(OR($D45&lt;$D$35,$E45&gt;'A - Inputs'!$C$11),0,$K$19)</f>
        <v>44540</v>
      </c>
      <c r="K45" s="276">
        <f>IF(OR($D45&lt;$D$35,$E45&gt;'A - Inputs'!$C$11),0,$L$19)</f>
        <v>2960</v>
      </c>
      <c r="L45" s="185">
        <f t="shared" si="26"/>
        <v>2385320</v>
      </c>
      <c r="M45" s="276">
        <f>IF(OR($D45&lt;$D$35,$E45&gt;'A - Inputs'!$C$11),0,$H$20)</f>
        <v>37400</v>
      </c>
      <c r="N45" s="276">
        <f>IF(OR($D45&lt;$D$35,$E45&gt;'A - Inputs'!$C$11),0,$I$20)</f>
        <v>1962000.0000000002</v>
      </c>
      <c r="O45" s="276">
        <f>IF(OR($D45&lt;$D$35,$E45&gt;'A - Inputs'!$C$11),0,$J$20)</f>
        <v>107154.00000000001</v>
      </c>
      <c r="P45" s="276">
        <f>IF(OR($D45&lt;$D$35,$E45&gt;'A - Inputs'!$C$11),0,$K$20)</f>
        <v>41640</v>
      </c>
      <c r="Q45" s="276">
        <f>IF(OR($D45&lt;$D$35,$E45&gt;'A - Inputs'!$C$11),0,$L$20)</f>
        <v>2960</v>
      </c>
      <c r="R45" s="284">
        <f t="shared" si="27"/>
        <v>2151154.0000000005</v>
      </c>
      <c r="S45" s="284">
        <f t="shared" si="28"/>
        <v>234165.99999999953</v>
      </c>
      <c r="T45" s="276">
        <f>S45/(1+0.03)^(D45-'A - Inputs'!$C$6)</f>
        <v>133541.59775444097</v>
      </c>
      <c r="U45" s="186">
        <f>S45/(1+0.07)^(D45-'A - Inputs'!$C$6)</f>
        <v>64748.850307816108</v>
      </c>
    </row>
    <row r="46" spans="4:24" x14ac:dyDescent="0.25">
      <c r="D46" s="234">
        <f t="shared" si="29"/>
        <v>2039</v>
      </c>
      <c r="E46" s="282">
        <f t="shared" si="30"/>
        <v>18</v>
      </c>
      <c r="F46" s="103">
        <f t="shared" si="25"/>
        <v>12</v>
      </c>
      <c r="G46" s="276">
        <f>IF(OR($D46&lt;$D$35,$E46&gt;'A - Inputs'!$C$11),0,$H$19)</f>
        <v>40240</v>
      </c>
      <c r="H46" s="276">
        <f>IF(OR($D46&lt;$D$35,$E46&gt;'A - Inputs'!$C$11),0,$I$19)</f>
        <v>2180000</v>
      </c>
      <c r="I46" s="276">
        <f>IF(OR($D46&lt;$D$35,$E46&gt;'A - Inputs'!$C$11),0,$J$19)</f>
        <v>117580</v>
      </c>
      <c r="J46" s="276">
        <f>IF(OR($D46&lt;$D$35,$E46&gt;'A - Inputs'!$C$11),0,$K$19)</f>
        <v>44540</v>
      </c>
      <c r="K46" s="276">
        <f>IF(OR($D46&lt;$D$35,$E46&gt;'A - Inputs'!$C$11),0,$L$19)</f>
        <v>2960</v>
      </c>
      <c r="L46" s="185">
        <f t="shared" si="26"/>
        <v>2385320</v>
      </c>
      <c r="M46" s="276">
        <f>IF(OR($D46&lt;$D$35,$E46&gt;'A - Inputs'!$C$11),0,$H$20)</f>
        <v>37400</v>
      </c>
      <c r="N46" s="276">
        <f>IF(OR($D46&lt;$D$35,$E46&gt;'A - Inputs'!$C$11),0,$I$20)</f>
        <v>1962000.0000000002</v>
      </c>
      <c r="O46" s="276">
        <f>IF(OR($D46&lt;$D$35,$E46&gt;'A - Inputs'!$C$11),0,$J$20)</f>
        <v>107154.00000000001</v>
      </c>
      <c r="P46" s="276">
        <f>IF(OR($D46&lt;$D$35,$E46&gt;'A - Inputs'!$C$11),0,$K$20)</f>
        <v>41640</v>
      </c>
      <c r="Q46" s="276">
        <f>IF(OR($D46&lt;$D$35,$E46&gt;'A - Inputs'!$C$11),0,$L$20)</f>
        <v>2960</v>
      </c>
      <c r="R46" s="284">
        <f t="shared" si="27"/>
        <v>2151154.0000000005</v>
      </c>
      <c r="S46" s="284">
        <f t="shared" si="28"/>
        <v>234165.99999999953</v>
      </c>
      <c r="T46" s="276">
        <f>S46/(1+0.03)^(D46-'A - Inputs'!$C$6)</f>
        <v>129652.03665479706</v>
      </c>
      <c r="U46" s="186">
        <f>S46/(1+0.07)^(D46-'A - Inputs'!$C$6)</f>
        <v>60512.944212912254</v>
      </c>
    </row>
    <row r="47" spans="4:24" x14ac:dyDescent="0.25">
      <c r="D47" s="234">
        <f t="shared" si="29"/>
        <v>2040</v>
      </c>
      <c r="E47" s="282">
        <f t="shared" si="30"/>
        <v>19</v>
      </c>
      <c r="F47" s="103">
        <f t="shared" si="25"/>
        <v>13</v>
      </c>
      <c r="G47" s="276">
        <f>IF(OR($D47&lt;$D$35,$E47&gt;'A - Inputs'!$C$11),0,$H$19)</f>
        <v>40240</v>
      </c>
      <c r="H47" s="276">
        <f>IF(OR($D47&lt;$D$35,$E47&gt;'A - Inputs'!$C$11),0,$I$19)</f>
        <v>2180000</v>
      </c>
      <c r="I47" s="276">
        <f>IF(OR($D47&lt;$D$35,$E47&gt;'A - Inputs'!$C$11),0,$J$19)</f>
        <v>117580</v>
      </c>
      <c r="J47" s="276">
        <f>IF(OR($D47&lt;$D$35,$E47&gt;'A - Inputs'!$C$11),0,$K$19)</f>
        <v>44540</v>
      </c>
      <c r="K47" s="276">
        <f>IF(OR($D47&lt;$D$35,$E47&gt;'A - Inputs'!$C$11),0,$L$19)</f>
        <v>2960</v>
      </c>
      <c r="L47" s="185">
        <f t="shared" si="26"/>
        <v>2385320</v>
      </c>
      <c r="M47" s="276">
        <f>IF(OR($D47&lt;$D$35,$E47&gt;'A - Inputs'!$C$11),0,$H$20)</f>
        <v>37400</v>
      </c>
      <c r="N47" s="276">
        <f>IF(OR($D47&lt;$D$35,$E47&gt;'A - Inputs'!$C$11),0,$I$20)</f>
        <v>1962000.0000000002</v>
      </c>
      <c r="O47" s="276">
        <f>IF(OR($D47&lt;$D$35,$E47&gt;'A - Inputs'!$C$11),0,$J$20)</f>
        <v>107154.00000000001</v>
      </c>
      <c r="P47" s="276">
        <f>IF(OR($D47&lt;$D$35,$E47&gt;'A - Inputs'!$C$11),0,$K$20)</f>
        <v>41640</v>
      </c>
      <c r="Q47" s="276">
        <f>IF(OR($D47&lt;$D$35,$E47&gt;'A - Inputs'!$C$11),0,$L$20)</f>
        <v>2960</v>
      </c>
      <c r="R47" s="284">
        <f t="shared" si="27"/>
        <v>2151154.0000000005</v>
      </c>
      <c r="S47" s="284">
        <f t="shared" si="28"/>
        <v>234165.99999999953</v>
      </c>
      <c r="T47" s="276">
        <f>S47/(1+0.03)^(D47-'A - Inputs'!$C$6)</f>
        <v>125875.76374252143</v>
      </c>
      <c r="U47" s="186">
        <f>S47/(1+0.07)^(D47-'A - Inputs'!$C$6)</f>
        <v>56554.15347001145</v>
      </c>
    </row>
    <row r="48" spans="4:24" x14ac:dyDescent="0.25">
      <c r="D48" s="234">
        <f t="shared" si="29"/>
        <v>2041</v>
      </c>
      <c r="E48" s="282">
        <f t="shared" si="30"/>
        <v>20</v>
      </c>
      <c r="F48" s="103">
        <f t="shared" si="25"/>
        <v>14</v>
      </c>
      <c r="G48" s="276">
        <f>IF(OR($D48&lt;$D$35,$E48&gt;'A - Inputs'!$C$11),0,$H$19)</f>
        <v>40240</v>
      </c>
      <c r="H48" s="276">
        <f>IF(OR($D48&lt;$D$35,$E48&gt;'A - Inputs'!$C$11),0,$I$19)</f>
        <v>2180000</v>
      </c>
      <c r="I48" s="276">
        <f>IF(OR($D48&lt;$D$35,$E48&gt;'A - Inputs'!$C$11),0,$J$19)</f>
        <v>117580</v>
      </c>
      <c r="J48" s="276">
        <f>IF(OR($D48&lt;$D$35,$E48&gt;'A - Inputs'!$C$11),0,$K$19)</f>
        <v>44540</v>
      </c>
      <c r="K48" s="276">
        <f>IF(OR($D48&lt;$D$35,$E48&gt;'A - Inputs'!$C$11),0,$L$19)</f>
        <v>2960</v>
      </c>
      <c r="L48" s="185">
        <f t="shared" si="26"/>
        <v>2385320</v>
      </c>
      <c r="M48" s="276">
        <f>IF(OR($D48&lt;$D$35,$E48&gt;'A - Inputs'!$C$11),0,$H$20)</f>
        <v>37400</v>
      </c>
      <c r="N48" s="276">
        <f>IF(OR($D48&lt;$D$35,$E48&gt;'A - Inputs'!$C$11),0,$I$20)</f>
        <v>1962000.0000000002</v>
      </c>
      <c r="O48" s="276">
        <f>IF(OR($D48&lt;$D$35,$E48&gt;'A - Inputs'!$C$11),0,$J$20)</f>
        <v>107154.00000000001</v>
      </c>
      <c r="P48" s="276">
        <f>IF(OR($D48&lt;$D$35,$E48&gt;'A - Inputs'!$C$11),0,$K$20)</f>
        <v>41640</v>
      </c>
      <c r="Q48" s="276">
        <f>IF(OR($D48&lt;$D$35,$E48&gt;'A - Inputs'!$C$11),0,$L$20)</f>
        <v>2960</v>
      </c>
      <c r="R48" s="284">
        <f t="shared" si="27"/>
        <v>2151154.0000000005</v>
      </c>
      <c r="S48" s="284">
        <f t="shared" si="28"/>
        <v>234165.99999999953</v>
      </c>
      <c r="T48" s="276">
        <f>S48/(1+0.03)^(D48-'A - Inputs'!$C$6)</f>
        <v>122209.47936167129</v>
      </c>
      <c r="U48" s="186">
        <f>S48/(1+0.07)^(D48-'A - Inputs'!$C$6)</f>
        <v>52854.349037393884</v>
      </c>
    </row>
    <row r="49" spans="4:24" x14ac:dyDescent="0.25">
      <c r="D49" s="234">
        <f t="shared" si="29"/>
        <v>2042</v>
      </c>
      <c r="E49" s="282">
        <f t="shared" si="30"/>
        <v>21</v>
      </c>
      <c r="F49" s="103">
        <f t="shared" si="25"/>
        <v>15</v>
      </c>
      <c r="G49" s="276">
        <f>IF(OR($D49&lt;$D$35,$E49&gt;'A - Inputs'!$C$11),0,$H$19)</f>
        <v>40240</v>
      </c>
      <c r="H49" s="276">
        <f>IF(OR($D49&lt;$D$35,$E49&gt;'A - Inputs'!$C$11),0,$I$19)</f>
        <v>2180000</v>
      </c>
      <c r="I49" s="276">
        <f>IF(OR($D49&lt;$D$35,$E49&gt;'A - Inputs'!$C$11),0,$J$19)</f>
        <v>117580</v>
      </c>
      <c r="J49" s="276">
        <f>IF(OR($D49&lt;$D$35,$E49&gt;'A - Inputs'!$C$11),0,$K$19)</f>
        <v>44540</v>
      </c>
      <c r="K49" s="276">
        <f>IF(OR($D49&lt;$D$35,$E49&gt;'A - Inputs'!$C$11),0,$L$19)</f>
        <v>2960</v>
      </c>
      <c r="L49" s="185">
        <f t="shared" si="26"/>
        <v>2385320</v>
      </c>
      <c r="M49" s="276">
        <f>IF(OR($D49&lt;$D$35,$E49&gt;'A - Inputs'!$C$11),0,$H$20)</f>
        <v>37400</v>
      </c>
      <c r="N49" s="276">
        <f>IF(OR($D49&lt;$D$35,$E49&gt;'A - Inputs'!$C$11),0,$I$20)</f>
        <v>1962000.0000000002</v>
      </c>
      <c r="O49" s="276">
        <f>IF(OR($D49&lt;$D$35,$E49&gt;'A - Inputs'!$C$11),0,$J$20)</f>
        <v>107154.00000000001</v>
      </c>
      <c r="P49" s="276">
        <f>IF(OR($D49&lt;$D$35,$E49&gt;'A - Inputs'!$C$11),0,$K$20)</f>
        <v>41640</v>
      </c>
      <c r="Q49" s="276">
        <f>IF(OR($D49&lt;$D$35,$E49&gt;'A - Inputs'!$C$11),0,$L$20)</f>
        <v>2960</v>
      </c>
      <c r="R49" s="284">
        <f t="shared" si="27"/>
        <v>2151154.0000000005</v>
      </c>
      <c r="S49" s="284">
        <f t="shared" si="28"/>
        <v>234165.99999999953</v>
      </c>
      <c r="T49" s="276">
        <f>S49/(1+0.03)^(D49-'A - Inputs'!$C$6)</f>
        <v>118649.97996278765</v>
      </c>
      <c r="U49" s="186">
        <f>S49/(1+0.07)^(D49-'A - Inputs'!$C$6)</f>
        <v>49396.58788541484</v>
      </c>
    </row>
    <row r="50" spans="4:24" x14ac:dyDescent="0.25">
      <c r="D50" s="234">
        <f t="shared" si="29"/>
        <v>2043</v>
      </c>
      <c r="E50" s="282">
        <f t="shared" si="30"/>
        <v>22</v>
      </c>
      <c r="F50" s="103">
        <f t="shared" si="25"/>
        <v>16</v>
      </c>
      <c r="G50" s="276">
        <f>IF(OR($D50&lt;$D$35,$E50&gt;'A - Inputs'!$C$11),0,$H$19)</f>
        <v>40240</v>
      </c>
      <c r="H50" s="276">
        <f>IF(OR($D50&lt;$D$35,$E50&gt;'A - Inputs'!$C$11),0,$I$19)</f>
        <v>2180000</v>
      </c>
      <c r="I50" s="276">
        <f>IF(OR($D50&lt;$D$35,$E50&gt;'A - Inputs'!$C$11),0,$J$19)</f>
        <v>117580</v>
      </c>
      <c r="J50" s="276">
        <f>IF(OR($D50&lt;$D$35,$E50&gt;'A - Inputs'!$C$11),0,$K$19)</f>
        <v>44540</v>
      </c>
      <c r="K50" s="276">
        <f>IF(OR($D50&lt;$D$35,$E50&gt;'A - Inputs'!$C$11),0,$L$19)</f>
        <v>2960</v>
      </c>
      <c r="L50" s="185">
        <f t="shared" si="26"/>
        <v>2385320</v>
      </c>
      <c r="M50" s="276">
        <f>IF(OR($D50&lt;$D$35,$E50&gt;'A - Inputs'!$C$11),0,$H$20)</f>
        <v>37400</v>
      </c>
      <c r="N50" s="276">
        <f>IF(OR($D50&lt;$D$35,$E50&gt;'A - Inputs'!$C$11),0,$I$20)</f>
        <v>1962000.0000000002</v>
      </c>
      <c r="O50" s="276">
        <f>IF(OR($D50&lt;$D$35,$E50&gt;'A - Inputs'!$C$11),0,$J$20)</f>
        <v>107154.00000000001</v>
      </c>
      <c r="P50" s="276">
        <f>IF(OR($D50&lt;$D$35,$E50&gt;'A - Inputs'!$C$11),0,$K$20)</f>
        <v>41640</v>
      </c>
      <c r="Q50" s="276">
        <f>IF(OR($D50&lt;$D$35,$E50&gt;'A - Inputs'!$C$11),0,$L$20)</f>
        <v>2960</v>
      </c>
      <c r="R50" s="284">
        <f t="shared" si="27"/>
        <v>2151154.0000000005</v>
      </c>
      <c r="S50" s="284">
        <f t="shared" si="28"/>
        <v>234165.99999999953</v>
      </c>
      <c r="T50" s="276">
        <f>S50/(1+0.03)^(D50-'A - Inputs'!$C$6)</f>
        <v>115194.15530367734</v>
      </c>
      <c r="U50" s="186">
        <f>S50/(1+0.07)^(D50-'A - Inputs'!$C$6)</f>
        <v>46165.035406929754</v>
      </c>
    </row>
    <row r="51" spans="4:24" x14ac:dyDescent="0.25">
      <c r="D51" s="234">
        <f t="shared" si="29"/>
        <v>2044</v>
      </c>
      <c r="E51" s="282">
        <f t="shared" si="30"/>
        <v>23</v>
      </c>
      <c r="F51" s="103">
        <f t="shared" si="25"/>
        <v>17</v>
      </c>
      <c r="G51" s="276">
        <f>IF(OR($D51&lt;$D$35,$E51&gt;'A - Inputs'!$C$11),0,$H$19)</f>
        <v>40240</v>
      </c>
      <c r="H51" s="276">
        <f>IF(OR($D51&lt;$D$35,$E51&gt;'A - Inputs'!$C$11),0,$I$19)</f>
        <v>2180000</v>
      </c>
      <c r="I51" s="276">
        <f>IF(OR($D51&lt;$D$35,$E51&gt;'A - Inputs'!$C$11),0,$J$19)</f>
        <v>117580</v>
      </c>
      <c r="J51" s="276">
        <f>IF(OR($D51&lt;$D$35,$E51&gt;'A - Inputs'!$C$11),0,$K$19)</f>
        <v>44540</v>
      </c>
      <c r="K51" s="276">
        <f>IF(OR($D51&lt;$D$35,$E51&gt;'A - Inputs'!$C$11),0,$L$19)</f>
        <v>2960</v>
      </c>
      <c r="L51" s="185">
        <f t="shared" si="26"/>
        <v>2385320</v>
      </c>
      <c r="M51" s="276">
        <f>IF(OR($D51&lt;$D$35,$E51&gt;'A - Inputs'!$C$11),0,$H$20)</f>
        <v>37400</v>
      </c>
      <c r="N51" s="276">
        <f>IF(OR($D51&lt;$D$35,$E51&gt;'A - Inputs'!$C$11),0,$I$20)</f>
        <v>1962000.0000000002</v>
      </c>
      <c r="O51" s="276">
        <f>IF(OR($D51&lt;$D$35,$E51&gt;'A - Inputs'!$C$11),0,$J$20)</f>
        <v>107154.00000000001</v>
      </c>
      <c r="P51" s="276">
        <f>IF(OR($D51&lt;$D$35,$E51&gt;'A - Inputs'!$C$11),0,$K$20)</f>
        <v>41640</v>
      </c>
      <c r="Q51" s="276">
        <f>IF(OR($D51&lt;$D$35,$E51&gt;'A - Inputs'!$C$11),0,$L$20)</f>
        <v>2960</v>
      </c>
      <c r="R51" s="284">
        <f t="shared" si="27"/>
        <v>2151154.0000000005</v>
      </c>
      <c r="S51" s="284">
        <f t="shared" si="28"/>
        <v>234165.99999999953</v>
      </c>
      <c r="T51" s="276">
        <f>S51/(1+0.03)^(D51-'A - Inputs'!$C$6)</f>
        <v>111838.98573172558</v>
      </c>
      <c r="U51" s="186">
        <f>S51/(1+0.07)^(D51-'A - Inputs'!$C$6)</f>
        <v>43144.892903672669</v>
      </c>
    </row>
    <row r="52" spans="4:24" x14ac:dyDescent="0.25">
      <c r="D52" s="234">
        <f t="shared" si="29"/>
        <v>2045</v>
      </c>
      <c r="E52" s="282">
        <f t="shared" si="30"/>
        <v>24</v>
      </c>
      <c r="F52" s="103">
        <f t="shared" si="25"/>
        <v>18</v>
      </c>
      <c r="G52" s="276">
        <f>IF(OR($D52&lt;$D$35,$E52&gt;'A - Inputs'!$C$11),0,$H$19)</f>
        <v>0</v>
      </c>
      <c r="H52" s="276">
        <f>IF(OR($D52&lt;$D$35,$E52&gt;'A - Inputs'!$C$11),0,$I$19)</f>
        <v>0</v>
      </c>
      <c r="I52" s="276">
        <f>IF(OR($D52&lt;$D$35,$E52&gt;'A - Inputs'!$C$11),0,$J$19)</f>
        <v>0</v>
      </c>
      <c r="J52" s="276">
        <f>IF(OR($D52&lt;$D$35,$E52&gt;'A - Inputs'!$C$11),0,$K$19)</f>
        <v>0</v>
      </c>
      <c r="K52" s="276">
        <f>IF(OR($D52&lt;$D$35,$E52&gt;'A - Inputs'!$C$11),0,$L$19)</f>
        <v>0</v>
      </c>
      <c r="L52" s="185">
        <f t="shared" si="26"/>
        <v>0</v>
      </c>
      <c r="M52" s="276">
        <f>IF(OR($D52&lt;$D$35,$E52&gt;'A - Inputs'!$C$11),0,$H$20)</f>
        <v>0</v>
      </c>
      <c r="N52" s="276">
        <f>IF(OR($D52&lt;$D$35,$E52&gt;'A - Inputs'!$C$11),0,$I$20)</f>
        <v>0</v>
      </c>
      <c r="O52" s="276">
        <f>IF(OR($D52&lt;$D$35,$E52&gt;'A - Inputs'!$C$11),0,$J$20)</f>
        <v>0</v>
      </c>
      <c r="P52" s="276">
        <f>IF(OR($D52&lt;$D$35,$E52&gt;'A - Inputs'!$C$11),0,$K$20)</f>
        <v>0</v>
      </c>
      <c r="Q52" s="276">
        <f>IF(OR($D52&lt;$D$35,$E52&gt;'A - Inputs'!$C$11),0,$L$20)</f>
        <v>0</v>
      </c>
      <c r="R52" s="284">
        <f t="shared" si="27"/>
        <v>0</v>
      </c>
      <c r="S52" s="284">
        <f t="shared" si="28"/>
        <v>0</v>
      </c>
      <c r="T52" s="276">
        <f>S52/(1+0.03)^(D52-'A - Inputs'!$C$6)</f>
        <v>0</v>
      </c>
      <c r="U52" s="186">
        <f>S52/(1+0.07)^(D52-'A - Inputs'!$C$6)</f>
        <v>0</v>
      </c>
    </row>
    <row r="53" spans="4:24" x14ac:dyDescent="0.25">
      <c r="D53" s="234">
        <f t="shared" si="29"/>
        <v>2046</v>
      </c>
      <c r="E53" s="282">
        <f t="shared" si="30"/>
        <v>25</v>
      </c>
      <c r="F53" s="103">
        <f t="shared" si="25"/>
        <v>19</v>
      </c>
      <c r="G53" s="276">
        <f>IF(OR($D53&lt;$D$35,$E53&gt;'A - Inputs'!$C$11),0,$H$19)</f>
        <v>0</v>
      </c>
      <c r="H53" s="276">
        <f>IF(OR($D53&lt;$D$35,$E53&gt;'A - Inputs'!$C$11),0,$I$19)</f>
        <v>0</v>
      </c>
      <c r="I53" s="276">
        <f>IF(OR($D53&lt;$D$35,$E53&gt;'A - Inputs'!$C$11),0,$J$19)</f>
        <v>0</v>
      </c>
      <c r="J53" s="276">
        <f>IF(OR($D53&lt;$D$35,$E53&gt;'A - Inputs'!$C$11),0,$K$19)</f>
        <v>0</v>
      </c>
      <c r="K53" s="276">
        <f>IF(OR($D53&lt;$D$35,$E53&gt;'A - Inputs'!$C$11),0,$L$19)</f>
        <v>0</v>
      </c>
      <c r="L53" s="185">
        <f t="shared" si="26"/>
        <v>0</v>
      </c>
      <c r="M53" s="276">
        <f>IF(OR($D53&lt;$D$35,$E53&gt;'A - Inputs'!$C$11),0,$H$20)</f>
        <v>0</v>
      </c>
      <c r="N53" s="276">
        <f>IF(OR($D53&lt;$D$35,$E53&gt;'A - Inputs'!$C$11),0,$I$20)</f>
        <v>0</v>
      </c>
      <c r="O53" s="276">
        <f>IF(OR($D53&lt;$D$35,$E53&gt;'A - Inputs'!$C$11),0,$J$20)</f>
        <v>0</v>
      </c>
      <c r="P53" s="276">
        <f>IF(OR($D53&lt;$D$35,$E53&gt;'A - Inputs'!$C$11),0,$K$20)</f>
        <v>0</v>
      </c>
      <c r="Q53" s="276">
        <f>IF(OR($D53&lt;$D$35,$E53&gt;'A - Inputs'!$C$11),0,$L$20)</f>
        <v>0</v>
      </c>
      <c r="R53" s="284">
        <f t="shared" si="27"/>
        <v>0</v>
      </c>
      <c r="S53" s="284">
        <f t="shared" si="28"/>
        <v>0</v>
      </c>
      <c r="T53" s="276">
        <f>S53/(1+0.03)^(D53-'A - Inputs'!$C$6)</f>
        <v>0</v>
      </c>
      <c r="U53" s="186">
        <f>S53/(1+0.07)^(D53-'A - Inputs'!$C$6)</f>
        <v>0</v>
      </c>
    </row>
    <row r="54" spans="4:24" x14ac:dyDescent="0.25">
      <c r="D54" s="234">
        <f t="shared" si="29"/>
        <v>2047</v>
      </c>
      <c r="E54" s="282">
        <f t="shared" si="30"/>
        <v>26</v>
      </c>
      <c r="F54" s="103">
        <f t="shared" si="25"/>
        <v>20</v>
      </c>
      <c r="G54" s="276">
        <f>IF(OR($D54&lt;$D$35,$E54&gt;'A - Inputs'!$C$11),0,$H$19)</f>
        <v>0</v>
      </c>
      <c r="H54" s="276">
        <f>IF(OR($D54&lt;$D$35,$E54&gt;'A - Inputs'!$C$11),0,$I$19)</f>
        <v>0</v>
      </c>
      <c r="I54" s="276">
        <f>IF(OR($D54&lt;$D$35,$E54&gt;'A - Inputs'!$C$11),0,$J$19)</f>
        <v>0</v>
      </c>
      <c r="J54" s="276">
        <f>IF(OR($D54&lt;$D$35,$E54&gt;'A - Inputs'!$C$11),0,$K$19)</f>
        <v>0</v>
      </c>
      <c r="K54" s="276">
        <f>IF(OR($D54&lt;$D$35,$E54&gt;'A - Inputs'!$C$11),0,$L$19)</f>
        <v>0</v>
      </c>
      <c r="L54" s="185">
        <f t="shared" si="26"/>
        <v>0</v>
      </c>
      <c r="M54" s="276">
        <f>IF(OR($D54&lt;$D$35,$E54&gt;'A - Inputs'!$C$11),0,$H$20)</f>
        <v>0</v>
      </c>
      <c r="N54" s="276">
        <f>IF(OR($D54&lt;$D$35,$E54&gt;'A - Inputs'!$C$11),0,$I$20)</f>
        <v>0</v>
      </c>
      <c r="O54" s="276">
        <f>IF(OR($D54&lt;$D$35,$E54&gt;'A - Inputs'!$C$11),0,$J$20)</f>
        <v>0</v>
      </c>
      <c r="P54" s="276">
        <f>IF(OR($D54&lt;$D$35,$E54&gt;'A - Inputs'!$C$11),0,$K$20)</f>
        <v>0</v>
      </c>
      <c r="Q54" s="276">
        <f>IF(OR($D54&lt;$D$35,$E54&gt;'A - Inputs'!$C$11),0,$L$20)</f>
        <v>0</v>
      </c>
      <c r="R54" s="284">
        <f t="shared" si="27"/>
        <v>0</v>
      </c>
      <c r="S54" s="284">
        <f t="shared" si="28"/>
        <v>0</v>
      </c>
      <c r="T54" s="276">
        <f>S54/(1+0.03)^(D54-'A - Inputs'!$C$6)</f>
        <v>0</v>
      </c>
      <c r="U54" s="186">
        <f>S54/(1+0.07)^(D54-'A - Inputs'!$C$6)</f>
        <v>0</v>
      </c>
    </row>
    <row r="55" spans="4:24" x14ac:dyDescent="0.25">
      <c r="D55" s="234">
        <f t="shared" si="29"/>
        <v>2048</v>
      </c>
      <c r="E55" s="282">
        <f t="shared" si="30"/>
        <v>27</v>
      </c>
      <c r="F55" s="103">
        <f t="shared" si="25"/>
        <v>21</v>
      </c>
      <c r="G55" s="276">
        <f>IF(OR($D55&lt;$D$35,$E55&gt;'A - Inputs'!$C$11),0,$H$19)</f>
        <v>0</v>
      </c>
      <c r="H55" s="276">
        <f>IF(OR($D55&lt;$D$35,$E55&gt;'A - Inputs'!$C$11),0,$I$19)</f>
        <v>0</v>
      </c>
      <c r="I55" s="276">
        <f>IF(OR($D55&lt;$D$35,$E55&gt;'A - Inputs'!$C$11),0,$J$19)</f>
        <v>0</v>
      </c>
      <c r="J55" s="276">
        <f>IF(OR($D55&lt;$D$35,$E55&gt;'A - Inputs'!$C$11),0,$K$19)</f>
        <v>0</v>
      </c>
      <c r="K55" s="276">
        <f>IF(OR($D55&lt;$D$35,$E55&gt;'A - Inputs'!$C$11),0,$L$19)</f>
        <v>0</v>
      </c>
      <c r="L55" s="185">
        <f t="shared" si="26"/>
        <v>0</v>
      </c>
      <c r="M55" s="276">
        <f>IF(OR($D55&lt;$D$35,$E55&gt;'A - Inputs'!$C$11),0,$H$20)</f>
        <v>0</v>
      </c>
      <c r="N55" s="276">
        <f>IF(OR($D55&lt;$D$35,$E55&gt;'A - Inputs'!$C$11),0,$I$20)</f>
        <v>0</v>
      </c>
      <c r="O55" s="276">
        <f>IF(OR($D55&lt;$D$35,$E55&gt;'A - Inputs'!$C$11),0,$J$20)</f>
        <v>0</v>
      </c>
      <c r="P55" s="276">
        <f>IF(OR($D55&lt;$D$35,$E55&gt;'A - Inputs'!$C$11),0,$K$20)</f>
        <v>0</v>
      </c>
      <c r="Q55" s="276">
        <f>IF(OR($D55&lt;$D$35,$E55&gt;'A - Inputs'!$C$11),0,$L$20)</f>
        <v>0</v>
      </c>
      <c r="R55" s="284">
        <f t="shared" si="27"/>
        <v>0</v>
      </c>
      <c r="S55" s="284">
        <f t="shared" si="28"/>
        <v>0</v>
      </c>
      <c r="T55" s="276">
        <f>S55/(1+0.03)^(D55-'A - Inputs'!$C$6)</f>
        <v>0</v>
      </c>
      <c r="U55" s="186">
        <f>S55/(1+0.07)^(D55-'A - Inputs'!$C$6)</f>
        <v>0</v>
      </c>
    </row>
    <row r="56" spans="4:24" x14ac:dyDescent="0.25">
      <c r="D56" s="234">
        <f t="shared" si="29"/>
        <v>2049</v>
      </c>
      <c r="E56" s="282">
        <f t="shared" si="30"/>
        <v>28</v>
      </c>
      <c r="F56" s="103">
        <f t="shared" si="25"/>
        <v>22</v>
      </c>
      <c r="G56" s="276">
        <f>IF(OR($D56&lt;$D$35,$E56&gt;'A - Inputs'!$C$11),0,$H$19)</f>
        <v>0</v>
      </c>
      <c r="H56" s="276">
        <f>IF(OR($D56&lt;$D$35,$E56&gt;'A - Inputs'!$C$11),0,$I$19)</f>
        <v>0</v>
      </c>
      <c r="I56" s="276">
        <f>IF(OR($D56&lt;$D$35,$E56&gt;'A - Inputs'!$C$11),0,$J$19)</f>
        <v>0</v>
      </c>
      <c r="J56" s="276">
        <f>IF(OR($D56&lt;$D$35,$E56&gt;'A - Inputs'!$C$11),0,$K$19)</f>
        <v>0</v>
      </c>
      <c r="K56" s="276">
        <f>IF(OR($D56&lt;$D$35,$E56&gt;'A - Inputs'!$C$11),0,$L$19)</f>
        <v>0</v>
      </c>
      <c r="L56" s="185">
        <f t="shared" si="26"/>
        <v>0</v>
      </c>
      <c r="M56" s="276">
        <f>IF(OR($D56&lt;$D$35,$E56&gt;'A - Inputs'!$C$11),0,$H$20)</f>
        <v>0</v>
      </c>
      <c r="N56" s="276">
        <f>IF(OR($D56&lt;$D$35,$E56&gt;'A - Inputs'!$C$11),0,$I$20)</f>
        <v>0</v>
      </c>
      <c r="O56" s="276">
        <f>IF(OR($D56&lt;$D$35,$E56&gt;'A - Inputs'!$C$11),0,$J$20)</f>
        <v>0</v>
      </c>
      <c r="P56" s="276">
        <f>IF(OR($D56&lt;$D$35,$E56&gt;'A - Inputs'!$C$11),0,$K$20)</f>
        <v>0</v>
      </c>
      <c r="Q56" s="276">
        <f>IF(OR($D56&lt;$D$35,$E56&gt;'A - Inputs'!$C$11),0,$L$20)</f>
        <v>0</v>
      </c>
      <c r="R56" s="284">
        <f t="shared" si="27"/>
        <v>0</v>
      </c>
      <c r="S56" s="284">
        <f t="shared" si="28"/>
        <v>0</v>
      </c>
      <c r="T56" s="276">
        <f>S56/(1+0.03)^(D56-'A - Inputs'!$C$6)</f>
        <v>0</v>
      </c>
      <c r="U56" s="186">
        <f>S56/(1+0.07)^(D56-'A - Inputs'!$C$6)</f>
        <v>0</v>
      </c>
      <c r="V56" s="177"/>
      <c r="W56" s="177"/>
      <c r="X56" s="177"/>
    </row>
    <row r="57" spans="4:24" x14ac:dyDescent="0.25">
      <c r="D57" s="234">
        <f t="shared" si="29"/>
        <v>2050</v>
      </c>
      <c r="E57" s="282">
        <f t="shared" si="30"/>
        <v>29</v>
      </c>
      <c r="F57" s="103">
        <f t="shared" si="25"/>
        <v>23</v>
      </c>
      <c r="G57" s="276">
        <f>IF(OR($D57&lt;$D$35,$E57&gt;'A - Inputs'!$C$11),0,$H$19)</f>
        <v>0</v>
      </c>
      <c r="H57" s="276">
        <f>IF(OR($D57&lt;$D$35,$E57&gt;'A - Inputs'!$C$11),0,$I$19)</f>
        <v>0</v>
      </c>
      <c r="I57" s="276">
        <f>IF(OR($D57&lt;$D$35,$E57&gt;'A - Inputs'!$C$11),0,$J$19)</f>
        <v>0</v>
      </c>
      <c r="J57" s="276">
        <f>IF(OR($D57&lt;$D$35,$E57&gt;'A - Inputs'!$C$11),0,$K$19)</f>
        <v>0</v>
      </c>
      <c r="K57" s="276">
        <f>IF(OR($D57&lt;$D$35,$E57&gt;'A - Inputs'!$C$11),0,$L$19)</f>
        <v>0</v>
      </c>
      <c r="L57" s="185">
        <f t="shared" si="26"/>
        <v>0</v>
      </c>
      <c r="M57" s="276">
        <f>IF(OR($D57&lt;$D$35,$E57&gt;'A - Inputs'!$C$11),0,$H$20)</f>
        <v>0</v>
      </c>
      <c r="N57" s="276">
        <f>IF(OR($D57&lt;$D$35,$E57&gt;'A - Inputs'!$C$11),0,$I$20)</f>
        <v>0</v>
      </c>
      <c r="O57" s="276">
        <f>IF(OR($D57&lt;$D$35,$E57&gt;'A - Inputs'!$C$11),0,$J$20)</f>
        <v>0</v>
      </c>
      <c r="P57" s="276">
        <f>IF(OR($D57&lt;$D$35,$E57&gt;'A - Inputs'!$C$11),0,$K$20)</f>
        <v>0</v>
      </c>
      <c r="Q57" s="276">
        <f>IF(OR($D57&lt;$D$35,$E57&gt;'A - Inputs'!$C$11),0,$L$20)</f>
        <v>0</v>
      </c>
      <c r="R57" s="284">
        <f t="shared" si="27"/>
        <v>0</v>
      </c>
      <c r="S57" s="284">
        <f t="shared" si="28"/>
        <v>0</v>
      </c>
      <c r="T57" s="276">
        <f>S57/(1+0.03)^(D57-'A - Inputs'!$C$6)</f>
        <v>0</v>
      </c>
      <c r="U57" s="186">
        <f>S57/(1+0.07)^(D57-'A - Inputs'!$C$6)</f>
        <v>0</v>
      </c>
      <c r="V57" s="177"/>
      <c r="W57" s="177"/>
      <c r="X57" s="177"/>
    </row>
    <row r="58" spans="4:24" x14ac:dyDescent="0.25">
      <c r="D58" s="234">
        <f t="shared" si="29"/>
        <v>2051</v>
      </c>
      <c r="E58" s="282">
        <f t="shared" si="30"/>
        <v>30</v>
      </c>
      <c r="F58" s="103">
        <f t="shared" si="25"/>
        <v>24</v>
      </c>
      <c r="G58" s="276">
        <f>IF(OR($D58&lt;$D$35,$E58&gt;'A - Inputs'!$C$11),0,$H$19)</f>
        <v>0</v>
      </c>
      <c r="H58" s="276">
        <f>IF(OR($D58&lt;$D$35,$E58&gt;'A - Inputs'!$C$11),0,$I$19)</f>
        <v>0</v>
      </c>
      <c r="I58" s="276">
        <f>IF(OR($D58&lt;$D$35,$E58&gt;'A - Inputs'!$C$11),0,$J$19)</f>
        <v>0</v>
      </c>
      <c r="J58" s="276">
        <f>IF(OR($D58&lt;$D$35,$E58&gt;'A - Inputs'!$C$11),0,$K$19)</f>
        <v>0</v>
      </c>
      <c r="K58" s="276">
        <f>IF(OR($D58&lt;$D$35,$E58&gt;'A - Inputs'!$C$11),0,$L$19)</f>
        <v>0</v>
      </c>
      <c r="L58" s="185">
        <f t="shared" ref="L58:L64" si="31">SUM(G58:K58)</f>
        <v>0</v>
      </c>
      <c r="M58" s="276">
        <f>IF(OR($D58&lt;$D$35,$E58&gt;'A - Inputs'!$C$11),0,$H$20)</f>
        <v>0</v>
      </c>
      <c r="N58" s="276">
        <f>IF(OR($D58&lt;$D$35,$E58&gt;'A - Inputs'!$C$11),0,$I$20)</f>
        <v>0</v>
      </c>
      <c r="O58" s="276">
        <f>IF(OR($D58&lt;$D$35,$E58&gt;'A - Inputs'!$C$11),0,$J$20)</f>
        <v>0</v>
      </c>
      <c r="P58" s="276">
        <f>IF(OR($D58&lt;$D$35,$E58&gt;'A - Inputs'!$C$11),0,$K$20)</f>
        <v>0</v>
      </c>
      <c r="Q58" s="276">
        <f>IF(OR($D58&lt;$D$35,$E58&gt;'A - Inputs'!$C$11),0,$L$20)</f>
        <v>0</v>
      </c>
      <c r="R58" s="284">
        <f t="shared" ref="R58:R64" si="32">SUM(M58:Q58)</f>
        <v>0</v>
      </c>
      <c r="S58" s="284">
        <f t="shared" ref="S58:S64" si="33">L58-R58</f>
        <v>0</v>
      </c>
      <c r="T58" s="276">
        <f>S58/(1+0.03)^(D58-'A - Inputs'!$C$6)</f>
        <v>0</v>
      </c>
      <c r="U58" s="186">
        <f>S58/(1+0.07)^(D58-'A - Inputs'!$C$6)</f>
        <v>0</v>
      </c>
      <c r="V58" s="177"/>
      <c r="W58" s="177"/>
      <c r="X58" s="177"/>
    </row>
    <row r="59" spans="4:24" x14ac:dyDescent="0.25">
      <c r="D59" s="234">
        <f t="shared" si="29"/>
        <v>2052</v>
      </c>
      <c r="E59" s="282">
        <f t="shared" si="30"/>
        <v>31</v>
      </c>
      <c r="F59" s="103">
        <f t="shared" si="25"/>
        <v>25</v>
      </c>
      <c r="G59" s="276">
        <f>IF(OR($D59&lt;$D$35,$E59&gt;'A - Inputs'!$C$11),0,$H$19)</f>
        <v>0</v>
      </c>
      <c r="H59" s="276">
        <f>IF(OR($D59&lt;$D$35,$E59&gt;'A - Inputs'!$C$11),0,$I$19)</f>
        <v>0</v>
      </c>
      <c r="I59" s="276">
        <f>IF(OR($D59&lt;$D$35,$E59&gt;'A - Inputs'!$C$11),0,$J$19)</f>
        <v>0</v>
      </c>
      <c r="J59" s="276">
        <f>IF(OR($D59&lt;$D$35,$E59&gt;'A - Inputs'!$C$11),0,$K$19)</f>
        <v>0</v>
      </c>
      <c r="K59" s="276">
        <f>IF(OR($D59&lt;$D$35,$E59&gt;'A - Inputs'!$C$11),0,$L$19)</f>
        <v>0</v>
      </c>
      <c r="L59" s="185">
        <f t="shared" si="31"/>
        <v>0</v>
      </c>
      <c r="M59" s="276">
        <f>IF(OR($D59&lt;$D$35,$E59&gt;'A - Inputs'!$C$11),0,$H$20)</f>
        <v>0</v>
      </c>
      <c r="N59" s="276">
        <f>IF(OR($D59&lt;$D$35,$E59&gt;'A - Inputs'!$C$11),0,$I$20)</f>
        <v>0</v>
      </c>
      <c r="O59" s="276">
        <f>IF(OR($D59&lt;$D$35,$E59&gt;'A - Inputs'!$C$11),0,$J$20)</f>
        <v>0</v>
      </c>
      <c r="P59" s="276">
        <f>IF(OR($D59&lt;$D$35,$E59&gt;'A - Inputs'!$C$11),0,$K$20)</f>
        <v>0</v>
      </c>
      <c r="Q59" s="276">
        <f>IF(OR($D59&lt;$D$35,$E59&gt;'A - Inputs'!$C$11),0,$L$20)</f>
        <v>0</v>
      </c>
      <c r="R59" s="284">
        <f t="shared" si="32"/>
        <v>0</v>
      </c>
      <c r="S59" s="284">
        <f t="shared" si="33"/>
        <v>0</v>
      </c>
      <c r="T59" s="276">
        <f>S59/(1+0.03)^(D59-'A - Inputs'!$C$6)</f>
        <v>0</v>
      </c>
      <c r="U59" s="186">
        <f>S59/(1+0.07)^(D59-'A - Inputs'!$C$6)</f>
        <v>0</v>
      </c>
      <c r="V59" s="177"/>
      <c r="W59" s="177"/>
      <c r="X59" s="177"/>
    </row>
    <row r="60" spans="4:24" x14ac:dyDescent="0.25">
      <c r="D60" s="234">
        <f t="shared" si="29"/>
        <v>2053</v>
      </c>
      <c r="E60" s="282">
        <f t="shared" si="30"/>
        <v>32</v>
      </c>
      <c r="F60" s="103">
        <f t="shared" si="25"/>
        <v>26</v>
      </c>
      <c r="G60" s="276">
        <f>IF(OR($D60&lt;$D$35,$E60&gt;'A - Inputs'!$C$11),0,$H$19)</f>
        <v>0</v>
      </c>
      <c r="H60" s="276">
        <f>IF(OR($D60&lt;$D$35,$E60&gt;'A - Inputs'!$C$11),0,$I$19)</f>
        <v>0</v>
      </c>
      <c r="I60" s="276">
        <f>IF(OR($D60&lt;$D$35,$E60&gt;'A - Inputs'!$C$11),0,$J$19)</f>
        <v>0</v>
      </c>
      <c r="J60" s="276">
        <f>IF(OR($D60&lt;$D$35,$E60&gt;'A - Inputs'!$C$11),0,$K$19)</f>
        <v>0</v>
      </c>
      <c r="K60" s="276">
        <f>IF(OR($D60&lt;$D$35,$E60&gt;'A - Inputs'!$C$11),0,$L$19)</f>
        <v>0</v>
      </c>
      <c r="L60" s="185">
        <f t="shared" si="31"/>
        <v>0</v>
      </c>
      <c r="M60" s="276">
        <f>IF(OR($D60&lt;$D$35,$E60&gt;'A - Inputs'!$C$11),0,$H$20)</f>
        <v>0</v>
      </c>
      <c r="N60" s="276">
        <f>IF(OR($D60&lt;$D$35,$E60&gt;'A - Inputs'!$C$11),0,$I$20)</f>
        <v>0</v>
      </c>
      <c r="O60" s="276">
        <f>IF(OR($D60&lt;$D$35,$E60&gt;'A - Inputs'!$C$11),0,$J$20)</f>
        <v>0</v>
      </c>
      <c r="P60" s="276">
        <f>IF(OR($D60&lt;$D$35,$E60&gt;'A - Inputs'!$C$11),0,$K$20)</f>
        <v>0</v>
      </c>
      <c r="Q60" s="276">
        <f>IF(OR($D60&lt;$D$35,$E60&gt;'A - Inputs'!$C$11),0,$L$20)</f>
        <v>0</v>
      </c>
      <c r="R60" s="284">
        <f t="shared" si="32"/>
        <v>0</v>
      </c>
      <c r="S60" s="284">
        <f t="shared" si="33"/>
        <v>0</v>
      </c>
      <c r="T60" s="276">
        <f>S60/(1+0.03)^(D60-'A - Inputs'!$C$6)</f>
        <v>0</v>
      </c>
      <c r="U60" s="186">
        <f>S60/(1+0.07)^(D60-'A - Inputs'!$C$6)</f>
        <v>0</v>
      </c>
      <c r="V60" s="177"/>
      <c r="W60" s="177"/>
      <c r="X60" s="177"/>
    </row>
    <row r="61" spans="4:24" x14ac:dyDescent="0.25">
      <c r="D61" s="234">
        <f t="shared" si="29"/>
        <v>2054</v>
      </c>
      <c r="E61" s="282">
        <f t="shared" si="30"/>
        <v>33</v>
      </c>
      <c r="F61" s="103">
        <f t="shared" si="25"/>
        <v>27</v>
      </c>
      <c r="G61" s="276">
        <f>IF(OR($D61&lt;$D$35,$E61&gt;'A - Inputs'!$C$11),0,$H$19)</f>
        <v>0</v>
      </c>
      <c r="H61" s="276">
        <f>IF(OR($D61&lt;$D$35,$E61&gt;'A - Inputs'!$C$11),0,$I$19)</f>
        <v>0</v>
      </c>
      <c r="I61" s="276">
        <f>IF(OR($D61&lt;$D$35,$E61&gt;'A - Inputs'!$C$11),0,$J$19)</f>
        <v>0</v>
      </c>
      <c r="J61" s="276">
        <f>IF(OR($D61&lt;$D$35,$E61&gt;'A - Inputs'!$C$11),0,$K$19)</f>
        <v>0</v>
      </c>
      <c r="K61" s="276">
        <f>IF(OR($D61&lt;$D$35,$E61&gt;'A - Inputs'!$C$11),0,$L$19)</f>
        <v>0</v>
      </c>
      <c r="L61" s="185">
        <f t="shared" si="31"/>
        <v>0</v>
      </c>
      <c r="M61" s="276">
        <f>IF(OR($D61&lt;$D$35,$E61&gt;'A - Inputs'!$C$11),0,$H$20)</f>
        <v>0</v>
      </c>
      <c r="N61" s="276">
        <f>IF(OR($D61&lt;$D$35,$E61&gt;'A - Inputs'!$C$11),0,$I$20)</f>
        <v>0</v>
      </c>
      <c r="O61" s="276">
        <f>IF(OR($D61&lt;$D$35,$E61&gt;'A - Inputs'!$C$11),0,$J$20)</f>
        <v>0</v>
      </c>
      <c r="P61" s="276">
        <f>IF(OR($D61&lt;$D$35,$E61&gt;'A - Inputs'!$C$11),0,$K$20)</f>
        <v>0</v>
      </c>
      <c r="Q61" s="276">
        <f>IF(OR($D61&lt;$D$35,$E61&gt;'A - Inputs'!$C$11),0,$L$20)</f>
        <v>0</v>
      </c>
      <c r="R61" s="284">
        <f t="shared" si="32"/>
        <v>0</v>
      </c>
      <c r="S61" s="284">
        <f t="shared" si="33"/>
        <v>0</v>
      </c>
      <c r="T61" s="276">
        <f>S61/(1+0.03)^(D61-'A - Inputs'!$C$6)</f>
        <v>0</v>
      </c>
      <c r="U61" s="186">
        <f>S61/(1+0.07)^(D61-'A - Inputs'!$C$6)</f>
        <v>0</v>
      </c>
      <c r="V61" s="177"/>
      <c r="W61" s="177"/>
      <c r="X61" s="177"/>
    </row>
    <row r="62" spans="4:24" x14ac:dyDescent="0.25">
      <c r="D62" s="234">
        <f t="shared" si="29"/>
        <v>2055</v>
      </c>
      <c r="E62" s="282">
        <f t="shared" si="30"/>
        <v>34</v>
      </c>
      <c r="F62" s="103">
        <f t="shared" si="25"/>
        <v>28</v>
      </c>
      <c r="G62" s="276">
        <f>IF(OR($D62&lt;$D$35,$E62&gt;'A - Inputs'!$C$11),0,$H$19)</f>
        <v>0</v>
      </c>
      <c r="H62" s="276">
        <f>IF(OR($D62&lt;$D$35,$E62&gt;'A - Inputs'!$C$11),0,$I$19)</f>
        <v>0</v>
      </c>
      <c r="I62" s="276">
        <f>IF(OR($D62&lt;$D$35,$E62&gt;'A - Inputs'!$C$11),0,$J$19)</f>
        <v>0</v>
      </c>
      <c r="J62" s="276">
        <f>IF(OR($D62&lt;$D$35,$E62&gt;'A - Inputs'!$C$11),0,$K$19)</f>
        <v>0</v>
      </c>
      <c r="K62" s="276">
        <f>IF(OR($D62&lt;$D$35,$E62&gt;'A - Inputs'!$C$11),0,$L$19)</f>
        <v>0</v>
      </c>
      <c r="L62" s="185">
        <f t="shared" si="31"/>
        <v>0</v>
      </c>
      <c r="M62" s="276">
        <f>IF(OR($D62&lt;$D$35,$E62&gt;'A - Inputs'!$C$11),0,$H$20)</f>
        <v>0</v>
      </c>
      <c r="N62" s="276">
        <f>IF(OR($D62&lt;$D$35,$E62&gt;'A - Inputs'!$C$11),0,$I$20)</f>
        <v>0</v>
      </c>
      <c r="O62" s="276">
        <f>IF(OR($D62&lt;$D$35,$E62&gt;'A - Inputs'!$C$11),0,$J$20)</f>
        <v>0</v>
      </c>
      <c r="P62" s="276">
        <f>IF(OR($D62&lt;$D$35,$E62&gt;'A - Inputs'!$C$11),0,$K$20)</f>
        <v>0</v>
      </c>
      <c r="Q62" s="276">
        <f>IF(OR($D62&lt;$D$35,$E62&gt;'A - Inputs'!$C$11),0,$L$20)</f>
        <v>0</v>
      </c>
      <c r="R62" s="284">
        <f t="shared" si="32"/>
        <v>0</v>
      </c>
      <c r="S62" s="284">
        <f t="shared" si="33"/>
        <v>0</v>
      </c>
      <c r="T62" s="276">
        <f>S62/(1+0.03)^(D62-'A - Inputs'!$C$6)</f>
        <v>0</v>
      </c>
      <c r="U62" s="186">
        <f>S62/(1+0.07)^(D62-'A - Inputs'!$C$6)</f>
        <v>0</v>
      </c>
      <c r="V62" s="177"/>
      <c r="W62" s="177"/>
      <c r="X62" s="177"/>
    </row>
    <row r="63" spans="4:24" x14ac:dyDescent="0.25">
      <c r="D63" s="234">
        <f t="shared" si="29"/>
        <v>2056</v>
      </c>
      <c r="E63" s="282">
        <f t="shared" si="30"/>
        <v>35</v>
      </c>
      <c r="F63" s="103">
        <f t="shared" si="25"/>
        <v>29</v>
      </c>
      <c r="G63" s="276">
        <f>IF(OR($D63&lt;$D$35,$E63&gt;'A - Inputs'!$C$11),0,$H$19)</f>
        <v>0</v>
      </c>
      <c r="H63" s="276">
        <f>IF(OR($D63&lt;$D$35,$E63&gt;'A - Inputs'!$C$11),0,$I$19)</f>
        <v>0</v>
      </c>
      <c r="I63" s="276">
        <f>IF(OR($D63&lt;$D$35,$E63&gt;'A - Inputs'!$C$11),0,$J$19)</f>
        <v>0</v>
      </c>
      <c r="J63" s="276">
        <f>IF(OR($D63&lt;$D$35,$E63&gt;'A - Inputs'!$C$11),0,$K$19)</f>
        <v>0</v>
      </c>
      <c r="K63" s="276">
        <f>IF(OR($D63&lt;$D$35,$E63&gt;'A - Inputs'!$C$11),0,$L$19)</f>
        <v>0</v>
      </c>
      <c r="L63" s="185">
        <f t="shared" si="31"/>
        <v>0</v>
      </c>
      <c r="M63" s="276">
        <f>IF(OR($D63&lt;$D$35,$E63&gt;'A - Inputs'!$C$11),0,$H$20)</f>
        <v>0</v>
      </c>
      <c r="N63" s="276">
        <f>IF(OR($D63&lt;$D$35,$E63&gt;'A - Inputs'!$C$11),0,$I$20)</f>
        <v>0</v>
      </c>
      <c r="O63" s="276">
        <f>IF(OR($D63&lt;$D$35,$E63&gt;'A - Inputs'!$C$11),0,$J$20)</f>
        <v>0</v>
      </c>
      <c r="P63" s="276">
        <f>IF(OR($D63&lt;$D$35,$E63&gt;'A - Inputs'!$C$11),0,$K$20)</f>
        <v>0</v>
      </c>
      <c r="Q63" s="276">
        <f>IF(OR($D63&lt;$D$35,$E63&gt;'A - Inputs'!$C$11),0,$L$20)</f>
        <v>0</v>
      </c>
      <c r="R63" s="284">
        <f t="shared" si="32"/>
        <v>0</v>
      </c>
      <c r="S63" s="284">
        <f t="shared" si="33"/>
        <v>0</v>
      </c>
      <c r="T63" s="276">
        <f>S63/(1+0.03)^(D63-'A - Inputs'!$C$6)</f>
        <v>0</v>
      </c>
      <c r="U63" s="186">
        <f>S63/(1+0.07)^(D63-'A - Inputs'!$C$6)</f>
        <v>0</v>
      </c>
      <c r="V63" s="177"/>
      <c r="W63" s="177"/>
      <c r="X63" s="177"/>
    </row>
    <row r="64" spans="4:24" x14ac:dyDescent="0.25">
      <c r="D64" s="234">
        <f t="shared" si="29"/>
        <v>2057</v>
      </c>
      <c r="E64" s="282">
        <f t="shared" si="30"/>
        <v>36</v>
      </c>
      <c r="F64" s="103">
        <f t="shared" si="25"/>
        <v>30</v>
      </c>
      <c r="G64" s="276">
        <f>IF(OR($D64&lt;$D$35,$E64&gt;'A - Inputs'!$C$11),0,$H$19)</f>
        <v>0</v>
      </c>
      <c r="H64" s="276">
        <f>IF(OR($D64&lt;$D$35,$E64&gt;'A - Inputs'!$C$11),0,$I$19)</f>
        <v>0</v>
      </c>
      <c r="I64" s="276">
        <f>IF(OR($D64&lt;$D$35,$E64&gt;'A - Inputs'!$C$11),0,$J$19)</f>
        <v>0</v>
      </c>
      <c r="J64" s="276">
        <f>IF(OR($D64&lt;$D$35,$E64&gt;'A - Inputs'!$C$11),0,$K$19)</f>
        <v>0</v>
      </c>
      <c r="K64" s="276">
        <f>IF(OR($D64&lt;$D$35,$E64&gt;'A - Inputs'!$C$11),0,$L$19)</f>
        <v>0</v>
      </c>
      <c r="L64" s="185">
        <f t="shared" si="31"/>
        <v>0</v>
      </c>
      <c r="M64" s="276">
        <f>IF(OR($D64&lt;$D$35,$E64&gt;'A - Inputs'!$C$11),0,$H$20)</f>
        <v>0</v>
      </c>
      <c r="N64" s="276">
        <f>IF(OR($D64&lt;$D$35,$E64&gt;'A - Inputs'!$C$11),0,$I$20)</f>
        <v>0</v>
      </c>
      <c r="O64" s="276">
        <f>IF(OR($D64&lt;$D$35,$E64&gt;'A - Inputs'!$C$11),0,$J$20)</f>
        <v>0</v>
      </c>
      <c r="P64" s="276">
        <f>IF(OR($D64&lt;$D$35,$E64&gt;'A - Inputs'!$C$11),0,$K$20)</f>
        <v>0</v>
      </c>
      <c r="Q64" s="276">
        <f>IF(OR($D64&lt;$D$35,$E64&gt;'A - Inputs'!$C$11),0,$L$20)</f>
        <v>0</v>
      </c>
      <c r="R64" s="284">
        <f t="shared" si="32"/>
        <v>0</v>
      </c>
      <c r="S64" s="284">
        <f t="shared" si="33"/>
        <v>0</v>
      </c>
      <c r="T64" s="276">
        <f>S64/(1+0.03)^(D64-'A - Inputs'!$C$6)</f>
        <v>0</v>
      </c>
      <c r="U64" s="186">
        <f>S64/(1+0.07)^(D64-'A - Inputs'!$C$6)</f>
        <v>0</v>
      </c>
      <c r="V64" s="177"/>
      <c r="W64" s="177"/>
      <c r="X64" s="177"/>
    </row>
    <row r="65" spans="4:24" x14ac:dyDescent="0.25">
      <c r="D65" s="235" t="s">
        <v>45</v>
      </c>
      <c r="E65" s="278"/>
      <c r="F65" s="235"/>
      <c r="G65" s="277"/>
      <c r="H65" s="278"/>
      <c r="I65" s="278"/>
      <c r="J65" s="278"/>
      <c r="K65" s="227"/>
      <c r="L65" s="279">
        <f>SUM(L28:L57)</f>
        <v>40550440</v>
      </c>
      <c r="M65" s="278"/>
      <c r="N65" s="278"/>
      <c r="O65" s="278"/>
      <c r="P65" s="278"/>
      <c r="Q65" s="227"/>
      <c r="R65" s="285">
        <f>SUM(R28:R57)</f>
        <v>36569618.000000007</v>
      </c>
      <c r="S65" s="285">
        <f>SUM(S28:S57)</f>
        <v>3980821.9999999921</v>
      </c>
      <c r="T65" s="277">
        <f>SUM(T28:T57)</f>
        <v>2433793.90102104</v>
      </c>
      <c r="U65" s="304">
        <f>SUM(U28:U57)</f>
        <v>1330597.8725129121</v>
      </c>
      <c r="V65" s="177"/>
      <c r="W65" s="177"/>
      <c r="X65" s="177"/>
    </row>
    <row r="66" spans="4:24" x14ac:dyDescent="0.25">
      <c r="D66" s="177"/>
      <c r="E66" s="177"/>
      <c r="F66" s="177"/>
      <c r="G66" s="177"/>
      <c r="H66" s="177"/>
      <c r="I66" s="177"/>
      <c r="J66" s="176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6"/>
      <c r="W66"/>
      <c r="X66" s="177"/>
    </row>
    <row r="67" spans="4:24" x14ac:dyDescent="0.25">
      <c r="D67" s="168" t="s">
        <v>182</v>
      </c>
      <c r="E67" s="177"/>
      <c r="F67" s="177"/>
      <c r="G67" s="177"/>
      <c r="H67" s="177"/>
      <c r="I67" s="177"/>
      <c r="J67" s="177"/>
      <c r="K67" s="176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</row>
    <row r="68" spans="4:24" x14ac:dyDescent="0.25">
      <c r="D68" s="217" t="s">
        <v>181</v>
      </c>
    </row>
    <row r="69" spans="4:24" x14ac:dyDescent="0.25">
      <c r="D69" s="217" t="s">
        <v>183</v>
      </c>
    </row>
    <row r="70" spans="4:24" x14ac:dyDescent="0.25">
      <c r="D70" s="310" t="s">
        <v>191</v>
      </c>
    </row>
    <row r="71" spans="4:24" x14ac:dyDescent="0.25">
      <c r="D71" s="222" t="s">
        <v>184</v>
      </c>
    </row>
    <row r="72" spans="4:24" x14ac:dyDescent="0.25">
      <c r="D72" s="217" t="s">
        <v>185</v>
      </c>
    </row>
  </sheetData>
  <mergeCells count="5">
    <mergeCell ref="M26:R26"/>
    <mergeCell ref="G26:L26"/>
    <mergeCell ref="E1:K1"/>
    <mergeCell ref="L1:R1"/>
    <mergeCell ref="S26:U26"/>
  </mergeCells>
  <pageMargins left="0.7" right="0.7" top="0.75" bottom="0.75" header="0.3" footer="0.3"/>
  <pageSetup scale="60" orientation="landscape" horizontalDpi="90" verticalDpi="90" r:id="rId1"/>
  <headerFooter>
    <oddHeader>&amp;L&amp;"Arial,Bold"MR-MICCI Benefit-Cost Analysis
&amp;R&amp;"Arial,Bold"&amp;A</oddHeader>
    <oddFooter>&amp;CPage G-&amp;P</oddFooter>
  </headerFooter>
  <colBreaks count="1" manualBreakCount="1">
    <brk id="21" min="17" max="71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5B48B-B745-46D3-9A65-125588B6DBFD}">
  <dimension ref="A1:S47"/>
  <sheetViews>
    <sheetView tabSelected="1" view="pageLayout" zoomScaleNormal="70" workbookViewId="0">
      <selection activeCell="L6" sqref="L6"/>
    </sheetView>
  </sheetViews>
  <sheetFormatPr defaultColWidth="8.7109375" defaultRowHeight="15" x14ac:dyDescent="0.25"/>
  <cols>
    <col min="1" max="1" width="6" style="138" customWidth="1"/>
    <col min="2" max="10" width="15.28515625" style="138" customWidth="1"/>
    <col min="11" max="11" width="14" style="138" customWidth="1"/>
    <col min="12" max="12" width="18.140625" style="138" customWidth="1"/>
    <col min="13" max="13" width="11.5703125" style="138" bestFit="1" customWidth="1"/>
    <col min="14" max="16384" width="8.7109375" style="138"/>
  </cols>
  <sheetData>
    <row r="1" spans="1:19" x14ac:dyDescent="0.25">
      <c r="A1" s="135"/>
      <c r="B1" s="136"/>
      <c r="C1" s="136"/>
      <c r="D1" s="162">
        <v>0.5</v>
      </c>
      <c r="E1" s="136"/>
      <c r="F1" s="137"/>
      <c r="G1" s="317" t="s">
        <v>149</v>
      </c>
      <c r="H1" s="318"/>
      <c r="I1" s="319"/>
      <c r="J1" s="317" t="s">
        <v>150</v>
      </c>
      <c r="K1" s="318"/>
      <c r="L1" s="319"/>
      <c r="R1" s="139"/>
      <c r="S1" s="140"/>
    </row>
    <row r="2" spans="1:19" ht="25.5" x14ac:dyDescent="0.25">
      <c r="A2" s="135"/>
      <c r="B2" s="141" t="s">
        <v>151</v>
      </c>
      <c r="C2" s="141" t="s">
        <v>152</v>
      </c>
      <c r="D2" s="141" t="s">
        <v>153</v>
      </c>
      <c r="E2" s="141" t="s">
        <v>194</v>
      </c>
      <c r="F2" s="141" t="s">
        <v>154</v>
      </c>
      <c r="G2" s="141" t="s">
        <v>155</v>
      </c>
      <c r="H2" s="141" t="s">
        <v>156</v>
      </c>
      <c r="I2" s="141" t="s">
        <v>157</v>
      </c>
      <c r="J2" s="141" t="s">
        <v>158</v>
      </c>
      <c r="K2" s="141" t="s">
        <v>159</v>
      </c>
      <c r="L2" s="141" t="s">
        <v>160</v>
      </c>
      <c r="R2" s="143"/>
    </row>
    <row r="3" spans="1:19" x14ac:dyDescent="0.25">
      <c r="A3" s="135"/>
      <c r="B3" s="144" t="s">
        <v>163</v>
      </c>
      <c r="C3" s="145">
        <f>'D - Cost Estimate'!G13</f>
        <v>47892261.163500004</v>
      </c>
      <c r="D3" s="146">
        <f>C3*D1</f>
        <v>23946130.581750002</v>
      </c>
      <c r="E3" s="147"/>
      <c r="F3" s="148">
        <f>D3+E3</f>
        <v>23946130.581750002</v>
      </c>
      <c r="G3" s="149">
        <v>2.1625999999999999</v>
      </c>
      <c r="H3" s="149">
        <v>0.78900000000000003</v>
      </c>
      <c r="I3" s="149">
        <v>17.308499999999999</v>
      </c>
      <c r="J3" s="148">
        <f>G3*F3</f>
        <v>51785901.99609255</v>
      </c>
      <c r="K3" s="148">
        <f>H3*F3</f>
        <v>18893497.029000752</v>
      </c>
      <c r="L3" s="150">
        <f>(F3/1000000)*I3</f>
        <v>414.47160117421987</v>
      </c>
      <c r="M3" s="151"/>
      <c r="R3" s="143"/>
    </row>
    <row r="4" spans="1:19" x14ac:dyDescent="0.25">
      <c r="A4" s="135"/>
      <c r="B4" s="135"/>
      <c r="C4" s="135"/>
      <c r="D4" s="135"/>
      <c r="E4" s="135"/>
      <c r="F4" s="135"/>
      <c r="G4" s="135"/>
      <c r="H4" s="135"/>
      <c r="I4" s="135"/>
      <c r="J4" s="152"/>
      <c r="K4" s="135"/>
      <c r="L4" s="135"/>
      <c r="R4" s="143"/>
    </row>
    <row r="5" spans="1:19" x14ac:dyDescent="0.25">
      <c r="B5" s="296"/>
      <c r="C5" s="286"/>
      <c r="D5" s="287"/>
      <c r="E5" s="286"/>
      <c r="F5" s="288" t="s">
        <v>161</v>
      </c>
      <c r="G5" s="288"/>
      <c r="H5" s="289"/>
      <c r="N5" s="135"/>
      <c r="R5" s="155"/>
      <c r="S5" s="155"/>
    </row>
    <row r="6" spans="1:19" ht="39" x14ac:dyDescent="0.25">
      <c r="B6" s="297" t="s">
        <v>40</v>
      </c>
      <c r="C6" s="156" t="s">
        <v>41</v>
      </c>
      <c r="D6" s="157" t="s">
        <v>44</v>
      </c>
      <c r="E6" s="169" t="s">
        <v>156</v>
      </c>
      <c r="F6" s="158" t="s">
        <v>45</v>
      </c>
      <c r="G6" s="158" t="s">
        <v>19</v>
      </c>
      <c r="H6" s="219" t="s">
        <v>20</v>
      </c>
      <c r="J6" s="171" t="s">
        <v>162</v>
      </c>
      <c r="K6" s="171"/>
      <c r="L6" s="139"/>
      <c r="N6" s="135"/>
      <c r="O6" s="135"/>
      <c r="P6" s="135"/>
    </row>
    <row r="7" spans="1:19" x14ac:dyDescent="0.25">
      <c r="B7" s="298">
        <v>2021</v>
      </c>
      <c r="C7" s="159">
        <v>0</v>
      </c>
      <c r="D7" s="290">
        <v>0</v>
      </c>
      <c r="E7" s="218">
        <v>0</v>
      </c>
      <c r="F7" s="291">
        <f>SUM(D7:E7)</f>
        <v>0</v>
      </c>
      <c r="G7" s="291">
        <v>0</v>
      </c>
      <c r="H7" s="220">
        <v>0</v>
      </c>
      <c r="J7" s="138">
        <f>'D - Cost Estimate'!F16</f>
        <v>2024</v>
      </c>
      <c r="K7" s="142">
        <f>'D - Cost Estimate'!H16</f>
        <v>0.05</v>
      </c>
      <c r="L7" s="143"/>
      <c r="N7" s="135"/>
      <c r="O7" s="135"/>
      <c r="P7" s="135"/>
    </row>
    <row r="8" spans="1:19" x14ac:dyDescent="0.25">
      <c r="B8" s="299">
        <v>2022</v>
      </c>
      <c r="C8" s="161">
        <f>C7+1</f>
        <v>1</v>
      </c>
      <c r="D8" s="290">
        <v>0</v>
      </c>
      <c r="E8" s="170">
        <v>0</v>
      </c>
      <c r="F8" s="291">
        <f>SUM(D8:E8)</f>
        <v>0</v>
      </c>
      <c r="G8" s="291">
        <v>0</v>
      </c>
      <c r="H8" s="160">
        <v>0</v>
      </c>
      <c r="J8" s="138">
        <f>'D - Cost Estimate'!F17</f>
        <v>2025</v>
      </c>
      <c r="K8" s="142">
        <f>'D - Cost Estimate'!H17</f>
        <v>0.2</v>
      </c>
      <c r="L8" s="143"/>
      <c r="M8" s="135"/>
      <c r="N8" s="135"/>
      <c r="O8" s="135"/>
      <c r="P8" s="135"/>
    </row>
    <row r="9" spans="1:19" x14ac:dyDescent="0.25">
      <c r="B9" s="299">
        <f t="shared" ref="B9:C24" si="0">B8+1</f>
        <v>2023</v>
      </c>
      <c r="C9" s="161">
        <f t="shared" si="0"/>
        <v>2</v>
      </c>
      <c r="D9" s="290">
        <v>0</v>
      </c>
      <c r="E9" s="170">
        <v>0</v>
      </c>
      <c r="F9" s="291">
        <f t="shared" ref="F9:F43" si="1">SUM(D9:E9)</f>
        <v>0</v>
      </c>
      <c r="G9" s="291">
        <v>0</v>
      </c>
      <c r="H9" s="160">
        <v>0</v>
      </c>
      <c r="J9" s="138">
        <f>'D - Cost Estimate'!F18</f>
        <v>2026</v>
      </c>
      <c r="K9" s="142">
        <f>'D - Cost Estimate'!H18</f>
        <v>0.3</v>
      </c>
      <c r="L9" s="143"/>
    </row>
    <row r="10" spans="1:19" x14ac:dyDescent="0.25">
      <c r="B10" s="299">
        <f t="shared" si="0"/>
        <v>2024</v>
      </c>
      <c r="C10" s="161">
        <f t="shared" si="0"/>
        <v>3</v>
      </c>
      <c r="D10" s="290">
        <v>2589295.0998046277</v>
      </c>
      <c r="E10" s="170">
        <v>944674.85145003768</v>
      </c>
      <c r="F10" s="291">
        <f t="shared" si="1"/>
        <v>3533969.9512546654</v>
      </c>
      <c r="G10" s="291">
        <v>3048433.5237019504</v>
      </c>
      <c r="H10" s="160">
        <v>2519671.7339551495</v>
      </c>
      <c r="J10" s="138">
        <f>'D - Cost Estimate'!F19</f>
        <v>2027</v>
      </c>
      <c r="K10" s="142">
        <f>'D - Cost Estimate'!H19</f>
        <v>0.35</v>
      </c>
      <c r="L10" s="143"/>
    </row>
    <row r="11" spans="1:19" x14ac:dyDescent="0.25">
      <c r="B11" s="299">
        <f t="shared" si="0"/>
        <v>2025</v>
      </c>
      <c r="C11" s="161">
        <f t="shared" si="0"/>
        <v>4</v>
      </c>
      <c r="D11" s="290">
        <v>10357180.399218511</v>
      </c>
      <c r="E11" s="170">
        <v>3778699.4058001507</v>
      </c>
      <c r="F11" s="291">
        <f t="shared" si="1"/>
        <v>14135879.805018662</v>
      </c>
      <c r="G11" s="291">
        <v>11838576.791075535</v>
      </c>
      <c r="H11" s="160">
        <v>9419333.5848790649</v>
      </c>
      <c r="J11" s="138">
        <f>'D - Cost Estimate'!F20</f>
        <v>2028</v>
      </c>
      <c r="K11" s="142">
        <f>'D - Cost Estimate'!H20</f>
        <v>0.1</v>
      </c>
      <c r="L11" s="143"/>
    </row>
    <row r="12" spans="1:19" x14ac:dyDescent="0.25">
      <c r="B12" s="299">
        <f t="shared" si="0"/>
        <v>2026</v>
      </c>
      <c r="C12" s="161">
        <f t="shared" si="0"/>
        <v>5</v>
      </c>
      <c r="D12" s="290">
        <v>15535770.598827764</v>
      </c>
      <c r="E12" s="170">
        <v>5668049.1087002251</v>
      </c>
      <c r="F12" s="291">
        <f t="shared" si="1"/>
        <v>21203819.707527988</v>
      </c>
      <c r="G12" s="291">
        <v>17240645.81224592</v>
      </c>
      <c r="H12" s="160">
        <v>13204673.24983046</v>
      </c>
      <c r="K12" s="142"/>
      <c r="L12" s="143"/>
    </row>
    <row r="13" spans="1:19" x14ac:dyDescent="0.25">
      <c r="B13" s="299">
        <f t="shared" si="0"/>
        <v>2027</v>
      </c>
      <c r="C13" s="161">
        <f t="shared" si="0"/>
        <v>6</v>
      </c>
      <c r="D13" s="290">
        <v>18125065.698632393</v>
      </c>
      <c r="E13" s="170">
        <v>6612723.9601502623</v>
      </c>
      <c r="F13" s="291">
        <f t="shared" si="1"/>
        <v>24737789.658782654</v>
      </c>
      <c r="G13" s="291">
        <v>19528239.593158811</v>
      </c>
      <c r="H13" s="160">
        <v>14397618.80822636</v>
      </c>
      <c r="J13" s="153"/>
      <c r="K13" s="154"/>
      <c r="L13" s="155"/>
    </row>
    <row r="14" spans="1:19" x14ac:dyDescent="0.25">
      <c r="B14" s="299">
        <f t="shared" si="0"/>
        <v>2028</v>
      </c>
      <c r="C14" s="161">
        <f t="shared" si="0"/>
        <v>7</v>
      </c>
      <c r="D14" s="290">
        <v>5178590.1996092554</v>
      </c>
      <c r="E14" s="170">
        <v>1889349.7029000754</v>
      </c>
      <c r="F14" s="291">
        <f t="shared" si="1"/>
        <v>7067939.9025093308</v>
      </c>
      <c r="G14" s="291">
        <v>5416987.4044823349</v>
      </c>
      <c r="H14" s="160">
        <v>3844491.0035317387</v>
      </c>
    </row>
    <row r="15" spans="1:19" x14ac:dyDescent="0.25">
      <c r="B15" s="299">
        <f t="shared" si="0"/>
        <v>2029</v>
      </c>
      <c r="C15" s="161">
        <f t="shared" si="0"/>
        <v>8</v>
      </c>
      <c r="D15" s="290">
        <v>0</v>
      </c>
      <c r="E15" s="170">
        <v>0</v>
      </c>
      <c r="F15" s="291">
        <f t="shared" si="1"/>
        <v>0</v>
      </c>
      <c r="G15" s="291">
        <v>0</v>
      </c>
      <c r="H15" s="160">
        <v>0</v>
      </c>
    </row>
    <row r="16" spans="1:19" x14ac:dyDescent="0.25">
      <c r="B16" s="299">
        <f t="shared" si="0"/>
        <v>2030</v>
      </c>
      <c r="C16" s="161">
        <f t="shared" si="0"/>
        <v>9</v>
      </c>
      <c r="D16" s="290">
        <v>0</v>
      </c>
      <c r="E16" s="170">
        <v>0</v>
      </c>
      <c r="F16" s="291">
        <f t="shared" si="1"/>
        <v>0</v>
      </c>
      <c r="G16" s="291">
        <v>0</v>
      </c>
      <c r="H16" s="160">
        <v>0</v>
      </c>
    </row>
    <row r="17" spans="2:8" x14ac:dyDescent="0.25">
      <c r="B17" s="299">
        <f t="shared" si="0"/>
        <v>2031</v>
      </c>
      <c r="C17" s="161">
        <f t="shared" si="0"/>
        <v>10</v>
      </c>
      <c r="D17" s="290">
        <v>0</v>
      </c>
      <c r="E17" s="170">
        <v>0</v>
      </c>
      <c r="F17" s="291">
        <f t="shared" si="1"/>
        <v>0</v>
      </c>
      <c r="G17" s="291">
        <v>0</v>
      </c>
      <c r="H17" s="160">
        <v>0</v>
      </c>
    </row>
    <row r="18" spans="2:8" x14ac:dyDescent="0.25">
      <c r="B18" s="299">
        <f t="shared" si="0"/>
        <v>2032</v>
      </c>
      <c r="C18" s="161">
        <f t="shared" si="0"/>
        <v>11</v>
      </c>
      <c r="D18" s="290">
        <v>0</v>
      </c>
      <c r="E18" s="170">
        <v>0</v>
      </c>
      <c r="F18" s="291">
        <f t="shared" si="1"/>
        <v>0</v>
      </c>
      <c r="G18" s="291">
        <v>0</v>
      </c>
      <c r="H18" s="160">
        <v>0</v>
      </c>
    </row>
    <row r="19" spans="2:8" x14ac:dyDescent="0.25">
      <c r="B19" s="299">
        <f t="shared" si="0"/>
        <v>2033</v>
      </c>
      <c r="C19" s="161">
        <f t="shared" si="0"/>
        <v>12</v>
      </c>
      <c r="D19" s="290">
        <v>0</v>
      </c>
      <c r="E19" s="170">
        <v>0</v>
      </c>
      <c r="F19" s="291">
        <f t="shared" si="1"/>
        <v>0</v>
      </c>
      <c r="G19" s="291">
        <v>0</v>
      </c>
      <c r="H19" s="160">
        <v>0</v>
      </c>
    </row>
    <row r="20" spans="2:8" x14ac:dyDescent="0.25">
      <c r="B20" s="299">
        <f t="shared" si="0"/>
        <v>2034</v>
      </c>
      <c r="C20" s="161">
        <f t="shared" si="0"/>
        <v>13</v>
      </c>
      <c r="D20" s="290">
        <v>0</v>
      </c>
      <c r="E20" s="170">
        <v>0</v>
      </c>
      <c r="F20" s="291">
        <f t="shared" si="1"/>
        <v>0</v>
      </c>
      <c r="G20" s="291">
        <v>0</v>
      </c>
      <c r="H20" s="160">
        <v>0</v>
      </c>
    </row>
    <row r="21" spans="2:8" x14ac:dyDescent="0.25">
      <c r="B21" s="299">
        <f t="shared" si="0"/>
        <v>2035</v>
      </c>
      <c r="C21" s="161">
        <f t="shared" si="0"/>
        <v>14</v>
      </c>
      <c r="D21" s="290">
        <v>0</v>
      </c>
      <c r="E21" s="170">
        <v>0</v>
      </c>
      <c r="F21" s="291">
        <f t="shared" si="1"/>
        <v>0</v>
      </c>
      <c r="G21" s="291">
        <v>0</v>
      </c>
      <c r="H21" s="160">
        <v>0</v>
      </c>
    </row>
    <row r="22" spans="2:8" x14ac:dyDescent="0.25">
      <c r="B22" s="299">
        <f t="shared" si="0"/>
        <v>2036</v>
      </c>
      <c r="C22" s="161">
        <f t="shared" si="0"/>
        <v>15</v>
      </c>
      <c r="D22" s="290">
        <v>0</v>
      </c>
      <c r="E22" s="170">
        <v>0</v>
      </c>
      <c r="F22" s="291">
        <f t="shared" si="1"/>
        <v>0</v>
      </c>
      <c r="G22" s="291">
        <v>0</v>
      </c>
      <c r="H22" s="160">
        <v>0</v>
      </c>
    </row>
    <row r="23" spans="2:8" x14ac:dyDescent="0.25">
      <c r="B23" s="299">
        <f t="shared" si="0"/>
        <v>2037</v>
      </c>
      <c r="C23" s="161">
        <f t="shared" si="0"/>
        <v>16</v>
      </c>
      <c r="D23" s="290">
        <v>0</v>
      </c>
      <c r="E23" s="170">
        <v>0</v>
      </c>
      <c r="F23" s="291">
        <f t="shared" si="1"/>
        <v>0</v>
      </c>
      <c r="G23" s="291">
        <v>0</v>
      </c>
      <c r="H23" s="160">
        <v>0</v>
      </c>
    </row>
    <row r="24" spans="2:8" x14ac:dyDescent="0.25">
      <c r="B24" s="299">
        <f t="shared" si="0"/>
        <v>2038</v>
      </c>
      <c r="C24" s="161">
        <f t="shared" si="0"/>
        <v>17</v>
      </c>
      <c r="D24" s="290">
        <v>0</v>
      </c>
      <c r="E24" s="170">
        <v>0</v>
      </c>
      <c r="F24" s="291">
        <f t="shared" si="1"/>
        <v>0</v>
      </c>
      <c r="G24" s="291">
        <v>0</v>
      </c>
      <c r="H24" s="160">
        <v>0</v>
      </c>
    </row>
    <row r="25" spans="2:8" x14ac:dyDescent="0.25">
      <c r="B25" s="299">
        <f t="shared" ref="B25:C40" si="2">B24+1</f>
        <v>2039</v>
      </c>
      <c r="C25" s="161">
        <f t="shared" si="2"/>
        <v>18</v>
      </c>
      <c r="D25" s="290">
        <v>0</v>
      </c>
      <c r="E25" s="170">
        <v>0</v>
      </c>
      <c r="F25" s="291">
        <f t="shared" si="1"/>
        <v>0</v>
      </c>
      <c r="G25" s="291">
        <v>0</v>
      </c>
      <c r="H25" s="160">
        <v>0</v>
      </c>
    </row>
    <row r="26" spans="2:8" x14ac:dyDescent="0.25">
      <c r="B26" s="299">
        <f t="shared" si="2"/>
        <v>2040</v>
      </c>
      <c r="C26" s="161">
        <f t="shared" si="2"/>
        <v>19</v>
      </c>
      <c r="D26" s="290">
        <v>0</v>
      </c>
      <c r="E26" s="170">
        <v>0</v>
      </c>
      <c r="F26" s="291">
        <f t="shared" si="1"/>
        <v>0</v>
      </c>
      <c r="G26" s="291">
        <v>0</v>
      </c>
      <c r="H26" s="160">
        <v>0</v>
      </c>
    </row>
    <row r="27" spans="2:8" x14ac:dyDescent="0.25">
      <c r="B27" s="299">
        <f t="shared" si="2"/>
        <v>2041</v>
      </c>
      <c r="C27" s="161">
        <f t="shared" si="2"/>
        <v>20</v>
      </c>
      <c r="D27" s="290">
        <v>0</v>
      </c>
      <c r="E27" s="170">
        <v>0</v>
      </c>
      <c r="F27" s="291">
        <f t="shared" si="1"/>
        <v>0</v>
      </c>
      <c r="G27" s="291">
        <v>0</v>
      </c>
      <c r="H27" s="160">
        <v>0</v>
      </c>
    </row>
    <row r="28" spans="2:8" x14ac:dyDescent="0.25">
      <c r="B28" s="299">
        <f t="shared" si="2"/>
        <v>2042</v>
      </c>
      <c r="C28" s="161">
        <f t="shared" si="2"/>
        <v>21</v>
      </c>
      <c r="D28" s="290">
        <v>0</v>
      </c>
      <c r="E28" s="170">
        <v>0</v>
      </c>
      <c r="F28" s="291">
        <f t="shared" si="1"/>
        <v>0</v>
      </c>
      <c r="G28" s="291">
        <v>0</v>
      </c>
      <c r="H28" s="160">
        <v>0</v>
      </c>
    </row>
    <row r="29" spans="2:8" x14ac:dyDescent="0.25">
      <c r="B29" s="299">
        <f t="shared" si="2"/>
        <v>2043</v>
      </c>
      <c r="C29" s="161">
        <f t="shared" si="2"/>
        <v>22</v>
      </c>
      <c r="D29" s="290">
        <v>0</v>
      </c>
      <c r="E29" s="170">
        <v>0</v>
      </c>
      <c r="F29" s="291">
        <f t="shared" si="1"/>
        <v>0</v>
      </c>
      <c r="G29" s="291">
        <v>0</v>
      </c>
      <c r="H29" s="160">
        <v>0</v>
      </c>
    </row>
    <row r="30" spans="2:8" x14ac:dyDescent="0.25">
      <c r="B30" s="299">
        <f t="shared" si="2"/>
        <v>2044</v>
      </c>
      <c r="C30" s="161">
        <f t="shared" si="2"/>
        <v>23</v>
      </c>
      <c r="D30" s="290">
        <v>0</v>
      </c>
      <c r="E30" s="170">
        <v>0</v>
      </c>
      <c r="F30" s="291">
        <f t="shared" si="1"/>
        <v>0</v>
      </c>
      <c r="G30" s="291">
        <v>0</v>
      </c>
      <c r="H30" s="160">
        <v>0</v>
      </c>
    </row>
    <row r="31" spans="2:8" x14ac:dyDescent="0.25">
      <c r="B31" s="299">
        <f t="shared" si="2"/>
        <v>2045</v>
      </c>
      <c r="C31" s="161">
        <f t="shared" si="2"/>
        <v>24</v>
      </c>
      <c r="D31" s="290">
        <v>0</v>
      </c>
      <c r="E31" s="170">
        <v>0</v>
      </c>
      <c r="F31" s="291">
        <f t="shared" si="1"/>
        <v>0</v>
      </c>
      <c r="G31" s="291">
        <v>0</v>
      </c>
      <c r="H31" s="160">
        <v>0</v>
      </c>
    </row>
    <row r="32" spans="2:8" x14ac:dyDescent="0.25">
      <c r="B32" s="299">
        <f t="shared" si="2"/>
        <v>2046</v>
      </c>
      <c r="C32" s="161">
        <f t="shared" si="2"/>
        <v>25</v>
      </c>
      <c r="D32" s="290">
        <v>0</v>
      </c>
      <c r="E32" s="170">
        <v>0</v>
      </c>
      <c r="F32" s="291">
        <f t="shared" si="1"/>
        <v>0</v>
      </c>
      <c r="G32" s="291">
        <v>0</v>
      </c>
      <c r="H32" s="160">
        <v>0</v>
      </c>
    </row>
    <row r="33" spans="2:8" x14ac:dyDescent="0.25">
      <c r="B33" s="299">
        <f t="shared" si="2"/>
        <v>2047</v>
      </c>
      <c r="C33" s="161">
        <f t="shared" si="2"/>
        <v>26</v>
      </c>
      <c r="D33" s="290">
        <v>0</v>
      </c>
      <c r="E33" s="170">
        <v>0</v>
      </c>
      <c r="F33" s="291">
        <f t="shared" si="1"/>
        <v>0</v>
      </c>
      <c r="G33" s="291">
        <v>0</v>
      </c>
      <c r="H33" s="160">
        <v>0</v>
      </c>
    </row>
    <row r="34" spans="2:8" x14ac:dyDescent="0.25">
      <c r="B34" s="299">
        <f t="shared" si="2"/>
        <v>2048</v>
      </c>
      <c r="C34" s="161">
        <f t="shared" si="2"/>
        <v>27</v>
      </c>
      <c r="D34" s="290">
        <v>0</v>
      </c>
      <c r="E34" s="170">
        <v>0</v>
      </c>
      <c r="F34" s="291">
        <f t="shared" si="1"/>
        <v>0</v>
      </c>
      <c r="G34" s="291">
        <v>0</v>
      </c>
      <c r="H34" s="160">
        <v>0</v>
      </c>
    </row>
    <row r="35" spans="2:8" x14ac:dyDescent="0.25">
      <c r="B35" s="299">
        <f t="shared" si="2"/>
        <v>2049</v>
      </c>
      <c r="C35" s="161">
        <f t="shared" si="2"/>
        <v>28</v>
      </c>
      <c r="D35" s="290">
        <v>0</v>
      </c>
      <c r="E35" s="170">
        <v>0</v>
      </c>
      <c r="F35" s="291">
        <f t="shared" si="1"/>
        <v>0</v>
      </c>
      <c r="G35" s="291">
        <v>0</v>
      </c>
      <c r="H35" s="160">
        <v>0</v>
      </c>
    </row>
    <row r="36" spans="2:8" x14ac:dyDescent="0.25">
      <c r="B36" s="299">
        <f t="shared" si="2"/>
        <v>2050</v>
      </c>
      <c r="C36" s="161">
        <f t="shared" si="2"/>
        <v>29</v>
      </c>
      <c r="D36" s="290">
        <v>0</v>
      </c>
      <c r="E36" s="170">
        <v>0</v>
      </c>
      <c r="F36" s="291">
        <f t="shared" si="1"/>
        <v>0</v>
      </c>
      <c r="G36" s="291">
        <v>0</v>
      </c>
      <c r="H36" s="160">
        <v>0</v>
      </c>
    </row>
    <row r="37" spans="2:8" x14ac:dyDescent="0.25">
      <c r="B37" s="299">
        <f t="shared" si="2"/>
        <v>2051</v>
      </c>
      <c r="C37" s="161">
        <f t="shared" si="2"/>
        <v>30</v>
      </c>
      <c r="D37" s="290">
        <v>0</v>
      </c>
      <c r="E37" s="170">
        <v>0</v>
      </c>
      <c r="F37" s="291">
        <f t="shared" si="1"/>
        <v>0</v>
      </c>
      <c r="G37" s="291">
        <v>0</v>
      </c>
      <c r="H37" s="160">
        <v>0</v>
      </c>
    </row>
    <row r="38" spans="2:8" x14ac:dyDescent="0.25">
      <c r="B38" s="299">
        <f t="shared" si="2"/>
        <v>2052</v>
      </c>
      <c r="C38" s="161">
        <f t="shared" si="2"/>
        <v>31</v>
      </c>
      <c r="D38" s="290">
        <v>0</v>
      </c>
      <c r="E38" s="170">
        <v>0</v>
      </c>
      <c r="F38" s="291">
        <f t="shared" si="1"/>
        <v>0</v>
      </c>
      <c r="G38" s="291">
        <v>0</v>
      </c>
      <c r="H38" s="160">
        <v>0</v>
      </c>
    </row>
    <row r="39" spans="2:8" x14ac:dyDescent="0.25">
      <c r="B39" s="299">
        <f t="shared" si="2"/>
        <v>2053</v>
      </c>
      <c r="C39" s="161">
        <f t="shared" si="2"/>
        <v>32</v>
      </c>
      <c r="D39" s="290">
        <v>0</v>
      </c>
      <c r="E39" s="170">
        <v>0</v>
      </c>
      <c r="F39" s="291">
        <f t="shared" si="1"/>
        <v>0</v>
      </c>
      <c r="G39" s="291">
        <v>0</v>
      </c>
      <c r="H39" s="160">
        <v>0</v>
      </c>
    </row>
    <row r="40" spans="2:8" x14ac:dyDescent="0.25">
      <c r="B40" s="299">
        <f t="shared" si="2"/>
        <v>2054</v>
      </c>
      <c r="C40" s="161">
        <f t="shared" si="2"/>
        <v>33</v>
      </c>
      <c r="D40" s="290">
        <v>0</v>
      </c>
      <c r="E40" s="170">
        <v>0</v>
      </c>
      <c r="F40" s="291">
        <f t="shared" si="1"/>
        <v>0</v>
      </c>
      <c r="G40" s="291">
        <v>0</v>
      </c>
      <c r="H40" s="160">
        <v>0</v>
      </c>
    </row>
    <row r="41" spans="2:8" x14ac:dyDescent="0.25">
      <c r="B41" s="299">
        <f t="shared" ref="B41:C43" si="3">B40+1</f>
        <v>2055</v>
      </c>
      <c r="C41" s="161">
        <f t="shared" si="3"/>
        <v>34</v>
      </c>
      <c r="D41" s="290">
        <v>0</v>
      </c>
      <c r="E41" s="170">
        <v>0</v>
      </c>
      <c r="F41" s="291">
        <f t="shared" si="1"/>
        <v>0</v>
      </c>
      <c r="G41" s="291">
        <v>0</v>
      </c>
      <c r="H41" s="160">
        <v>0</v>
      </c>
    </row>
    <row r="42" spans="2:8" x14ac:dyDescent="0.25">
      <c r="B42" s="299">
        <f t="shared" si="3"/>
        <v>2056</v>
      </c>
      <c r="C42" s="161">
        <f t="shared" si="3"/>
        <v>35</v>
      </c>
      <c r="D42" s="290">
        <v>0</v>
      </c>
      <c r="E42" s="170">
        <v>0</v>
      </c>
      <c r="F42" s="291">
        <f t="shared" si="1"/>
        <v>0</v>
      </c>
      <c r="G42" s="291">
        <v>0</v>
      </c>
      <c r="H42" s="160">
        <v>0</v>
      </c>
    </row>
    <row r="43" spans="2:8" x14ac:dyDescent="0.25">
      <c r="B43" s="299">
        <f t="shared" si="3"/>
        <v>2057</v>
      </c>
      <c r="C43" s="161">
        <f t="shared" si="3"/>
        <v>36</v>
      </c>
      <c r="D43" s="290">
        <v>0</v>
      </c>
      <c r="E43" s="170">
        <v>0</v>
      </c>
      <c r="F43" s="291">
        <f t="shared" si="1"/>
        <v>0</v>
      </c>
      <c r="G43" s="291">
        <v>0</v>
      </c>
      <c r="H43" s="160">
        <v>0</v>
      </c>
    </row>
    <row r="44" spans="2:8" x14ac:dyDescent="0.25">
      <c r="B44" s="300" t="s">
        <v>45</v>
      </c>
      <c r="C44" s="292"/>
      <c r="D44" s="293"/>
      <c r="E44" s="292"/>
      <c r="F44" s="294">
        <f>SUM(F8:F43)</f>
        <v>70679399.025093287</v>
      </c>
      <c r="G44" s="294">
        <f>SUM(G8:G43)</f>
        <v>57072883.124664553</v>
      </c>
      <c r="H44" s="295">
        <f>SUM(H8:H43)</f>
        <v>43385788.380422778</v>
      </c>
    </row>
    <row r="46" spans="2:8" x14ac:dyDescent="0.25">
      <c r="B46" s="223" t="s">
        <v>182</v>
      </c>
      <c r="C46" s="135"/>
      <c r="D46" s="135"/>
      <c r="E46" s="135"/>
      <c r="F46" s="135"/>
      <c r="G46" s="135"/>
      <c r="H46" s="135"/>
    </row>
    <row r="47" spans="2:8" ht="43.5" customHeight="1" x14ac:dyDescent="0.25">
      <c r="B47" s="320" t="s">
        <v>188</v>
      </c>
      <c r="C47" s="320"/>
      <c r="D47" s="320"/>
      <c r="E47" s="320"/>
      <c r="F47" s="320"/>
      <c r="G47" s="320"/>
      <c r="H47" s="320"/>
    </row>
  </sheetData>
  <mergeCells count="3">
    <mergeCell ref="G1:I1"/>
    <mergeCell ref="J1:L1"/>
    <mergeCell ref="B47:H47"/>
  </mergeCells>
  <pageMargins left="0.7" right="0.7" top="0.75" bottom="0.75" header="0.3" footer="0.3"/>
  <pageSetup scale="67" orientation="landscape" r:id="rId1"/>
  <headerFooter>
    <oddHeader>&amp;L&amp;"Arial,Bold"MR-MICCI Benefit-Cost Analysis&amp;R&amp;"Arial,Bold"&amp;A</oddHeader>
    <oddFooter>&amp;CPage H-&amp;P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781a52b0-d0f4-44f0-98bb-0d102f5fd161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5591A810F98448BB2EA036439305B6" ma:contentTypeVersion="15" ma:contentTypeDescription="Create a new document." ma:contentTypeScope="" ma:versionID="99381e57c8b7952d41d439f600d0e758">
  <xsd:schema xmlns:xsd="http://www.w3.org/2001/XMLSchema" xmlns:xs="http://www.w3.org/2001/XMLSchema" xmlns:p="http://schemas.microsoft.com/office/2006/metadata/properties" xmlns:ns3="c18e8617-fc0f-4dda-a87a-c0ec120ddf92" xmlns:ns4="631a1d73-1939-4284-963c-2d4b3009d29a" xmlns:ns5="908dfbc0-0130-40b0-b593-8a78fece8ef4" targetNamespace="http://schemas.microsoft.com/office/2006/metadata/properties" ma:root="true" ma:fieldsID="d536c2a3a53caaf6566bd4567f900c62" ns3:_="" ns4:_="" ns5:_="">
    <xsd:import namespace="c18e8617-fc0f-4dda-a87a-c0ec120ddf92"/>
    <xsd:import namespace="631a1d73-1939-4284-963c-2d4b3009d29a"/>
    <xsd:import namespace="908dfbc0-0130-40b0-b593-8a78fece8ef4"/>
    <xsd:element name="properties">
      <xsd:complexType>
        <xsd:sequence>
          <xsd:element name="documentManagement">
            <xsd:complexType>
              <xsd:all>
                <xsd:element ref="ns3:_dlc_DocId" minOccurs="0"/>
                <xsd:element ref="ns3:_dlc_DocIdUrl" minOccurs="0"/>
                <xsd:element ref="ns3:_dlc_DocIdPersistId" minOccurs="0"/>
                <xsd:element ref="ns4:SharedWithUsers" minOccurs="0"/>
                <xsd:element ref="ns4:SharedWithDetails" minOccurs="0"/>
                <xsd:element ref="ns4:SharingHintHash" minOccurs="0"/>
                <xsd:element ref="ns5:MediaServiceMetadata" minOccurs="0"/>
                <xsd:element ref="ns5:MediaServiceFastMetadata" minOccurs="0"/>
                <xsd:element ref="ns5:MediaServiceAutoKeyPoints" minOccurs="0"/>
                <xsd:element ref="ns5:MediaServiceKeyPoints" minOccurs="0"/>
                <xsd:element ref="ns5:MediaServiceAutoTags" minOccurs="0"/>
                <xsd:element ref="ns5:MediaServiceGenerationTime" minOccurs="0"/>
                <xsd:element ref="ns5:MediaServiceEventHashCode" minOccurs="0"/>
                <xsd:element ref="ns5:MediaServiceDateTaken" minOccurs="0"/>
                <xsd:element ref="ns5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8e8617-fc0f-4dda-a87a-c0ec120ddf9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1a1d73-1939-4284-963c-2d4b3009d29a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8dfbc0-0130-40b0-b593-8a78fece8e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B47705C-319F-4A35-B533-C7D7709FC0F1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E2AA03A5-88D7-487B-86AA-2DD8219007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403906-17AB-4EAD-BF73-B09BF471280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314F1D0B-3E44-45A1-B90B-A409D4817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8e8617-fc0f-4dda-a87a-c0ec120ddf92"/>
    <ds:schemaRef ds:uri="631a1d73-1939-4284-963c-2d4b3009d29a"/>
    <ds:schemaRef ds:uri="908dfbc0-0130-40b0-b593-8a78fece8e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FACA2BDA-6228-4910-BB02-D2ED1EB90948}">
  <ds:schemaRefs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c18e8617-fc0f-4dda-a87a-c0ec120ddf92"/>
    <ds:schemaRef ds:uri="908dfbc0-0130-40b0-b593-8a78fece8ef4"/>
    <ds:schemaRef ds:uri="631a1d73-1939-4284-963c-2d4b3009d29a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11</vt:i4>
      </vt:variant>
    </vt:vector>
  </HeadingPairs>
  <TitlesOfParts>
    <vt:vector size="19" baseType="lpstr">
      <vt:lpstr>A - Inputs</vt:lpstr>
      <vt:lpstr>B - Output Table</vt:lpstr>
      <vt:lpstr>C - Summary</vt:lpstr>
      <vt:lpstr>D - Cost Estimate</vt:lpstr>
      <vt:lpstr>E - Construction &amp; Residual</vt:lpstr>
      <vt:lpstr>F - Maintenance Costs</vt:lpstr>
      <vt:lpstr>G - Safety</vt:lpstr>
      <vt:lpstr>H - Economic Output</vt:lpstr>
      <vt:lpstr>BenefitStart</vt:lpstr>
      <vt:lpstr>'A - Inputs'!Print_Area</vt:lpstr>
      <vt:lpstr>'D - Cost Estimate'!Print_Area</vt:lpstr>
      <vt:lpstr>'E - Construction &amp; Residual'!Print_Area</vt:lpstr>
      <vt:lpstr>'F - Maintenance Costs'!Print_Area</vt:lpstr>
      <vt:lpstr>'G - Safety'!Print_Area</vt:lpstr>
      <vt:lpstr>'H - Economic Output'!Print_Area</vt:lpstr>
      <vt:lpstr>'G - Safety'!Print_Titles</vt:lpstr>
      <vt:lpstr>ProjStartYr</vt:lpstr>
      <vt:lpstr>ProjUseStart</vt:lpstr>
      <vt:lpstr>YearDays</vt:lpstr>
    </vt:vector>
  </TitlesOfParts>
  <Manager/>
  <Company>Northwest Design Group,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Winfield</dc:creator>
  <cp:keywords/>
  <dc:description/>
  <cp:lastModifiedBy>Joe Crozier</cp:lastModifiedBy>
  <cp:revision/>
  <cp:lastPrinted>2021-02-25T15:56:41Z</cp:lastPrinted>
  <dcterms:created xsi:type="dcterms:W3CDTF">2011-10-10T20:23:01Z</dcterms:created>
  <dcterms:modified xsi:type="dcterms:W3CDTF">2021-03-01T20:25:45Z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0x010100335591A810F98448BB2EA036439305B6</vt:lpwstr>
  </property>
</Properties>
</file>