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600" activeTab="2"/>
  </bookViews>
  <sheets>
    <sheet name="Input" sheetId="1" r:id="rId1"/>
    <sheet name="Calculations" sheetId="2" r:id="rId2"/>
    <sheet name="Output" sheetId="3" r:id="rId3"/>
  </sheets>
  <definedNames>
    <definedName name="Alternatives">'Input'!$C$16</definedName>
    <definedName name="Analyst_Exp">'Input'!$C$23</definedName>
    <definedName name="BM_Avail">'Input'!$C$13</definedName>
    <definedName name="BM_Calib">'Input'!$C$14</definedName>
    <definedName name="Complex_Meth">'Input'!$C$21</definedName>
    <definedName name="Complex_Output">'Input'!$C$22</definedName>
    <definedName name="Complex_Scen">'Input'!$C$20</definedName>
    <definedName name="Data_Collect">'Input'!$C$19</definedName>
    <definedName name="Intersections">'Input'!$C$11</definedName>
    <definedName name="Op_Cond">'Input'!$C$17</definedName>
    <definedName name="Peak_Periods">'Input'!$C$18</definedName>
    <definedName name="_xlnm.Print_Area" localSheetId="2">'Output'!$A$1:$H$17</definedName>
    <definedName name="Ramps">'Input'!$C$12</definedName>
    <definedName name="Study_Area">'Input'!$C$10</definedName>
    <definedName name="Time_Horizons">'Input'!$C$15</definedName>
  </definedNames>
  <calcPr fullCalcOnLoad="1"/>
</workbook>
</file>

<file path=xl/sharedStrings.xml><?xml version="1.0" encoding="utf-8"?>
<sst xmlns="http://schemas.openxmlformats.org/spreadsheetml/2006/main" count="438" uniqueCount="140">
  <si>
    <t>Project Task</t>
  </si>
  <si>
    <t>Manager</t>
  </si>
  <si>
    <t>Technician</t>
  </si>
  <si>
    <t>Total Labor Hours</t>
  </si>
  <si>
    <t>Reports and presentations</t>
  </si>
  <si>
    <t>Analyze alternatives</t>
  </si>
  <si>
    <t>Develop future baseline model(s)</t>
  </si>
  <si>
    <t>Develop and calibrate baseline model(s)</t>
  </si>
  <si>
    <t>Select analysis tool</t>
  </si>
  <si>
    <t>Planner</t>
  </si>
  <si>
    <t>Engineer/</t>
  </si>
  <si>
    <t>Hours</t>
  </si>
  <si>
    <t>Total</t>
  </si>
  <si>
    <t>Summary of User Inputs:</t>
  </si>
  <si>
    <t>Name of Study Area:</t>
  </si>
  <si>
    <t>% of total</t>
  </si>
  <si>
    <t>Number of labor hours per average intersection:</t>
  </si>
  <si>
    <t>Number of labor hours per average freeway ramp:</t>
  </si>
  <si>
    <t>Percent</t>
  </si>
  <si>
    <t>Total number of labor hours for Intersections:</t>
  </si>
  <si>
    <t>Total number of labor hours for Freeway Ramps:</t>
  </si>
  <si>
    <t>Adjustment for complexity of alternatives:</t>
  </si>
  <si>
    <t>Analyze alternatives (additional)</t>
  </si>
  <si>
    <t>Analyze alternatives (total)</t>
  </si>
  <si>
    <t xml:space="preserve"> OUTPUT REPORT</t>
  </si>
  <si>
    <t>Base Model Availability:</t>
  </si>
  <si>
    <t>Analyst Experience:</t>
  </si>
  <si>
    <t>Complexity of Outputs:</t>
  </si>
  <si>
    <t>Some</t>
  </si>
  <si>
    <t>Partially</t>
  </si>
  <si>
    <t>No</t>
  </si>
  <si>
    <t>Medium</t>
  </si>
  <si>
    <t>Complex</t>
  </si>
  <si>
    <t>Comprehensive</t>
  </si>
  <si>
    <t>Considerable</t>
  </si>
  <si>
    <t>Simple</t>
  </si>
  <si>
    <t>Low</t>
  </si>
  <si>
    <t>Blue cells indicate numeric values that can be modified by the user.</t>
  </si>
  <si>
    <t>Baseline model availability factor</t>
  </si>
  <si>
    <t>High</t>
  </si>
  <si>
    <t>Complexity factor for different methodologies:</t>
  </si>
  <si>
    <t>Complexity factor for different types of outputs</t>
  </si>
  <si>
    <t>Complexity factor for different profesional experience profiles</t>
  </si>
  <si>
    <t>Adjustment for Baseline model availability:</t>
  </si>
  <si>
    <t>Develop and calibrate baseline model(s) (additional)</t>
  </si>
  <si>
    <t>Develop and calibrate baseline model(s) (total)</t>
  </si>
  <si>
    <t>YesYes</t>
  </si>
  <si>
    <t>YesNo</t>
  </si>
  <si>
    <t>Select analysis tool (additional)</t>
  </si>
  <si>
    <t>Develop future baseline model(s) (additional)</t>
  </si>
  <si>
    <t>Reports and presentations (additional)</t>
  </si>
  <si>
    <t>Select analysis tool (total)</t>
  </si>
  <si>
    <t>Develop future baseline model(s) (total)</t>
  </si>
  <si>
    <t>Reports and presentations (total)</t>
  </si>
  <si>
    <t>Adjustment for complexity of methodologies</t>
  </si>
  <si>
    <t>Adjustment for complexity of different types of outputs</t>
  </si>
  <si>
    <t>Project specific total number of labor hours</t>
  </si>
  <si>
    <t>If a baseline model is available and calibrated</t>
  </si>
  <si>
    <t>Adjustment for number of operational conditions</t>
  </si>
  <si>
    <t xml:space="preserve"> ASSUMPTIONS</t>
  </si>
  <si>
    <t>INPUT DATA</t>
  </si>
  <si>
    <t>CALCULATIONS</t>
  </si>
  <si>
    <t>Range</t>
  </si>
  <si>
    <t>Project specific rounded number of labor hours</t>
  </si>
  <si>
    <t>Complexity of Methodology:</t>
  </si>
  <si>
    <t>Deterministic</t>
  </si>
  <si>
    <t>Stochastic/Dynamic</t>
  </si>
  <si>
    <t>Lower</t>
  </si>
  <si>
    <t>Bound</t>
  </si>
  <si>
    <t>Upper</t>
  </si>
  <si>
    <t>To determine lower/upper bounds of project activities</t>
  </si>
  <si>
    <t>Adjustment for number of peak periods</t>
  </si>
  <si>
    <t>Adjustment for professional experience</t>
  </si>
  <si>
    <t>Economies of scale effect due to multiple model runs</t>
  </si>
  <si>
    <t>Economies of scale effect</t>
  </si>
  <si>
    <t>More</t>
  </si>
  <si>
    <t>Adjustment for number of future scenarios and alternatives</t>
  </si>
  <si>
    <t>Number of Intersections:</t>
  </si>
  <si>
    <t>Number of Freeway Ramps:</t>
  </si>
  <si>
    <t>Number of Alternatives:</t>
  </si>
  <si>
    <t>Number of Peak Periods</t>
  </si>
  <si>
    <t>Is the Base Model Calibrated:</t>
  </si>
  <si>
    <t>Complexity of Analysis Scenarios:</t>
  </si>
  <si>
    <t>Develop workplan, analysis plan, and project management</t>
  </si>
  <si>
    <t>Develop workplan, analysis plan, and project management (additional)</t>
  </si>
  <si>
    <t>Develop workplan, analysis plan, and project management (total)</t>
  </si>
  <si>
    <t>for Task 4</t>
  </si>
  <si>
    <t>for all Tasks</t>
  </si>
  <si>
    <t>Complexity factor for different scenarios/alternatives:</t>
  </si>
  <si>
    <t>Determine the range for the results on the final output table</t>
  </si>
  <si>
    <t>Estimate of Labor Hours Required to Complete the Analysis of:</t>
  </si>
  <si>
    <t>Calibration</t>
  </si>
  <si>
    <t># of Peak Periods</t>
  </si>
  <si>
    <t>Multiplication factor</t>
  </si>
  <si>
    <t>Future Scenarios</t>
  </si>
  <si>
    <t>Alternatives Analysis</t>
  </si>
  <si>
    <t>Note: This Transportation Analysis Costing Tool is provided "as is" without warranty of any kind, and without any documentation, user's guide, or maintenance agreement</t>
  </si>
  <si>
    <t>Transportation Analysis Project Costing Tool</t>
  </si>
  <si>
    <t># of Peak Periods x # of Analysis Horizons</t>
  </si>
  <si>
    <t># of Alternatives x # of Peak Periods x # of Analysis Horizons</t>
  </si>
  <si>
    <t># of Alternatives x # of Peak Periods x # of Analysis Horizons x # of Operational Conditions</t>
  </si>
  <si>
    <t># of Operational Conditions x # of Peak Periods</t>
  </si>
  <si>
    <t>Tresholds to determine economies of scale</t>
  </si>
  <si>
    <t>Model Adjustment Factor, y2</t>
  </si>
  <si>
    <t>Operational Condition Adjustment Factor, y2</t>
  </si>
  <si>
    <t>Model Adjustment Factor, y1</t>
  </si>
  <si>
    <t>Operational Condition Adjustment Factor, y1</t>
  </si>
  <si>
    <t>x1,2</t>
  </si>
  <si>
    <t>Model Adjustment Factor, Linear Interpolation</t>
  </si>
  <si>
    <t>Operational Condition Adjustment Factor, Linear Interpolation</t>
  </si>
  <si>
    <t>Number of Analysis Horizons:</t>
  </si>
  <si>
    <t>Total number of labor hours (Intersections + Ramps):</t>
  </si>
  <si>
    <t>Number of Representative Days:</t>
  </si>
  <si>
    <t>for Task 5</t>
  </si>
  <si>
    <t>for Task 7</t>
  </si>
  <si>
    <t>for Tasks 5, 6, 7</t>
  </si>
  <si>
    <t>Define clusters and representative days</t>
  </si>
  <si>
    <t>Task 5 - Base Model Calibration</t>
  </si>
  <si>
    <t>Task 5 - Operational Condition Model Calibration</t>
  </si>
  <si>
    <t>Task 6 - Develop Future Scenarios</t>
  </si>
  <si>
    <t>Task 7 - Base Model Analysis</t>
  </si>
  <si>
    <t>Task 7 - Operational Condition Analysis</t>
  </si>
  <si>
    <t>Economies of Scale Multiplication factor for Task 5</t>
  </si>
  <si>
    <t>Economies of Scale Multiplication factor for Task 6</t>
  </si>
  <si>
    <t>Economies of Scale Multiplication factor for Task 7</t>
  </si>
  <si>
    <t>To determine upper bound of Task 5 (Calibration)</t>
  </si>
  <si>
    <t>Define clusters and representative days (additional)</t>
  </si>
  <si>
    <t>Define clusters and representative days (total)</t>
  </si>
  <si>
    <t>Adjustmentof data clustering for number of representative days:</t>
  </si>
  <si>
    <t>Economies of Scale Multiplication factor for Task 3</t>
  </si>
  <si>
    <t>Develop data plan and process data</t>
  </si>
  <si>
    <t>Develop data plan and process data (additional)</t>
  </si>
  <si>
    <t>Develop data plan and process data (total)</t>
  </si>
  <si>
    <t>Data Processing</t>
  </si>
  <si>
    <t>Data Processing Requirements:</t>
  </si>
  <si>
    <t>Complexity factor for different data processing requirements:</t>
  </si>
  <si>
    <t>Task 3 - Extra data processing efforts due to Operational Conditions</t>
  </si>
  <si>
    <t>Depending on the effort level for data processing</t>
  </si>
  <si>
    <t>Adjustment for different data processing types:</t>
  </si>
  <si>
    <t>I-4 Test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</si>
</sst>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00%"/>
    <numFmt numFmtId="170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  <xf numFmtId="0" fontId="0" fillId="0" borderId="0" xfId="0" applyFill="1" applyAlignment="1">
      <alignment horizontal="center"/>
    </xf>
    <xf numFmtId="167" fontId="0" fillId="0" borderId="10" xfId="42" applyNumberFormat="1" applyFont="1" applyFill="1" applyBorder="1" applyAlignment="1">
      <alignment/>
    </xf>
    <xf numFmtId="167" fontId="1" fillId="0" borderId="10" xfId="42" applyNumberFormat="1" applyFont="1" applyFill="1" applyBorder="1" applyAlignment="1">
      <alignment/>
    </xf>
    <xf numFmtId="9" fontId="1" fillId="0" borderId="10" xfId="57" applyFont="1" applyBorder="1" applyAlignment="1">
      <alignment/>
    </xf>
    <xf numFmtId="167" fontId="0" fillId="0" borderId="10" xfId="42" applyNumberFormat="1" applyFont="1" applyBorder="1" applyAlignment="1">
      <alignment/>
    </xf>
    <xf numFmtId="167" fontId="1" fillId="0" borderId="10" xfId="42" applyNumberFormat="1" applyFont="1" applyBorder="1" applyAlignment="1">
      <alignment/>
    </xf>
    <xf numFmtId="9" fontId="0" fillId="0" borderId="0" xfId="57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0" xfId="0" applyFont="1" applyFill="1" applyBorder="1" applyAlignment="1">
      <alignment/>
    </xf>
    <xf numFmtId="9" fontId="1" fillId="2" borderId="10" xfId="57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6" fontId="0" fillId="33" borderId="10" xfId="42" applyNumberFormat="1" applyFont="1" applyFill="1" applyBorder="1" applyAlignment="1">
      <alignment/>
    </xf>
    <xf numFmtId="167" fontId="1" fillId="33" borderId="10" xfId="42" applyNumberFormat="1" applyFont="1" applyFill="1" applyBorder="1" applyAlignment="1">
      <alignment/>
    </xf>
    <xf numFmtId="167" fontId="0" fillId="33" borderId="1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67" fontId="1" fillId="34" borderId="10" xfId="42" applyNumberFormat="1" applyFont="1" applyFill="1" applyBorder="1" applyAlignment="1">
      <alignment/>
    </xf>
    <xf numFmtId="0" fontId="42" fillId="0" borderId="0" xfId="0" applyFont="1" applyAlignment="1">
      <alignment/>
    </xf>
    <xf numFmtId="0" fontId="0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9" fontId="1" fillId="2" borderId="11" xfId="57" applyFont="1" applyFill="1" applyBorder="1" applyAlignment="1">
      <alignment/>
    </xf>
    <xf numFmtId="9" fontId="1" fillId="2" borderId="14" xfId="57" applyFont="1" applyFill="1" applyBorder="1" applyAlignment="1">
      <alignment/>
    </xf>
    <xf numFmtId="9" fontId="1" fillId="2" borderId="13" xfId="57" applyFont="1" applyFill="1" applyBorder="1" applyAlignment="1">
      <alignment/>
    </xf>
    <xf numFmtId="9" fontId="1" fillId="2" borderId="15" xfId="57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33" borderId="11" xfId="57" applyFont="1" applyFill="1" applyBorder="1" applyAlignment="1">
      <alignment/>
    </xf>
    <xf numFmtId="9" fontId="0" fillId="33" borderId="12" xfId="57" applyFont="1" applyFill="1" applyBorder="1" applyAlignment="1">
      <alignment/>
    </xf>
    <xf numFmtId="9" fontId="0" fillId="33" borderId="14" xfId="57" applyFont="1" applyFill="1" applyBorder="1" applyAlignment="1">
      <alignment/>
    </xf>
    <xf numFmtId="9" fontId="0" fillId="33" borderId="23" xfId="57" applyFont="1" applyFill="1" applyBorder="1" applyAlignment="1">
      <alignment/>
    </xf>
    <xf numFmtId="9" fontId="0" fillId="0" borderId="19" xfId="57" applyFont="1" applyBorder="1" applyAlignment="1">
      <alignment/>
    </xf>
    <xf numFmtId="9" fontId="0" fillId="0" borderId="20" xfId="57" applyFont="1" applyBorder="1" applyAlignment="1">
      <alignment/>
    </xf>
    <xf numFmtId="9" fontId="0" fillId="0" borderId="24" xfId="57" applyFont="1" applyBorder="1" applyAlignment="1">
      <alignment/>
    </xf>
    <xf numFmtId="9" fontId="0" fillId="0" borderId="25" xfId="57" applyFont="1" applyBorder="1" applyAlignment="1">
      <alignment/>
    </xf>
    <xf numFmtId="0" fontId="0" fillId="0" borderId="17" xfId="0" applyFont="1" applyBorder="1" applyAlignment="1">
      <alignment/>
    </xf>
    <xf numFmtId="9" fontId="0" fillId="33" borderId="26" xfId="57" applyFont="1" applyFill="1" applyBorder="1" applyAlignment="1">
      <alignment/>
    </xf>
    <xf numFmtId="9" fontId="0" fillId="33" borderId="27" xfId="57" applyFont="1" applyFill="1" applyBorder="1" applyAlignment="1">
      <alignment/>
    </xf>
    <xf numFmtId="9" fontId="0" fillId="0" borderId="17" xfId="57" applyFont="1" applyBorder="1" applyAlignment="1">
      <alignment/>
    </xf>
    <xf numFmtId="9" fontId="0" fillId="0" borderId="18" xfId="57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9" fontId="1" fillId="2" borderId="12" xfId="57" applyFont="1" applyFill="1" applyBorder="1" applyAlignment="1">
      <alignment/>
    </xf>
    <xf numFmtId="9" fontId="1" fillId="2" borderId="23" xfId="57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9" fontId="1" fillId="2" borderId="30" xfId="57" applyFont="1" applyFill="1" applyBorder="1" applyAlignment="1">
      <alignment/>
    </xf>
    <xf numFmtId="9" fontId="1" fillId="2" borderId="31" xfId="57" applyFont="1" applyFill="1" applyBorder="1" applyAlignment="1">
      <alignment/>
    </xf>
    <xf numFmtId="9" fontId="1" fillId="2" borderId="29" xfId="57" applyFont="1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3" fontId="1" fillId="0" borderId="34" xfId="42" applyNumberFormat="1" applyFont="1" applyFill="1" applyBorder="1" applyAlignment="1">
      <alignment/>
    </xf>
    <xf numFmtId="43" fontId="1" fillId="0" borderId="35" xfId="42" applyNumberFormat="1" applyFont="1" applyFill="1" applyBorder="1" applyAlignment="1">
      <alignment/>
    </xf>
    <xf numFmtId="43" fontId="1" fillId="0" borderId="36" xfId="42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CC"/>
      <rgbColor rgb="00DDE278"/>
      <rgbColor rgb="0030A230"/>
      <rgbColor rgb="001634CA"/>
      <rgbColor rgb="00B29620"/>
      <rgbColor rgb="00C20000"/>
      <rgbColor rgb="00CCCCCC"/>
      <rgbColor rgb="00B12779"/>
      <rgbColor rgb="00022E5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85725</xdr:rowOff>
    </xdr:from>
    <xdr:to>
      <xdr:col>2</xdr:col>
      <xdr:colOff>381000</xdr:colOff>
      <xdr:row>5</xdr:row>
      <xdr:rowOff>85725</xdr:rowOff>
    </xdr:to>
    <xdr:pic>
      <xdr:nvPicPr>
        <xdr:cNvPr id="1" name="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38150"/>
          <a:ext cx="2676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6"/>
  <sheetViews>
    <sheetView zoomScale="140" zoomScaleNormal="140" zoomScalePageLayoutView="0" workbookViewId="0" topLeftCell="A4">
      <selection activeCell="C13" sqref="C13"/>
    </sheetView>
  </sheetViews>
  <sheetFormatPr defaultColWidth="9.140625" defaultRowHeight="12.75"/>
  <cols>
    <col min="2" max="2" width="37.140625" style="0" bestFit="1" customWidth="1"/>
    <col min="3" max="3" width="18.00390625" style="0" bestFit="1" customWidth="1"/>
    <col min="4" max="4" width="11.421875" style="0" customWidth="1"/>
  </cols>
  <sheetData>
    <row r="1" spans="2:5" ht="15">
      <c r="B1" s="19" t="s">
        <v>97</v>
      </c>
      <c r="E1" s="34"/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8" ht="12.75">
      <c r="B8" s="5" t="s">
        <v>13</v>
      </c>
    </row>
    <row r="10" spans="1:4" ht="12.75">
      <c r="A10">
        <v>1</v>
      </c>
      <c r="B10" t="s">
        <v>14</v>
      </c>
      <c r="C10" s="35" t="s">
        <v>139</v>
      </c>
      <c r="D10" s="3"/>
    </row>
    <row r="11" spans="1:4" ht="12.75">
      <c r="A11">
        <v>2</v>
      </c>
      <c r="B11" t="s">
        <v>77</v>
      </c>
      <c r="C11" s="35">
        <v>6</v>
      </c>
      <c r="D11" s="16"/>
    </row>
    <row r="12" spans="1:4" ht="12.75">
      <c r="A12">
        <v>3</v>
      </c>
      <c r="B12" t="s">
        <v>78</v>
      </c>
      <c r="C12" s="35">
        <v>10</v>
      </c>
      <c r="D12" s="16"/>
    </row>
    <row r="13" spans="1:4" ht="12.75">
      <c r="A13">
        <v>4</v>
      </c>
      <c r="B13" t="s">
        <v>25</v>
      </c>
      <c r="C13" s="35" t="s">
        <v>30</v>
      </c>
      <c r="D13" s="16"/>
    </row>
    <row r="14" spans="1:4" ht="12.75">
      <c r="A14">
        <v>5</v>
      </c>
      <c r="B14" t="s">
        <v>81</v>
      </c>
      <c r="C14" s="35" t="s">
        <v>30</v>
      </c>
      <c r="D14" s="16"/>
    </row>
    <row r="15" spans="1:4" ht="12.75">
      <c r="A15">
        <v>6</v>
      </c>
      <c r="B15" s="18" t="s">
        <v>110</v>
      </c>
      <c r="C15" s="35">
        <v>3</v>
      </c>
      <c r="D15" s="16"/>
    </row>
    <row r="16" spans="1:3" ht="12.75">
      <c r="A16">
        <v>7</v>
      </c>
      <c r="B16" t="s">
        <v>79</v>
      </c>
      <c r="C16" s="35">
        <v>2</v>
      </c>
    </row>
    <row r="17" spans="1:4" ht="12.75">
      <c r="A17">
        <v>8</v>
      </c>
      <c r="B17" t="s">
        <v>112</v>
      </c>
      <c r="C17" s="35">
        <v>1</v>
      </c>
      <c r="D17" s="3"/>
    </row>
    <row r="18" spans="1:4" ht="12.75">
      <c r="A18">
        <v>9</v>
      </c>
      <c r="B18" t="s">
        <v>80</v>
      </c>
      <c r="C18" s="35">
        <v>2</v>
      </c>
      <c r="D18" s="3"/>
    </row>
    <row r="19" spans="1:3" ht="12.75">
      <c r="A19">
        <v>10</v>
      </c>
      <c r="B19" t="s">
        <v>134</v>
      </c>
      <c r="C19" s="35" t="s">
        <v>36</v>
      </c>
    </row>
    <row r="20" spans="1:3" ht="12.75">
      <c r="A20">
        <v>11</v>
      </c>
      <c r="B20" t="s">
        <v>82</v>
      </c>
      <c r="C20" s="35" t="s">
        <v>32</v>
      </c>
    </row>
    <row r="21" spans="1:3" ht="12.75">
      <c r="A21">
        <v>12</v>
      </c>
      <c r="B21" t="s">
        <v>64</v>
      </c>
      <c r="C21" s="35" t="s">
        <v>66</v>
      </c>
    </row>
    <row r="22" spans="1:3" ht="12.75">
      <c r="A22">
        <v>13</v>
      </c>
      <c r="B22" t="s">
        <v>27</v>
      </c>
      <c r="C22" s="35" t="s">
        <v>35</v>
      </c>
    </row>
    <row r="23" spans="1:3" ht="12.75">
      <c r="A23">
        <v>14</v>
      </c>
      <c r="B23" t="s">
        <v>26</v>
      </c>
      <c r="C23" s="35" t="s">
        <v>34</v>
      </c>
    </row>
    <row r="26" spans="1:2" ht="12.75">
      <c r="A26" s="18"/>
      <c r="B26" s="18" t="s">
        <v>96</v>
      </c>
    </row>
  </sheetData>
  <sheetProtection/>
  <protectedRanges>
    <protectedRange sqref="C10:C23" name="Range1"/>
  </protectedRanges>
  <printOptions/>
  <pageMargins left="0.75" right="0.75" top="1" bottom="1" header="0.5" footer="0.5"/>
  <pageSetup horizontalDpi="300" verticalDpi="300" orientation="portrait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67"/>
  <sheetViews>
    <sheetView zoomScalePageLayoutView="0" workbookViewId="0" topLeftCell="A43">
      <selection activeCell="C59" sqref="C59"/>
    </sheetView>
  </sheetViews>
  <sheetFormatPr defaultColWidth="9.140625" defaultRowHeight="12.75"/>
  <cols>
    <col min="1" max="1" width="5.8515625" style="0" customWidth="1"/>
    <col min="2" max="2" width="58.28125" style="0" bestFit="1" customWidth="1"/>
    <col min="3" max="14" width="11.7109375" style="0" customWidth="1"/>
    <col min="15" max="20" width="11.7109375" style="0" hidden="1" customWidth="1"/>
  </cols>
  <sheetData>
    <row r="1" spans="1:5" ht="15">
      <c r="A1" s="19"/>
      <c r="B1" s="19" t="str">
        <f>Input!B1</f>
        <v>Transportation Analysis Project Costing Tool</v>
      </c>
      <c r="E1" s="34"/>
    </row>
    <row r="2" ht="17.25">
      <c r="A2" s="28" t="s">
        <v>60</v>
      </c>
    </row>
    <row r="3" ht="12.75">
      <c r="A3" s="2"/>
    </row>
    <row r="4" spans="2:3" ht="12.75">
      <c r="B4" t="s">
        <v>37</v>
      </c>
      <c r="C4" s="20"/>
    </row>
    <row r="5" s="3" customFormat="1" ht="12.75">
      <c r="A5" s="15"/>
    </row>
    <row r="6" spans="1:4" s="3" customFormat="1" ht="12.75">
      <c r="A6" s="5" t="s">
        <v>13</v>
      </c>
      <c r="B6"/>
      <c r="C6"/>
      <c r="D6"/>
    </row>
    <row r="7" spans="1:4" s="3" customFormat="1" ht="12.75">
      <c r="A7"/>
      <c r="B7"/>
      <c r="C7"/>
      <c r="D7"/>
    </row>
    <row r="8" spans="2:4" s="3" customFormat="1" ht="12.75">
      <c r="B8" t="str">
        <f>Input!B10</f>
        <v>Name of Study Area:</v>
      </c>
      <c r="C8" t="str">
        <f>Study_Area</f>
        <v>I-4 Test</v>
      </c>
      <c r="D8"/>
    </row>
    <row r="9" spans="2:4" s="3" customFormat="1" ht="12.75">
      <c r="B9" t="str">
        <f>Input!B11</f>
        <v>Number of Intersections:</v>
      </c>
      <c r="C9">
        <f>Intersections</f>
        <v>6</v>
      </c>
      <c r="D9"/>
    </row>
    <row r="10" spans="2:4" s="3" customFormat="1" ht="12.75">
      <c r="B10" t="str">
        <f>Input!B12</f>
        <v>Number of Freeway Ramps:</v>
      </c>
      <c r="C10">
        <f>Ramps</f>
        <v>10</v>
      </c>
      <c r="D10"/>
    </row>
    <row r="11" spans="2:4" s="3" customFormat="1" ht="12.75">
      <c r="B11" t="str">
        <f>Input!B13</f>
        <v>Base Model Availability:</v>
      </c>
      <c r="C11" t="str">
        <f>BM_Avail</f>
        <v>No</v>
      </c>
      <c r="D11"/>
    </row>
    <row r="12" spans="2:4" s="3" customFormat="1" ht="12.75">
      <c r="B12" t="str">
        <f>Input!B14</f>
        <v>Is the Base Model Calibrated:</v>
      </c>
      <c r="C12" t="str">
        <f>BM_Calib</f>
        <v>No</v>
      </c>
      <c r="D12" s="6"/>
    </row>
    <row r="13" spans="2:4" s="3" customFormat="1" ht="12.75">
      <c r="B13" t="str">
        <f>Input!B15</f>
        <v>Number of Analysis Horizons:</v>
      </c>
      <c r="C13">
        <f>Time_Horizons</f>
        <v>3</v>
      </c>
      <c r="D13" s="6"/>
    </row>
    <row r="14" spans="2:4" s="3" customFormat="1" ht="12.75">
      <c r="B14" t="str">
        <f>Input!B16</f>
        <v>Number of Alternatives:</v>
      </c>
      <c r="C14">
        <f>Alternatives</f>
        <v>2</v>
      </c>
      <c r="D14" s="14"/>
    </row>
    <row r="15" spans="2:4" s="3" customFormat="1" ht="12.75">
      <c r="B15" t="str">
        <f>Input!B17</f>
        <v>Number of Representative Days:</v>
      </c>
      <c r="C15">
        <f>Op_Cond</f>
        <v>1</v>
      </c>
      <c r="D15" s="14"/>
    </row>
    <row r="16" spans="2:4" s="3" customFormat="1" ht="12.75">
      <c r="B16" t="str">
        <f>Input!B18</f>
        <v>Number of Peak Periods</v>
      </c>
      <c r="C16">
        <f>Peak_Periods</f>
        <v>2</v>
      </c>
      <c r="D16" s="14"/>
    </row>
    <row r="17" spans="2:4" s="3" customFormat="1" ht="12.75">
      <c r="B17" t="str">
        <f>Input!B19</f>
        <v>Data Processing Requirements:</v>
      </c>
      <c r="C17" t="str">
        <f>Data_Collect</f>
        <v>Low</v>
      </c>
      <c r="D17" s="14"/>
    </row>
    <row r="18" spans="1:3" s="3" customFormat="1" ht="12.75">
      <c r="A18" s="15"/>
      <c r="B18" t="str">
        <f>Input!B20</f>
        <v>Complexity of Analysis Scenarios:</v>
      </c>
      <c r="C18" s="3" t="str">
        <f>Complex_Scen</f>
        <v>Complex</v>
      </c>
    </row>
    <row r="19" spans="1:3" s="3" customFormat="1" ht="12.75">
      <c r="A19" s="15"/>
      <c r="B19" t="str">
        <f>Input!B21</f>
        <v>Complexity of Methodology:</v>
      </c>
      <c r="C19" s="3" t="str">
        <f>Complex_Meth</f>
        <v>Stochastic/Dynamic</v>
      </c>
    </row>
    <row r="20" spans="1:3" s="3" customFormat="1" ht="12.75">
      <c r="A20" s="15"/>
      <c r="B20" t="str">
        <f>Input!B22</f>
        <v>Complexity of Outputs:</v>
      </c>
      <c r="C20" s="3" t="str">
        <f>Complex_Output</f>
        <v>Simple</v>
      </c>
    </row>
    <row r="21" spans="1:3" s="3" customFormat="1" ht="12.75">
      <c r="A21" s="15"/>
      <c r="B21" t="str">
        <f>Input!B23</f>
        <v>Analyst Experience:</v>
      </c>
      <c r="C21" s="3" t="str">
        <f>Analyst_Exp</f>
        <v>Considerable</v>
      </c>
    </row>
    <row r="22" spans="1:2" s="3" customFormat="1" ht="12.75">
      <c r="A22" s="15"/>
      <c r="B22"/>
    </row>
    <row r="23" ht="17.25">
      <c r="A23" s="28" t="s">
        <v>59</v>
      </c>
    </row>
    <row r="24" spans="1:9" ht="12.75">
      <c r="A24" s="5" t="s">
        <v>16</v>
      </c>
      <c r="C24" s="1"/>
      <c r="D24" s="1" t="s">
        <v>10</v>
      </c>
      <c r="E24" s="1"/>
      <c r="F24" s="1"/>
      <c r="G24" s="1"/>
      <c r="H24" s="1" t="s">
        <v>10</v>
      </c>
      <c r="I24" s="1"/>
    </row>
    <row r="25" spans="3:10" ht="12.75">
      <c r="C25" s="1" t="s">
        <v>1</v>
      </c>
      <c r="D25" s="1" t="s">
        <v>9</v>
      </c>
      <c r="E25" s="1" t="s">
        <v>2</v>
      </c>
      <c r="F25" s="1" t="s">
        <v>12</v>
      </c>
      <c r="G25" s="1" t="s">
        <v>1</v>
      </c>
      <c r="H25" s="1" t="s">
        <v>9</v>
      </c>
      <c r="I25" s="1" t="s">
        <v>2</v>
      </c>
      <c r="J25" s="1" t="s">
        <v>12</v>
      </c>
    </row>
    <row r="26" spans="1:10" ht="12.75">
      <c r="A26" t="s">
        <v>0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15</v>
      </c>
      <c r="H26" s="1" t="s">
        <v>15</v>
      </c>
      <c r="I26" s="1" t="s">
        <v>15</v>
      </c>
      <c r="J26" s="1" t="s">
        <v>18</v>
      </c>
    </row>
    <row r="27" spans="1:10" ht="12.75">
      <c r="A27">
        <v>1</v>
      </c>
      <c r="B27" t="s">
        <v>83</v>
      </c>
      <c r="C27" s="53">
        <v>2</v>
      </c>
      <c r="D27" s="53">
        <v>2</v>
      </c>
      <c r="E27" s="53">
        <v>1</v>
      </c>
      <c r="F27" s="12">
        <f>SUM(C27:E27)</f>
        <v>5</v>
      </c>
      <c r="G27" s="7">
        <f>C27/F27</f>
        <v>0.4</v>
      </c>
      <c r="H27" s="7">
        <f>D27/F27</f>
        <v>0.4</v>
      </c>
      <c r="I27" s="7">
        <f>E27/F27</f>
        <v>0.2</v>
      </c>
      <c r="J27" s="7">
        <f>SUM(G27:I27)</f>
        <v>1</v>
      </c>
    </row>
    <row r="28" spans="1:10" ht="12.75">
      <c r="A28">
        <v>2</v>
      </c>
      <c r="B28" t="s">
        <v>8</v>
      </c>
      <c r="C28" s="53">
        <v>1</v>
      </c>
      <c r="D28" s="53">
        <v>1</v>
      </c>
      <c r="E28" s="53">
        <v>0</v>
      </c>
      <c r="F28" s="12">
        <f aca="true" t="shared" si="0" ref="F28:F35">SUM(C28:E28)</f>
        <v>2</v>
      </c>
      <c r="G28" s="7">
        <f aca="true" t="shared" si="1" ref="G28:G35">C28/F28</f>
        <v>0.5</v>
      </c>
      <c r="H28" s="7">
        <f aca="true" t="shared" si="2" ref="H28:H35">D28/F28</f>
        <v>0.5</v>
      </c>
      <c r="I28" s="7">
        <f aca="true" t="shared" si="3" ref="I28:I35">E28/F28</f>
        <v>0</v>
      </c>
      <c r="J28" s="7">
        <f aca="true" t="shared" si="4" ref="J28:J35">SUM(G28:I28)</f>
        <v>1</v>
      </c>
    </row>
    <row r="29" spans="1:10" ht="12.75">
      <c r="A29">
        <v>3</v>
      </c>
      <c r="B29" t="s">
        <v>130</v>
      </c>
      <c r="C29" s="53">
        <v>0</v>
      </c>
      <c r="D29" s="53">
        <v>0</v>
      </c>
      <c r="E29" s="53">
        <v>3</v>
      </c>
      <c r="F29" s="12">
        <f>SUM(C29:E29)</f>
        <v>3</v>
      </c>
      <c r="G29" s="7">
        <f>C29/F29</f>
        <v>0</v>
      </c>
      <c r="H29" s="7">
        <f>D29/F29</f>
        <v>0</v>
      </c>
      <c r="I29" s="7">
        <f>E29/F29</f>
        <v>1</v>
      </c>
      <c r="J29" s="7">
        <f>SUM(G29:I29)</f>
        <v>1</v>
      </c>
    </row>
    <row r="30" spans="1:10" ht="12.75">
      <c r="A30">
        <v>4</v>
      </c>
      <c r="B30" t="s">
        <v>116</v>
      </c>
      <c r="C30" s="53">
        <v>1</v>
      </c>
      <c r="D30" s="53">
        <v>2</v>
      </c>
      <c r="E30" s="53">
        <v>0</v>
      </c>
      <c r="F30" s="12">
        <f>SUM(C30:E30)</f>
        <v>3</v>
      </c>
      <c r="G30" s="7">
        <f>C30/F30</f>
        <v>0.3333333333333333</v>
      </c>
      <c r="H30" s="7">
        <f>D30/F30</f>
        <v>0.6666666666666666</v>
      </c>
      <c r="I30" s="7">
        <f>E30/F30</f>
        <v>0</v>
      </c>
      <c r="J30" s="7">
        <f>SUM(G30:I30)</f>
        <v>1</v>
      </c>
    </row>
    <row r="31" spans="1:10" ht="12.75">
      <c r="A31">
        <v>5</v>
      </c>
      <c r="B31" t="s">
        <v>7</v>
      </c>
      <c r="C31" s="53">
        <v>0.5</v>
      </c>
      <c r="D31" s="53">
        <v>1</v>
      </c>
      <c r="E31" s="53">
        <v>1</v>
      </c>
      <c r="F31" s="12">
        <f t="shared" si="0"/>
        <v>2.5</v>
      </c>
      <c r="G31" s="7">
        <f t="shared" si="1"/>
        <v>0.2</v>
      </c>
      <c r="H31" s="7">
        <f t="shared" si="2"/>
        <v>0.4</v>
      </c>
      <c r="I31" s="7">
        <f t="shared" si="3"/>
        <v>0.4</v>
      </c>
      <c r="J31" s="7">
        <f t="shared" si="4"/>
        <v>1</v>
      </c>
    </row>
    <row r="32" spans="1:10" ht="12.75">
      <c r="A32">
        <v>6</v>
      </c>
      <c r="B32" t="s">
        <v>6</v>
      </c>
      <c r="C32" s="53">
        <v>0.5</v>
      </c>
      <c r="D32" s="53">
        <v>0.5</v>
      </c>
      <c r="E32" s="53">
        <v>0.5</v>
      </c>
      <c r="F32" s="12">
        <f t="shared" si="0"/>
        <v>1.5</v>
      </c>
      <c r="G32" s="7">
        <f t="shared" si="1"/>
        <v>0.3333333333333333</v>
      </c>
      <c r="H32" s="7">
        <f t="shared" si="2"/>
        <v>0.3333333333333333</v>
      </c>
      <c r="I32" s="7">
        <f t="shared" si="3"/>
        <v>0.3333333333333333</v>
      </c>
      <c r="J32" s="7">
        <f t="shared" si="4"/>
        <v>1</v>
      </c>
    </row>
    <row r="33" spans="1:10" ht="12.75">
      <c r="A33">
        <v>7</v>
      </c>
      <c r="B33" t="s">
        <v>5</v>
      </c>
      <c r="C33" s="53">
        <v>0.2</v>
      </c>
      <c r="D33" s="53">
        <v>1</v>
      </c>
      <c r="E33" s="53">
        <v>0.5</v>
      </c>
      <c r="F33" s="12">
        <f t="shared" si="0"/>
        <v>1.7</v>
      </c>
      <c r="G33" s="7">
        <f t="shared" si="1"/>
        <v>0.11764705882352942</v>
      </c>
      <c r="H33" s="7">
        <f t="shared" si="2"/>
        <v>0.5882352941176471</v>
      </c>
      <c r="I33" s="7">
        <f t="shared" si="3"/>
        <v>0.29411764705882354</v>
      </c>
      <c r="J33" s="7">
        <f t="shared" si="4"/>
        <v>1</v>
      </c>
    </row>
    <row r="34" spans="1:10" ht="12.75">
      <c r="A34">
        <v>8</v>
      </c>
      <c r="B34" t="s">
        <v>4</v>
      </c>
      <c r="C34" s="53">
        <v>2</v>
      </c>
      <c r="D34" s="53">
        <v>2</v>
      </c>
      <c r="E34" s="53">
        <v>1</v>
      </c>
      <c r="F34" s="12">
        <f t="shared" si="0"/>
        <v>5</v>
      </c>
      <c r="G34" s="7">
        <f t="shared" si="1"/>
        <v>0.4</v>
      </c>
      <c r="H34" s="7">
        <f t="shared" si="2"/>
        <v>0.4</v>
      </c>
      <c r="I34" s="7">
        <f t="shared" si="3"/>
        <v>0.2</v>
      </c>
      <c r="J34" s="7">
        <f t="shared" si="4"/>
        <v>1</v>
      </c>
    </row>
    <row r="35" spans="2:10" ht="12.75">
      <c r="B35" t="s">
        <v>3</v>
      </c>
      <c r="C35" s="13">
        <f>SUM(C27:C34)</f>
        <v>7.2</v>
      </c>
      <c r="D35" s="13">
        <f>SUM(D27:D34)</f>
        <v>9.5</v>
      </c>
      <c r="E35" s="13">
        <f>SUM(E27:E34)</f>
        <v>7</v>
      </c>
      <c r="F35" s="13">
        <f t="shared" si="0"/>
        <v>23.7</v>
      </c>
      <c r="G35" s="11">
        <f t="shared" si="1"/>
        <v>0.3037974683544304</v>
      </c>
      <c r="H35" s="11">
        <f t="shared" si="2"/>
        <v>0.4008438818565401</v>
      </c>
      <c r="I35" s="11">
        <f t="shared" si="3"/>
        <v>0.29535864978902954</v>
      </c>
      <c r="J35" s="11">
        <f t="shared" si="4"/>
        <v>1</v>
      </c>
    </row>
    <row r="36" spans="3:9" ht="12.75">
      <c r="C36" s="4"/>
      <c r="D36" s="4"/>
      <c r="E36" s="4"/>
      <c r="F36" s="4"/>
      <c r="G36" s="4"/>
      <c r="H36" s="4"/>
      <c r="I36" s="4"/>
    </row>
    <row r="37" spans="1:9" ht="12.75">
      <c r="A37" s="5" t="s">
        <v>17</v>
      </c>
      <c r="C37" s="1"/>
      <c r="D37" s="1" t="s">
        <v>10</v>
      </c>
      <c r="E37" s="1"/>
      <c r="F37" s="1"/>
      <c r="G37" s="1"/>
      <c r="H37" s="1" t="s">
        <v>10</v>
      </c>
      <c r="I37" s="1"/>
    </row>
    <row r="38" spans="3:10" ht="12.75">
      <c r="C38" s="1" t="s">
        <v>1</v>
      </c>
      <c r="D38" s="1" t="s">
        <v>9</v>
      </c>
      <c r="E38" s="1" t="s">
        <v>2</v>
      </c>
      <c r="F38" s="1" t="s">
        <v>12</v>
      </c>
      <c r="G38" s="1" t="s">
        <v>1</v>
      </c>
      <c r="H38" s="1" t="s">
        <v>9</v>
      </c>
      <c r="I38" s="1" t="s">
        <v>2</v>
      </c>
      <c r="J38" s="1" t="s">
        <v>12</v>
      </c>
    </row>
    <row r="39" spans="1:10" ht="12.75">
      <c r="A39" t="s">
        <v>0</v>
      </c>
      <c r="C39" s="1" t="s">
        <v>11</v>
      </c>
      <c r="D39" s="1" t="s">
        <v>11</v>
      </c>
      <c r="E39" s="1" t="s">
        <v>11</v>
      </c>
      <c r="F39" s="1" t="s">
        <v>11</v>
      </c>
      <c r="G39" s="1" t="s">
        <v>15</v>
      </c>
      <c r="H39" s="1" t="s">
        <v>15</v>
      </c>
      <c r="I39" s="1" t="s">
        <v>15</v>
      </c>
      <c r="J39" s="1" t="s">
        <v>18</v>
      </c>
    </row>
    <row r="40" spans="1:10" ht="12.75">
      <c r="A40">
        <v>1</v>
      </c>
      <c r="B40" t="str">
        <f>$B$27</f>
        <v>Develop workplan, analysis plan, and project management</v>
      </c>
      <c r="C40" s="53">
        <v>2</v>
      </c>
      <c r="D40" s="53">
        <v>2</v>
      </c>
      <c r="E40" s="53">
        <v>1</v>
      </c>
      <c r="F40" s="12">
        <f>SUM(C40:E40)</f>
        <v>5</v>
      </c>
      <c r="G40" s="7">
        <f>C40/F40</f>
        <v>0.4</v>
      </c>
      <c r="H40" s="7">
        <f>D40/F40</f>
        <v>0.4</v>
      </c>
      <c r="I40" s="7">
        <f>E40/F40</f>
        <v>0.2</v>
      </c>
      <c r="J40" s="7">
        <f>SUM(G40:I40)</f>
        <v>1</v>
      </c>
    </row>
    <row r="41" spans="1:10" ht="12.75">
      <c r="A41">
        <v>2</v>
      </c>
      <c r="B41" t="str">
        <f>$B$28</f>
        <v>Select analysis tool</v>
      </c>
      <c r="C41" s="53">
        <v>1</v>
      </c>
      <c r="D41" s="53">
        <v>1</v>
      </c>
      <c r="E41" s="53">
        <v>0</v>
      </c>
      <c r="F41" s="12">
        <f aca="true" t="shared" si="5" ref="F41:F48">SUM(C41:E41)</f>
        <v>2</v>
      </c>
      <c r="G41" s="7">
        <f aca="true" t="shared" si="6" ref="G41:G48">C41/F41</f>
        <v>0.5</v>
      </c>
      <c r="H41" s="7">
        <f aca="true" t="shared" si="7" ref="H41:H48">D41/F41</f>
        <v>0.5</v>
      </c>
      <c r="I41" s="7">
        <f aca="true" t="shared" si="8" ref="I41:I48">E41/F41</f>
        <v>0</v>
      </c>
      <c r="J41" s="7">
        <f aca="true" t="shared" si="9" ref="J41:J48">SUM(G41:I41)</f>
        <v>1</v>
      </c>
    </row>
    <row r="42" spans="1:10" ht="12.75">
      <c r="A42">
        <v>3</v>
      </c>
      <c r="B42" t="str">
        <f>B29</f>
        <v>Develop data plan and process data</v>
      </c>
      <c r="C42" s="53">
        <v>0</v>
      </c>
      <c r="D42" s="53">
        <v>0</v>
      </c>
      <c r="E42" s="53">
        <v>3</v>
      </c>
      <c r="F42" s="12">
        <f t="shared" si="5"/>
        <v>3</v>
      </c>
      <c r="G42" s="7">
        <f t="shared" si="6"/>
        <v>0</v>
      </c>
      <c r="H42" s="7">
        <f t="shared" si="7"/>
        <v>0</v>
      </c>
      <c r="I42" s="7">
        <f t="shared" si="8"/>
        <v>1</v>
      </c>
      <c r="J42" s="7">
        <f t="shared" si="9"/>
        <v>1</v>
      </c>
    </row>
    <row r="43" spans="1:10" ht="12.75">
      <c r="A43">
        <v>4</v>
      </c>
      <c r="B43" t="s">
        <v>116</v>
      </c>
      <c r="C43" s="53">
        <v>1</v>
      </c>
      <c r="D43" s="53">
        <v>2</v>
      </c>
      <c r="E43" s="53">
        <v>0</v>
      </c>
      <c r="F43" s="12">
        <f>SUM(C43:E43)</f>
        <v>3</v>
      </c>
      <c r="G43" s="7">
        <f>C43/F43</f>
        <v>0.3333333333333333</v>
      </c>
      <c r="H43" s="7">
        <f>D43/F43</f>
        <v>0.6666666666666666</v>
      </c>
      <c r="I43" s="7">
        <f>E43/F43</f>
        <v>0</v>
      </c>
      <c r="J43" s="7">
        <f>SUM(G43:I43)</f>
        <v>1</v>
      </c>
    </row>
    <row r="44" spans="1:10" ht="12.75">
      <c r="A44">
        <v>5</v>
      </c>
      <c r="B44" t="str">
        <f>$B$31</f>
        <v>Develop and calibrate baseline model(s)</v>
      </c>
      <c r="C44" s="53">
        <v>0.5</v>
      </c>
      <c r="D44" s="53">
        <v>1</v>
      </c>
      <c r="E44" s="53">
        <v>2</v>
      </c>
      <c r="F44" s="12">
        <f t="shared" si="5"/>
        <v>3.5</v>
      </c>
      <c r="G44" s="7">
        <f t="shared" si="6"/>
        <v>0.14285714285714285</v>
      </c>
      <c r="H44" s="7">
        <f t="shared" si="7"/>
        <v>0.2857142857142857</v>
      </c>
      <c r="I44" s="7">
        <f t="shared" si="8"/>
        <v>0.5714285714285714</v>
      </c>
      <c r="J44" s="7">
        <f t="shared" si="9"/>
        <v>1</v>
      </c>
    </row>
    <row r="45" spans="1:10" ht="12.75">
      <c r="A45">
        <v>6</v>
      </c>
      <c r="B45" t="str">
        <f>$B$32</f>
        <v>Develop future baseline model(s)</v>
      </c>
      <c r="C45" s="53">
        <v>0.5</v>
      </c>
      <c r="D45" s="53">
        <v>0.5</v>
      </c>
      <c r="E45" s="53">
        <v>0.5</v>
      </c>
      <c r="F45" s="12">
        <f t="shared" si="5"/>
        <v>1.5</v>
      </c>
      <c r="G45" s="7">
        <f t="shared" si="6"/>
        <v>0.3333333333333333</v>
      </c>
      <c r="H45" s="7">
        <f t="shared" si="7"/>
        <v>0.3333333333333333</v>
      </c>
      <c r="I45" s="7">
        <f t="shared" si="8"/>
        <v>0.3333333333333333</v>
      </c>
      <c r="J45" s="7">
        <f t="shared" si="9"/>
        <v>1</v>
      </c>
    </row>
    <row r="46" spans="1:10" ht="12.75">
      <c r="A46">
        <v>7</v>
      </c>
      <c r="B46" t="str">
        <f>$B$33</f>
        <v>Analyze alternatives</v>
      </c>
      <c r="C46" s="53">
        <v>0.5</v>
      </c>
      <c r="D46" s="53">
        <v>1</v>
      </c>
      <c r="E46" s="53">
        <v>0.5</v>
      </c>
      <c r="F46" s="12">
        <f t="shared" si="5"/>
        <v>2</v>
      </c>
      <c r="G46" s="7">
        <f t="shared" si="6"/>
        <v>0.25</v>
      </c>
      <c r="H46" s="7">
        <f t="shared" si="7"/>
        <v>0.5</v>
      </c>
      <c r="I46" s="7">
        <f t="shared" si="8"/>
        <v>0.25</v>
      </c>
      <c r="J46" s="7">
        <f t="shared" si="9"/>
        <v>1</v>
      </c>
    </row>
    <row r="47" spans="1:10" ht="12.75">
      <c r="A47">
        <v>8</v>
      </c>
      <c r="B47" t="str">
        <f>$B$34</f>
        <v>Reports and presentations</v>
      </c>
      <c r="C47" s="53">
        <v>2</v>
      </c>
      <c r="D47" s="53">
        <v>2</v>
      </c>
      <c r="E47" s="53">
        <v>1</v>
      </c>
      <c r="F47" s="12">
        <f t="shared" si="5"/>
        <v>5</v>
      </c>
      <c r="G47" s="7">
        <f t="shared" si="6"/>
        <v>0.4</v>
      </c>
      <c r="H47" s="7">
        <f t="shared" si="7"/>
        <v>0.4</v>
      </c>
      <c r="I47" s="7">
        <f t="shared" si="8"/>
        <v>0.2</v>
      </c>
      <c r="J47" s="7">
        <f t="shared" si="9"/>
        <v>1</v>
      </c>
    </row>
    <row r="48" spans="2:10" ht="12.75">
      <c r="B48" t="s">
        <v>3</v>
      </c>
      <c r="C48" s="13">
        <f>SUM(C40:C47)</f>
        <v>7.5</v>
      </c>
      <c r="D48" s="13">
        <f>SUM(D40:D47)</f>
        <v>9.5</v>
      </c>
      <c r="E48" s="13">
        <f>SUM(E40:E47)</f>
        <v>8</v>
      </c>
      <c r="F48" s="13">
        <f t="shared" si="5"/>
        <v>25</v>
      </c>
      <c r="G48" s="11">
        <f t="shared" si="6"/>
        <v>0.3</v>
      </c>
      <c r="H48" s="11">
        <f t="shared" si="7"/>
        <v>0.38</v>
      </c>
      <c r="I48" s="11">
        <f t="shared" si="8"/>
        <v>0.32</v>
      </c>
      <c r="J48" s="11">
        <f t="shared" si="9"/>
        <v>1</v>
      </c>
    </row>
    <row r="49" spans="3:6" ht="12.75">
      <c r="C49" s="4"/>
      <c r="D49" s="4"/>
      <c r="E49" s="4"/>
      <c r="F49" s="4"/>
    </row>
    <row r="50" spans="1:6" ht="12.75">
      <c r="A50" s="5" t="s">
        <v>38</v>
      </c>
      <c r="C50" s="4"/>
      <c r="D50" s="4"/>
      <c r="E50" s="4"/>
      <c r="F50" s="4"/>
    </row>
    <row r="51" spans="1:6" ht="12.75">
      <c r="A51" s="18" t="s">
        <v>57</v>
      </c>
      <c r="B51" s="18"/>
      <c r="C51" s="4"/>
      <c r="D51" s="4"/>
      <c r="E51" s="4"/>
      <c r="F51" s="4"/>
    </row>
    <row r="52" spans="2:6" ht="12.75">
      <c r="B52" s="18" t="s">
        <v>46</v>
      </c>
      <c r="C52" s="21">
        <v>0.5</v>
      </c>
      <c r="D52" s="18" t="s">
        <v>113</v>
      </c>
      <c r="E52" s="4"/>
      <c r="F52" s="4"/>
    </row>
    <row r="53" spans="2:6" ht="12.75">
      <c r="B53" s="18" t="s">
        <v>47</v>
      </c>
      <c r="C53" s="21">
        <v>0.8</v>
      </c>
      <c r="D53" s="18" t="s">
        <v>113</v>
      </c>
      <c r="E53" s="4"/>
      <c r="F53" s="4"/>
    </row>
    <row r="54" spans="2:6" ht="12.75">
      <c r="B54" s="18" t="s">
        <v>29</v>
      </c>
      <c r="C54" s="21">
        <v>0.9</v>
      </c>
      <c r="D54" s="18" t="s">
        <v>113</v>
      </c>
      <c r="E54" s="4"/>
      <c r="F54" s="4"/>
    </row>
    <row r="55" spans="2:6" ht="12.75">
      <c r="B55" s="18" t="s">
        <v>30</v>
      </c>
      <c r="C55" s="21">
        <v>1</v>
      </c>
      <c r="D55" s="18" t="s">
        <v>113</v>
      </c>
      <c r="E55" s="4"/>
      <c r="F55" s="4"/>
    </row>
    <row r="56" spans="3:6" ht="12.75">
      <c r="C56" s="4"/>
      <c r="D56" s="4"/>
      <c r="E56" s="4"/>
      <c r="F56" s="4"/>
    </row>
    <row r="57" spans="1:6" ht="12.75">
      <c r="A57" s="5" t="s">
        <v>135</v>
      </c>
      <c r="C57" s="4"/>
      <c r="D57" s="4"/>
      <c r="E57" s="4"/>
      <c r="F57" s="4"/>
    </row>
    <row r="58" spans="1:6" ht="12.75">
      <c r="A58" s="18" t="s">
        <v>137</v>
      </c>
      <c r="C58" s="4"/>
      <c r="D58" s="4"/>
      <c r="E58" s="4"/>
      <c r="F58" s="4"/>
    </row>
    <row r="59" spans="2:6" ht="12.75">
      <c r="B59" s="18" t="s">
        <v>36</v>
      </c>
      <c r="C59" s="21">
        <v>0.25</v>
      </c>
      <c r="D59" s="18" t="s">
        <v>86</v>
      </c>
      <c r="E59" s="4"/>
      <c r="F59" s="4"/>
    </row>
    <row r="60" spans="2:6" ht="12.75">
      <c r="B60" s="18" t="s">
        <v>31</v>
      </c>
      <c r="C60" s="21">
        <v>0.5</v>
      </c>
      <c r="D60" s="18" t="s">
        <v>86</v>
      </c>
      <c r="E60" s="4"/>
      <c r="F60" s="4"/>
    </row>
    <row r="61" spans="2:6" ht="12.75">
      <c r="B61" s="18" t="s">
        <v>39</v>
      </c>
      <c r="C61" s="21">
        <v>1</v>
      </c>
      <c r="D61" s="18" t="s">
        <v>86</v>
      </c>
      <c r="E61" s="4"/>
      <c r="F61" s="4"/>
    </row>
    <row r="62" spans="3:6" ht="12.75">
      <c r="C62" s="4"/>
      <c r="D62" s="4"/>
      <c r="E62" s="4"/>
      <c r="F62" s="4"/>
    </row>
    <row r="63" spans="1:6" ht="12.75">
      <c r="A63" s="5" t="s">
        <v>88</v>
      </c>
      <c r="C63" s="4"/>
      <c r="D63" s="4"/>
      <c r="E63" s="4"/>
      <c r="F63" s="4"/>
    </row>
    <row r="65" spans="2:4" ht="12.75">
      <c r="B65" s="18" t="s">
        <v>35</v>
      </c>
      <c r="C65" s="21">
        <v>1</v>
      </c>
      <c r="D65" s="18" t="s">
        <v>87</v>
      </c>
    </row>
    <row r="66" spans="2:4" ht="12.75">
      <c r="B66" s="18" t="s">
        <v>32</v>
      </c>
      <c r="C66" s="21">
        <v>1.2</v>
      </c>
      <c r="D66" s="18" t="s">
        <v>87</v>
      </c>
    </row>
    <row r="67" ht="12.75">
      <c r="C67" s="3"/>
    </row>
    <row r="68" ht="12.75">
      <c r="C68" s="3"/>
    </row>
    <row r="69" spans="1:3" ht="12.75">
      <c r="A69" s="5" t="s">
        <v>40</v>
      </c>
      <c r="C69" s="3"/>
    </row>
    <row r="70" spans="1:3" ht="12.75">
      <c r="A70" s="18"/>
      <c r="C70" s="3"/>
    </row>
    <row r="71" spans="2:4" ht="12.75">
      <c r="B71" s="18" t="s">
        <v>65</v>
      </c>
      <c r="C71" s="21">
        <v>1</v>
      </c>
      <c r="D71" s="18" t="s">
        <v>115</v>
      </c>
    </row>
    <row r="72" spans="2:4" ht="12.75">
      <c r="B72" t="s">
        <v>66</v>
      </c>
      <c r="C72" s="21">
        <v>1.3</v>
      </c>
      <c r="D72" s="18" t="s">
        <v>115</v>
      </c>
    </row>
    <row r="73" ht="12.75">
      <c r="C73" s="3"/>
    </row>
    <row r="74" spans="1:11" ht="12.75">
      <c r="A74" s="5" t="s">
        <v>41</v>
      </c>
      <c r="G74" s="3"/>
      <c r="H74" s="3"/>
      <c r="I74" s="3"/>
      <c r="J74" s="3"/>
      <c r="K74" s="3"/>
    </row>
    <row r="75" ht="12.75">
      <c r="A75" s="18"/>
    </row>
    <row r="76" spans="2:4" ht="12.75">
      <c r="B76" s="18" t="s">
        <v>35</v>
      </c>
      <c r="C76" s="21">
        <v>0.9</v>
      </c>
      <c r="D76" s="18" t="s">
        <v>114</v>
      </c>
    </row>
    <row r="77" spans="2:4" ht="12.75">
      <c r="B77" s="18" t="s">
        <v>33</v>
      </c>
      <c r="C77" s="21">
        <v>1.1</v>
      </c>
      <c r="D77" s="18" t="s">
        <v>114</v>
      </c>
    </row>
    <row r="79" ht="12.75">
      <c r="A79" s="5" t="s">
        <v>42</v>
      </c>
    </row>
    <row r="80" ht="12.75">
      <c r="A80" s="18"/>
    </row>
    <row r="81" spans="2:4" ht="12.75">
      <c r="B81" s="18" t="s">
        <v>28</v>
      </c>
      <c r="C81" s="21">
        <v>1.2</v>
      </c>
      <c r="D81" s="18" t="s">
        <v>87</v>
      </c>
    </row>
    <row r="82" spans="2:4" ht="12.75">
      <c r="B82" s="18" t="s">
        <v>34</v>
      </c>
      <c r="C82" s="21">
        <v>0.9</v>
      </c>
      <c r="D82" s="18" t="s">
        <v>87</v>
      </c>
    </row>
    <row r="84" spans="1:14" ht="26.25">
      <c r="A84" s="5" t="s">
        <v>74</v>
      </c>
      <c r="C84" s="45"/>
      <c r="D84" s="45"/>
      <c r="E84" s="45"/>
      <c r="F84" s="45"/>
      <c r="G84" s="45"/>
      <c r="I84" s="55" t="s">
        <v>133</v>
      </c>
      <c r="J84" s="95" t="s">
        <v>91</v>
      </c>
      <c r="K84" s="96"/>
      <c r="L84" s="46" t="s">
        <v>94</v>
      </c>
      <c r="M84" s="98" t="s">
        <v>95</v>
      </c>
      <c r="N84" s="99"/>
    </row>
    <row r="85" spans="1:14" ht="78.75">
      <c r="A85" s="18" t="s">
        <v>73</v>
      </c>
      <c r="C85" s="45"/>
      <c r="D85" s="45"/>
      <c r="E85" s="45"/>
      <c r="F85" s="45"/>
      <c r="G85" s="45"/>
      <c r="I85" s="54" t="s">
        <v>136</v>
      </c>
      <c r="J85" s="47" t="s">
        <v>117</v>
      </c>
      <c r="K85" s="48" t="s">
        <v>118</v>
      </c>
      <c r="L85" s="49" t="s">
        <v>119</v>
      </c>
      <c r="M85" s="47" t="s">
        <v>120</v>
      </c>
      <c r="N85" s="48" t="s">
        <v>121</v>
      </c>
    </row>
    <row r="86" spans="3:20" ht="118.5">
      <c r="C86" s="45"/>
      <c r="D86" s="45"/>
      <c r="E86" s="45"/>
      <c r="F86" s="45"/>
      <c r="G86" s="45"/>
      <c r="I86" s="52" t="s">
        <v>101</v>
      </c>
      <c r="J86" s="50" t="s">
        <v>92</v>
      </c>
      <c r="K86" s="51" t="s">
        <v>101</v>
      </c>
      <c r="L86" s="52" t="s">
        <v>98</v>
      </c>
      <c r="M86" s="50" t="s">
        <v>99</v>
      </c>
      <c r="N86" s="51" t="s">
        <v>100</v>
      </c>
      <c r="O86" s="30"/>
      <c r="P86" s="43"/>
      <c r="Q86" s="30"/>
      <c r="R86" s="30"/>
      <c r="S86" s="44"/>
      <c r="T86" s="44"/>
    </row>
    <row r="87" spans="3:20" ht="78.75">
      <c r="C87" s="56" t="s">
        <v>136</v>
      </c>
      <c r="D87" s="85" t="s">
        <v>117</v>
      </c>
      <c r="E87" s="86" t="s">
        <v>118</v>
      </c>
      <c r="F87" s="87" t="s">
        <v>119</v>
      </c>
      <c r="G87" s="85" t="s">
        <v>120</v>
      </c>
      <c r="H87" s="86" t="s">
        <v>121</v>
      </c>
      <c r="I87" s="88">
        <f>C15*C16</f>
        <v>2</v>
      </c>
      <c r="J87" s="89">
        <f>C16</f>
        <v>2</v>
      </c>
      <c r="K87" s="90">
        <f>C15*C16</f>
        <v>2</v>
      </c>
      <c r="L87" s="91">
        <f>C16*C13</f>
        <v>6</v>
      </c>
      <c r="M87" s="89">
        <f>C16*C14*C13</f>
        <v>12</v>
      </c>
      <c r="N87" s="90">
        <f>C16*C15*C14*C13</f>
        <v>12</v>
      </c>
      <c r="O87" s="56" t="s">
        <v>107</v>
      </c>
      <c r="P87" s="56" t="s">
        <v>107</v>
      </c>
      <c r="Q87" s="56" t="s">
        <v>107</v>
      </c>
      <c r="R87" s="56" t="s">
        <v>107</v>
      </c>
      <c r="S87" s="56" t="s">
        <v>107</v>
      </c>
      <c r="T87" s="56" t="s">
        <v>107</v>
      </c>
    </row>
    <row r="88" spans="2:20" ht="12.75">
      <c r="B88" s="97" t="s">
        <v>102</v>
      </c>
      <c r="C88" s="78">
        <v>2</v>
      </c>
      <c r="D88" s="79">
        <v>1</v>
      </c>
      <c r="E88" s="80">
        <v>2</v>
      </c>
      <c r="F88" s="78">
        <v>2</v>
      </c>
      <c r="G88" s="79">
        <v>2</v>
      </c>
      <c r="H88" s="80">
        <v>4</v>
      </c>
      <c r="I88" s="81">
        <v>1</v>
      </c>
      <c r="J88" s="81">
        <v>1</v>
      </c>
      <c r="K88" s="82">
        <v>1</v>
      </c>
      <c r="L88" s="83">
        <v>1</v>
      </c>
      <c r="M88" s="81">
        <v>1</v>
      </c>
      <c r="N88" s="82">
        <v>1</v>
      </c>
      <c r="O88" s="84">
        <f>C88</f>
        <v>2</v>
      </c>
      <c r="P88" s="84">
        <f aca="true" t="shared" si="10" ref="P88:T92">D88</f>
        <v>1</v>
      </c>
      <c r="Q88" s="84">
        <f t="shared" si="10"/>
        <v>2</v>
      </c>
      <c r="R88" s="84">
        <f t="shared" si="10"/>
        <v>2</v>
      </c>
      <c r="S88" s="84">
        <f t="shared" si="10"/>
        <v>2</v>
      </c>
      <c r="T88" s="84">
        <f t="shared" si="10"/>
        <v>4</v>
      </c>
    </row>
    <row r="89" spans="2:20" ht="12.75">
      <c r="B89" s="97"/>
      <c r="C89" s="38">
        <v>4</v>
      </c>
      <c r="D89" s="36">
        <v>2</v>
      </c>
      <c r="E89" s="37">
        <v>4</v>
      </c>
      <c r="F89" s="38">
        <v>4</v>
      </c>
      <c r="G89" s="36">
        <v>4</v>
      </c>
      <c r="H89" s="37">
        <v>8</v>
      </c>
      <c r="I89" s="39">
        <v>0.99</v>
      </c>
      <c r="J89" s="39">
        <v>0.99</v>
      </c>
      <c r="K89" s="74">
        <v>0.8</v>
      </c>
      <c r="L89" s="41">
        <v>0.95</v>
      </c>
      <c r="M89" s="39">
        <v>0.8</v>
      </c>
      <c r="N89" s="74">
        <v>0.8</v>
      </c>
      <c r="O89" s="54">
        <f>C89</f>
        <v>4</v>
      </c>
      <c r="P89" s="54">
        <f t="shared" si="10"/>
        <v>2</v>
      </c>
      <c r="Q89" s="54">
        <f t="shared" si="10"/>
        <v>4</v>
      </c>
      <c r="R89" s="54">
        <f t="shared" si="10"/>
        <v>4</v>
      </c>
      <c r="S89" s="54">
        <f t="shared" si="10"/>
        <v>4</v>
      </c>
      <c r="T89" s="54">
        <f t="shared" si="10"/>
        <v>8</v>
      </c>
    </row>
    <row r="90" spans="2:20" ht="12.75">
      <c r="B90" s="97"/>
      <c r="C90" s="38">
        <v>8</v>
      </c>
      <c r="D90" s="36">
        <v>3</v>
      </c>
      <c r="E90" s="37">
        <v>8</v>
      </c>
      <c r="F90" s="38">
        <v>6</v>
      </c>
      <c r="G90" s="36">
        <v>6</v>
      </c>
      <c r="H90" s="37">
        <v>16</v>
      </c>
      <c r="I90" s="39">
        <v>0.97</v>
      </c>
      <c r="J90" s="39">
        <v>0.97</v>
      </c>
      <c r="K90" s="74">
        <v>0.5</v>
      </c>
      <c r="L90" s="41">
        <v>0.8</v>
      </c>
      <c r="M90" s="39">
        <v>0.5</v>
      </c>
      <c r="N90" s="74">
        <v>0.5</v>
      </c>
      <c r="O90" s="54">
        <f>C90</f>
        <v>8</v>
      </c>
      <c r="P90" s="54">
        <f t="shared" si="10"/>
        <v>3</v>
      </c>
      <c r="Q90" s="54">
        <f t="shared" si="10"/>
        <v>8</v>
      </c>
      <c r="R90" s="54">
        <f t="shared" si="10"/>
        <v>6</v>
      </c>
      <c r="S90" s="54">
        <f t="shared" si="10"/>
        <v>6</v>
      </c>
      <c r="T90" s="54">
        <f t="shared" si="10"/>
        <v>16</v>
      </c>
    </row>
    <row r="91" spans="2:20" ht="12.75">
      <c r="B91" s="97"/>
      <c r="C91" s="38">
        <v>16</v>
      </c>
      <c r="D91" s="36">
        <v>4</v>
      </c>
      <c r="E91" s="37">
        <v>16</v>
      </c>
      <c r="F91" s="38">
        <v>8</v>
      </c>
      <c r="G91" s="36">
        <v>8</v>
      </c>
      <c r="H91" s="37">
        <v>32</v>
      </c>
      <c r="I91" s="39">
        <v>0.9</v>
      </c>
      <c r="J91" s="39">
        <v>0.9</v>
      </c>
      <c r="K91" s="74">
        <v>0.35</v>
      </c>
      <c r="L91" s="41">
        <v>0.6</v>
      </c>
      <c r="M91" s="39">
        <v>0.35</v>
      </c>
      <c r="N91" s="74">
        <v>0.35</v>
      </c>
      <c r="O91" s="54">
        <f>C91</f>
        <v>16</v>
      </c>
      <c r="P91" s="54">
        <f t="shared" si="10"/>
        <v>4</v>
      </c>
      <c r="Q91" s="54">
        <f t="shared" si="10"/>
        <v>16</v>
      </c>
      <c r="R91" s="54">
        <f t="shared" si="10"/>
        <v>8</v>
      </c>
      <c r="S91" s="54">
        <f t="shared" si="10"/>
        <v>8</v>
      </c>
      <c r="T91" s="54">
        <f t="shared" si="10"/>
        <v>32</v>
      </c>
    </row>
    <row r="92" spans="2:20" ht="12.75">
      <c r="B92" s="97"/>
      <c r="C92" s="38">
        <v>32</v>
      </c>
      <c r="D92" s="36">
        <v>5</v>
      </c>
      <c r="E92" s="37">
        <v>32</v>
      </c>
      <c r="F92" s="38">
        <v>10</v>
      </c>
      <c r="G92" s="36">
        <v>10</v>
      </c>
      <c r="H92" s="37">
        <v>64</v>
      </c>
      <c r="I92" s="39">
        <v>0.8</v>
      </c>
      <c r="J92" s="39">
        <v>0.8</v>
      </c>
      <c r="K92" s="74">
        <v>0.3</v>
      </c>
      <c r="L92" s="41">
        <v>0.4</v>
      </c>
      <c r="M92" s="39">
        <v>0.3</v>
      </c>
      <c r="N92" s="74">
        <v>0.3</v>
      </c>
      <c r="O92" s="54">
        <f>C92</f>
        <v>32</v>
      </c>
      <c r="P92" s="54">
        <f t="shared" si="10"/>
        <v>5</v>
      </c>
      <c r="Q92" s="54">
        <f t="shared" si="10"/>
        <v>32</v>
      </c>
      <c r="R92" s="54">
        <f t="shared" si="10"/>
        <v>10</v>
      </c>
      <c r="S92" s="54">
        <f t="shared" si="10"/>
        <v>10</v>
      </c>
      <c r="T92" s="54">
        <f t="shared" si="10"/>
        <v>64</v>
      </c>
    </row>
    <row r="93" spans="2:20" ht="12.75">
      <c r="B93" s="97"/>
      <c r="C93" s="76" t="s">
        <v>75</v>
      </c>
      <c r="D93" s="73" t="s">
        <v>75</v>
      </c>
      <c r="E93" s="77" t="s">
        <v>75</v>
      </c>
      <c r="F93" s="76" t="s">
        <v>75</v>
      </c>
      <c r="G93" s="73" t="s">
        <v>75</v>
      </c>
      <c r="H93" s="77" t="s">
        <v>75</v>
      </c>
      <c r="I93" s="40">
        <v>0.7</v>
      </c>
      <c r="J93" s="40">
        <v>0.7</v>
      </c>
      <c r="K93" s="75">
        <v>0.25</v>
      </c>
      <c r="L93" s="42">
        <v>0.2</v>
      </c>
      <c r="M93" s="40">
        <v>0.25</v>
      </c>
      <c r="N93" s="75">
        <v>0.25</v>
      </c>
      <c r="O93" s="56">
        <v>64</v>
      </c>
      <c r="P93" s="56">
        <v>20</v>
      </c>
      <c r="Q93" s="56">
        <v>64</v>
      </c>
      <c r="R93" s="56">
        <v>20</v>
      </c>
      <c r="S93" s="56">
        <v>20</v>
      </c>
      <c r="T93" s="56">
        <v>128</v>
      </c>
    </row>
    <row r="95" spans="3:9" ht="78.75">
      <c r="C95" s="57" t="s">
        <v>103</v>
      </c>
      <c r="D95" s="58" t="s">
        <v>104</v>
      </c>
      <c r="E95" s="57" t="s">
        <v>105</v>
      </c>
      <c r="F95" s="58" t="s">
        <v>106</v>
      </c>
      <c r="G95" s="57" t="s">
        <v>108</v>
      </c>
      <c r="H95" s="58" t="s">
        <v>109</v>
      </c>
      <c r="I95" s="55" t="s">
        <v>93</v>
      </c>
    </row>
    <row r="96" spans="2:9" ht="12.75">
      <c r="B96" s="67" t="s">
        <v>129</v>
      </c>
      <c r="C96" s="68"/>
      <c r="D96" s="69">
        <f>IF(I87&lt;=C88,I88,IF(I87&lt;=C89,I89,IF(I87&lt;=C90,I90,IF(I87&lt;=C91,I91,IF(I87&lt;=C92,I92,I93)))))</f>
        <v>1</v>
      </c>
      <c r="E96" s="68"/>
      <c r="F96" s="69">
        <f>IF(D96=1,1,IF(D96=I89,I88,IF(D96=I90,I89,IF(D96=I91,I90,IF(D96=I92,I91,I92)))))</f>
        <v>1</v>
      </c>
      <c r="G96" s="70"/>
      <c r="H96" s="71">
        <f>IF(D96=F96,1,((I87-VLOOKUP(F96,I88:O93,7,FALSE))/(VLOOKUP(D96,I88:O93,7,FALSE)-VLOOKUP(F96,I88:O93,7,FALSE)))*(D96-F96)+F96)</f>
        <v>1</v>
      </c>
      <c r="I96" s="92">
        <f>H96*I87</f>
        <v>2</v>
      </c>
    </row>
    <row r="97" spans="2:9" ht="12.75">
      <c r="B97" s="72" t="s">
        <v>122</v>
      </c>
      <c r="C97" s="59">
        <f>IF(J87&lt;=D88,J88,IF(J87&lt;=D89,J89,IF(J87&lt;=D90,J90,IF(J87&lt;=D91,J91,IF(J87&lt;=D92,J92,J93)))))</f>
        <v>0.99</v>
      </c>
      <c r="D97" s="60">
        <f>IF(K87&lt;=E88,K88,IF(K87&lt;=E89,K89,IF(K87&lt;=E90,K90,IF(K87&lt;=E91,K91,IF(K87&lt;=E92,K92,K93)))))</f>
        <v>1</v>
      </c>
      <c r="E97" s="59">
        <f>IF(C97=1,1,IF(C97=J89,J88,IF(C97=J90,J89,IF(C97=J91,J90,IF(C97=J92,J91,J92)))))</f>
        <v>1</v>
      </c>
      <c r="F97" s="60">
        <f>IF(D97=1,1,IF(D97=K89,K88,IF(D97=K90,K89,IF(D97=K91,K90,IF(D97=K92,K91,K92)))))</f>
        <v>1</v>
      </c>
      <c r="G97" s="63">
        <f>IF(C97=E97,1,((J87-VLOOKUP(E97,J88:P93,7,FALSE))/(VLOOKUP(C97,J88:P93,7,FALSE)-VLOOKUP(E97,J88:P93,7,FALSE)))*(C97-E97)+E97)</f>
        <v>0.99</v>
      </c>
      <c r="H97" s="64">
        <f>IF(D97=F97,1,((K87-VLOOKUP(F97,K88:Q93,7,FALSE))/(VLOOKUP(D97,K88:Q93,7,FALSE)-VLOOKUP(F97,K88:Q93,7,FALSE)))*(D97-F97)+F97)</f>
        <v>1</v>
      </c>
      <c r="I97" s="93">
        <f>J87*G97+K87*H97</f>
        <v>3.98</v>
      </c>
    </row>
    <row r="98" spans="2:9" ht="12.75">
      <c r="B98" s="72" t="s">
        <v>123</v>
      </c>
      <c r="C98" s="59">
        <f>IF(L87&lt;=F88,L88,IF(L87&lt;=F89,L89,IF(L87&lt;=F90,L90,IF(L87&lt;=F91,L91,IF(L87&lt;=F92,L92,L93)))))</f>
        <v>0.8</v>
      </c>
      <c r="D98" s="60"/>
      <c r="E98" s="59">
        <f>IF(C98=1,1,IF(C98=L89,L88,IF(C98=L90,L89,IF(C98=L91,L90,IF(C98=L92,L91,L92)))))</f>
        <v>0.95</v>
      </c>
      <c r="F98" s="60"/>
      <c r="G98" s="63">
        <f>IF(C98=E98,1,((L87-VLOOKUP(E98,L88:R93,7,FALSE))/(VLOOKUP(C98,L88:R93,7,FALSE)-VLOOKUP(E98,L88:R93,7,FALSE)))*(C98-E98)+E98)</f>
        <v>0.8</v>
      </c>
      <c r="H98" s="64"/>
      <c r="I98" s="93">
        <f>L87*G98</f>
        <v>4.800000000000001</v>
      </c>
    </row>
    <row r="99" spans="2:9" ht="12.75">
      <c r="B99" s="73" t="s">
        <v>124</v>
      </c>
      <c r="C99" s="61">
        <f>IF(M87&lt;=G88,M88,IF(M87&lt;=G89,M89,IF(M87&lt;=G90,M90,IF(M87&lt;=G91,M91,IF(M87&lt;=G92,M92,M93)))))</f>
        <v>0.25</v>
      </c>
      <c r="D99" s="62">
        <f>IF(N87&lt;=H88,N88,IF(N87&lt;=H89,N89,IF(N87&lt;=H90,N90,IF(N87&lt;=H91,N91,IF(N87&lt;=H92,N92,N93)))))</f>
        <v>0.5</v>
      </c>
      <c r="E99" s="61">
        <f>IF(C99=1,1,IF(C99=M89,M88,IF(C99=M90,M89,IF(C99=M91,M90,IF(C99=M92,M91,M92)))))</f>
        <v>0.3</v>
      </c>
      <c r="F99" s="62">
        <f>IF(D99=1,1,IF(D99=N89,N88,IF(D99=N90,N89,IF(D99=N91,N90,IF(D99=N92,N91,N92)))))</f>
        <v>0.8</v>
      </c>
      <c r="G99" s="65">
        <f>IF(C99=E99,1,((M87-VLOOKUP(E99,M88:S93,7,FALSE))/(VLOOKUP(C99,M88:S93,7,FALSE)-VLOOKUP(E99,M88:S93,7,FALSE)))*(C99-E99)+E99)</f>
        <v>0.29</v>
      </c>
      <c r="H99" s="66">
        <f>IF(D99=F99,1,((N87-VLOOKUP(F99,N88:T93,7,FALSE))/(VLOOKUP(D99,N88:T93,7,FALSE)-VLOOKUP(F99,N88:T93,7,FALSE)))*(D99-F99)+F99)</f>
        <v>0.65</v>
      </c>
      <c r="I99" s="94">
        <f>M87*G99+N87*H99</f>
        <v>11.280000000000001</v>
      </c>
    </row>
    <row r="101" spans="1:2" ht="12.75">
      <c r="A101" s="5" t="s">
        <v>62</v>
      </c>
      <c r="B101" s="18"/>
    </row>
    <row r="102" spans="1:2" ht="12.75">
      <c r="A102" s="18" t="s">
        <v>89</v>
      </c>
      <c r="B102" s="18"/>
    </row>
    <row r="103" spans="1:4" ht="12.75">
      <c r="A103" s="5"/>
      <c r="B103" s="18"/>
      <c r="C103" s="21">
        <v>0.1</v>
      </c>
      <c r="D103" s="18" t="s">
        <v>70</v>
      </c>
    </row>
    <row r="104" spans="3:4" ht="12.75">
      <c r="C104" s="21">
        <v>0.3</v>
      </c>
      <c r="D104" s="30" t="s">
        <v>125</v>
      </c>
    </row>
    <row r="105" ht="12.75">
      <c r="A105" s="29"/>
    </row>
    <row r="106" ht="12.75">
      <c r="A106" s="29"/>
    </row>
    <row r="107" ht="17.25">
      <c r="A107" s="28" t="s">
        <v>61</v>
      </c>
    </row>
    <row r="108" spans="1:5" ht="12.75">
      <c r="A108" s="5" t="s">
        <v>19</v>
      </c>
      <c r="C108" s="1"/>
      <c r="D108" s="1" t="s">
        <v>10</v>
      </c>
      <c r="E108" s="1"/>
    </row>
    <row r="109" spans="3:6" ht="12.75">
      <c r="C109" s="1" t="s">
        <v>1</v>
      </c>
      <c r="D109" s="1" t="s">
        <v>9</v>
      </c>
      <c r="E109" s="1" t="s">
        <v>2</v>
      </c>
      <c r="F109" s="8" t="s">
        <v>12</v>
      </c>
    </row>
    <row r="110" spans="1:6" ht="12.75">
      <c r="A110" t="s">
        <v>0</v>
      </c>
      <c r="C110" s="1" t="s">
        <v>11</v>
      </c>
      <c r="D110" s="1" t="s">
        <v>11</v>
      </c>
      <c r="E110" s="1" t="s">
        <v>11</v>
      </c>
      <c r="F110" s="8" t="s">
        <v>11</v>
      </c>
    </row>
    <row r="111" spans="1:6" ht="12.75">
      <c r="A111">
        <v>1</v>
      </c>
      <c r="B111" t="s">
        <v>83</v>
      </c>
      <c r="C111" s="9">
        <f aca="true" t="shared" si="11" ref="C111:E118">C27*$C$9</f>
        <v>12</v>
      </c>
      <c r="D111" s="9">
        <f t="shared" si="11"/>
        <v>12</v>
      </c>
      <c r="E111" s="9">
        <f t="shared" si="11"/>
        <v>6</v>
      </c>
      <c r="F111" s="10">
        <f>SUM(C111:E111)</f>
        <v>30</v>
      </c>
    </row>
    <row r="112" spans="1:6" ht="12.75">
      <c r="A112">
        <v>2</v>
      </c>
      <c r="B112" t="s">
        <v>8</v>
      </c>
      <c r="C112" s="9">
        <f t="shared" si="11"/>
        <v>6</v>
      </c>
      <c r="D112" s="9">
        <f t="shared" si="11"/>
        <v>6</v>
      </c>
      <c r="E112" s="9">
        <f t="shared" si="11"/>
        <v>0</v>
      </c>
      <c r="F112" s="9">
        <f>F28*$C$9</f>
        <v>12</v>
      </c>
    </row>
    <row r="113" spans="1:6" ht="12.75">
      <c r="A113">
        <v>3</v>
      </c>
      <c r="B113" t="s">
        <v>130</v>
      </c>
      <c r="C113" s="9">
        <f t="shared" si="11"/>
        <v>0</v>
      </c>
      <c r="D113" s="9">
        <f t="shared" si="11"/>
        <v>0</v>
      </c>
      <c r="E113" s="9">
        <f t="shared" si="11"/>
        <v>18</v>
      </c>
      <c r="F113" s="9">
        <f>F29*$C$9</f>
        <v>18</v>
      </c>
    </row>
    <row r="114" spans="1:6" ht="12.75">
      <c r="A114">
        <v>4</v>
      </c>
      <c r="B114" t="s">
        <v>116</v>
      </c>
      <c r="C114" s="9">
        <f t="shared" si="11"/>
        <v>6</v>
      </c>
      <c r="D114" s="9">
        <f t="shared" si="11"/>
        <v>12</v>
      </c>
      <c r="E114" s="9">
        <f t="shared" si="11"/>
        <v>0</v>
      </c>
      <c r="F114" s="10">
        <f aca="true" t="shared" si="12" ref="F114:F119">SUM(C114:E114)</f>
        <v>18</v>
      </c>
    </row>
    <row r="115" spans="1:6" ht="12.75">
      <c r="A115">
        <v>5</v>
      </c>
      <c r="B115" t="s">
        <v>7</v>
      </c>
      <c r="C115" s="9">
        <f t="shared" si="11"/>
        <v>3</v>
      </c>
      <c r="D115" s="9">
        <f t="shared" si="11"/>
        <v>6</v>
      </c>
      <c r="E115" s="9">
        <f t="shared" si="11"/>
        <v>6</v>
      </c>
      <c r="F115" s="10">
        <f t="shared" si="12"/>
        <v>15</v>
      </c>
    </row>
    <row r="116" spans="1:6" ht="12.75">
      <c r="A116">
        <v>6</v>
      </c>
      <c r="B116" t="s">
        <v>6</v>
      </c>
      <c r="C116" s="9">
        <f t="shared" si="11"/>
        <v>3</v>
      </c>
      <c r="D116" s="9">
        <f t="shared" si="11"/>
        <v>3</v>
      </c>
      <c r="E116" s="9">
        <f t="shared" si="11"/>
        <v>3</v>
      </c>
      <c r="F116" s="10">
        <f t="shared" si="12"/>
        <v>9</v>
      </c>
    </row>
    <row r="117" spans="1:6" ht="12.75">
      <c r="A117">
        <v>7</v>
      </c>
      <c r="B117" t="s">
        <v>5</v>
      </c>
      <c r="C117" s="9">
        <f t="shared" si="11"/>
        <v>1.2000000000000002</v>
      </c>
      <c r="D117" s="9">
        <f t="shared" si="11"/>
        <v>6</v>
      </c>
      <c r="E117" s="9">
        <f t="shared" si="11"/>
        <v>3</v>
      </c>
      <c r="F117" s="10">
        <f t="shared" si="12"/>
        <v>10.2</v>
      </c>
    </row>
    <row r="118" spans="1:6" ht="12.75">
      <c r="A118">
        <v>8</v>
      </c>
      <c r="B118" t="s">
        <v>4</v>
      </c>
      <c r="C118" s="9">
        <f t="shared" si="11"/>
        <v>12</v>
      </c>
      <c r="D118" s="9">
        <f t="shared" si="11"/>
        <v>12</v>
      </c>
      <c r="E118" s="9">
        <f t="shared" si="11"/>
        <v>6</v>
      </c>
      <c r="F118" s="10">
        <f t="shared" si="12"/>
        <v>30</v>
      </c>
    </row>
    <row r="119" spans="2:6" ht="12.75">
      <c r="B119" t="s">
        <v>3</v>
      </c>
      <c r="C119" s="10">
        <f>SUM(C111:C118)</f>
        <v>43.2</v>
      </c>
      <c r="D119" s="10">
        <f>SUM(D111:D118)</f>
        <v>57</v>
      </c>
      <c r="E119" s="10">
        <f>SUM(E111:E118)</f>
        <v>42</v>
      </c>
      <c r="F119" s="10">
        <f t="shared" si="12"/>
        <v>142.2</v>
      </c>
    </row>
    <row r="122" spans="1:5" ht="12.75">
      <c r="A122" s="5" t="s">
        <v>20</v>
      </c>
      <c r="C122" s="1"/>
      <c r="D122" s="1" t="s">
        <v>10</v>
      </c>
      <c r="E122" s="1"/>
    </row>
    <row r="123" spans="3:6" ht="12.75">
      <c r="C123" s="1" t="s">
        <v>1</v>
      </c>
      <c r="D123" s="1" t="s">
        <v>9</v>
      </c>
      <c r="E123" s="1" t="s">
        <v>2</v>
      </c>
      <c r="F123" s="8" t="s">
        <v>12</v>
      </c>
    </row>
    <row r="124" spans="1:6" ht="12.75">
      <c r="A124" t="s">
        <v>0</v>
      </c>
      <c r="C124" s="1" t="s">
        <v>11</v>
      </c>
      <c r="D124" s="1" t="s">
        <v>11</v>
      </c>
      <c r="E124" s="1" t="s">
        <v>11</v>
      </c>
      <c r="F124" s="8" t="s">
        <v>11</v>
      </c>
    </row>
    <row r="125" spans="1:6" ht="12.75">
      <c r="A125">
        <v>1</v>
      </c>
      <c r="B125" t="s">
        <v>83</v>
      </c>
      <c r="C125" s="9">
        <f aca="true" t="shared" si="13" ref="C125:E132">C40*$C$10</f>
        <v>20</v>
      </c>
      <c r="D125" s="9">
        <f t="shared" si="13"/>
        <v>20</v>
      </c>
      <c r="E125" s="9">
        <f t="shared" si="13"/>
        <v>10</v>
      </c>
      <c r="F125" s="10">
        <f>SUM(C125:E125)</f>
        <v>50</v>
      </c>
    </row>
    <row r="126" spans="1:6" ht="12.75">
      <c r="A126">
        <v>2</v>
      </c>
      <c r="B126" t="s">
        <v>8</v>
      </c>
      <c r="C126" s="9">
        <f t="shared" si="13"/>
        <v>10</v>
      </c>
      <c r="D126" s="9">
        <f t="shared" si="13"/>
        <v>10</v>
      </c>
      <c r="E126" s="9">
        <f t="shared" si="13"/>
        <v>0</v>
      </c>
      <c r="F126" s="10">
        <f>SUM(C126:E126)</f>
        <v>20</v>
      </c>
    </row>
    <row r="127" spans="1:6" ht="12.75">
      <c r="A127">
        <v>3</v>
      </c>
      <c r="B127" t="s">
        <v>130</v>
      </c>
      <c r="C127" s="9">
        <f t="shared" si="13"/>
        <v>0</v>
      </c>
      <c r="D127" s="9">
        <f t="shared" si="13"/>
        <v>0</v>
      </c>
      <c r="E127" s="9">
        <f t="shared" si="13"/>
        <v>30</v>
      </c>
      <c r="F127" s="10">
        <f aca="true" t="shared" si="14" ref="F127:F132">SUM(C127:E127)</f>
        <v>30</v>
      </c>
    </row>
    <row r="128" spans="1:6" ht="12.75">
      <c r="A128">
        <v>4</v>
      </c>
      <c r="B128" t="s">
        <v>116</v>
      </c>
      <c r="C128" s="9">
        <f t="shared" si="13"/>
        <v>10</v>
      </c>
      <c r="D128" s="9">
        <f t="shared" si="13"/>
        <v>20</v>
      </c>
      <c r="E128" s="9">
        <f t="shared" si="13"/>
        <v>0</v>
      </c>
      <c r="F128" s="10">
        <f t="shared" si="14"/>
        <v>30</v>
      </c>
    </row>
    <row r="129" spans="1:6" ht="12.75">
      <c r="A129">
        <v>5</v>
      </c>
      <c r="B129" t="s">
        <v>7</v>
      </c>
      <c r="C129" s="9">
        <f t="shared" si="13"/>
        <v>5</v>
      </c>
      <c r="D129" s="9">
        <f t="shared" si="13"/>
        <v>10</v>
      </c>
      <c r="E129" s="9">
        <f t="shared" si="13"/>
        <v>20</v>
      </c>
      <c r="F129" s="10">
        <f t="shared" si="14"/>
        <v>35</v>
      </c>
    </row>
    <row r="130" spans="1:6" ht="12.75">
      <c r="A130">
        <v>6</v>
      </c>
      <c r="B130" t="s">
        <v>6</v>
      </c>
      <c r="C130" s="9">
        <f t="shared" si="13"/>
        <v>5</v>
      </c>
      <c r="D130" s="9">
        <f t="shared" si="13"/>
        <v>5</v>
      </c>
      <c r="E130" s="9">
        <f t="shared" si="13"/>
        <v>5</v>
      </c>
      <c r="F130" s="10">
        <f t="shared" si="14"/>
        <v>15</v>
      </c>
    </row>
    <row r="131" spans="1:6" ht="12.75">
      <c r="A131">
        <v>7</v>
      </c>
      <c r="B131" t="s">
        <v>5</v>
      </c>
      <c r="C131" s="9">
        <f t="shared" si="13"/>
        <v>5</v>
      </c>
      <c r="D131" s="9">
        <f t="shared" si="13"/>
        <v>10</v>
      </c>
      <c r="E131" s="9">
        <f t="shared" si="13"/>
        <v>5</v>
      </c>
      <c r="F131" s="10">
        <f t="shared" si="14"/>
        <v>20</v>
      </c>
    </row>
    <row r="132" spans="1:6" ht="12.75">
      <c r="A132">
        <v>8</v>
      </c>
      <c r="B132" t="s">
        <v>4</v>
      </c>
      <c r="C132" s="9">
        <f t="shared" si="13"/>
        <v>20</v>
      </c>
      <c r="D132" s="9">
        <f t="shared" si="13"/>
        <v>20</v>
      </c>
      <c r="E132" s="9">
        <f t="shared" si="13"/>
        <v>10</v>
      </c>
      <c r="F132" s="10">
        <f t="shared" si="14"/>
        <v>50</v>
      </c>
    </row>
    <row r="133" spans="2:6" ht="12.75">
      <c r="B133" t="s">
        <v>3</v>
      </c>
      <c r="C133" s="10">
        <f>SUM(C125:C132)</f>
        <v>75</v>
      </c>
      <c r="D133" s="10">
        <f>SUM(D125:D132)</f>
        <v>95</v>
      </c>
      <c r="E133" s="10">
        <f>SUM(E125:E132)</f>
        <v>80</v>
      </c>
      <c r="F133" s="10">
        <f>SUM(C133:E133)</f>
        <v>250</v>
      </c>
    </row>
    <row r="136" spans="1:5" ht="12.75">
      <c r="A136" s="5" t="s">
        <v>111</v>
      </c>
      <c r="C136" s="1"/>
      <c r="D136" s="1" t="s">
        <v>10</v>
      </c>
      <c r="E136" s="1"/>
    </row>
    <row r="137" spans="3:6" ht="12.75">
      <c r="C137" s="1" t="s">
        <v>1</v>
      </c>
      <c r="D137" s="1" t="s">
        <v>9</v>
      </c>
      <c r="E137" s="1" t="s">
        <v>2</v>
      </c>
      <c r="F137" s="8" t="s">
        <v>12</v>
      </c>
    </row>
    <row r="138" spans="1:6" ht="12.75">
      <c r="A138" t="s">
        <v>0</v>
      </c>
      <c r="C138" s="1" t="s">
        <v>11</v>
      </c>
      <c r="D138" s="1" t="s">
        <v>11</v>
      </c>
      <c r="E138" s="1" t="s">
        <v>11</v>
      </c>
      <c r="F138" s="8" t="s">
        <v>11</v>
      </c>
    </row>
    <row r="139" spans="1:6" ht="12.75">
      <c r="A139">
        <v>1</v>
      </c>
      <c r="B139" t="s">
        <v>83</v>
      </c>
      <c r="C139" s="9">
        <f aca="true" t="shared" si="15" ref="C139:E147">C111+C125</f>
        <v>32</v>
      </c>
      <c r="D139" s="9">
        <f t="shared" si="15"/>
        <v>32</v>
      </c>
      <c r="E139" s="9">
        <f t="shared" si="15"/>
        <v>16</v>
      </c>
      <c r="F139" s="10">
        <f>SUM(C139:E139)</f>
        <v>80</v>
      </c>
    </row>
    <row r="140" spans="1:6" ht="12.75">
      <c r="A140">
        <v>2</v>
      </c>
      <c r="B140" t="s">
        <v>8</v>
      </c>
      <c r="C140" s="9">
        <f t="shared" si="15"/>
        <v>16</v>
      </c>
      <c r="D140" s="9">
        <f t="shared" si="15"/>
        <v>16</v>
      </c>
      <c r="E140" s="9">
        <f t="shared" si="15"/>
        <v>0</v>
      </c>
      <c r="F140" s="10">
        <f>SUM(C140:E140)</f>
        <v>32</v>
      </c>
    </row>
    <row r="141" spans="1:6" ht="12.75">
      <c r="A141">
        <v>3</v>
      </c>
      <c r="B141" t="s">
        <v>130</v>
      </c>
      <c r="C141" s="9">
        <f t="shared" si="15"/>
        <v>0</v>
      </c>
      <c r="D141" s="9">
        <f t="shared" si="15"/>
        <v>0</v>
      </c>
      <c r="E141" s="9">
        <f t="shared" si="15"/>
        <v>48</v>
      </c>
      <c r="F141" s="10">
        <f>SUM(C141:E141)</f>
        <v>48</v>
      </c>
    </row>
    <row r="142" spans="1:6" ht="12.75">
      <c r="A142">
        <v>4</v>
      </c>
      <c r="B142" t="s">
        <v>116</v>
      </c>
      <c r="C142" s="9">
        <f t="shared" si="15"/>
        <v>16</v>
      </c>
      <c r="D142" s="9">
        <f t="shared" si="15"/>
        <v>32</v>
      </c>
      <c r="E142" s="9">
        <f t="shared" si="15"/>
        <v>0</v>
      </c>
      <c r="F142" s="10">
        <f aca="true" t="shared" si="16" ref="F142:F147">SUM(C142:E142)</f>
        <v>48</v>
      </c>
    </row>
    <row r="143" spans="1:6" ht="12.75">
      <c r="A143">
        <v>5</v>
      </c>
      <c r="B143" t="s">
        <v>7</v>
      </c>
      <c r="C143" s="9">
        <f t="shared" si="15"/>
        <v>8</v>
      </c>
      <c r="D143" s="9">
        <f t="shared" si="15"/>
        <v>16</v>
      </c>
      <c r="E143" s="9">
        <f t="shared" si="15"/>
        <v>26</v>
      </c>
      <c r="F143" s="10">
        <f t="shared" si="16"/>
        <v>50</v>
      </c>
    </row>
    <row r="144" spans="1:6" ht="12.75">
      <c r="A144">
        <v>6</v>
      </c>
      <c r="B144" t="s">
        <v>6</v>
      </c>
      <c r="C144" s="9">
        <f t="shared" si="15"/>
        <v>8</v>
      </c>
      <c r="D144" s="9">
        <f t="shared" si="15"/>
        <v>8</v>
      </c>
      <c r="E144" s="9">
        <f t="shared" si="15"/>
        <v>8</v>
      </c>
      <c r="F144" s="10">
        <f t="shared" si="16"/>
        <v>24</v>
      </c>
    </row>
    <row r="145" spans="1:6" ht="12.75">
      <c r="A145">
        <v>7</v>
      </c>
      <c r="B145" t="s">
        <v>5</v>
      </c>
      <c r="C145" s="9">
        <f t="shared" si="15"/>
        <v>6.2</v>
      </c>
      <c r="D145" s="9">
        <f t="shared" si="15"/>
        <v>16</v>
      </c>
      <c r="E145" s="9">
        <f t="shared" si="15"/>
        <v>8</v>
      </c>
      <c r="F145" s="10">
        <f t="shared" si="16"/>
        <v>30.2</v>
      </c>
    </row>
    <row r="146" spans="1:6" ht="12.75">
      <c r="A146">
        <v>8</v>
      </c>
      <c r="B146" t="s">
        <v>4</v>
      </c>
      <c r="C146" s="9">
        <f t="shared" si="15"/>
        <v>32</v>
      </c>
      <c r="D146" s="9">
        <f t="shared" si="15"/>
        <v>32</v>
      </c>
      <c r="E146" s="9">
        <f t="shared" si="15"/>
        <v>16</v>
      </c>
      <c r="F146" s="10">
        <f t="shared" si="16"/>
        <v>80</v>
      </c>
    </row>
    <row r="147" spans="2:6" ht="12.75">
      <c r="B147" t="s">
        <v>3</v>
      </c>
      <c r="C147" s="9">
        <f t="shared" si="15"/>
        <v>118.2</v>
      </c>
      <c r="D147" s="9">
        <f t="shared" si="15"/>
        <v>152</v>
      </c>
      <c r="E147" s="9">
        <f t="shared" si="15"/>
        <v>122</v>
      </c>
      <c r="F147" s="10">
        <f t="shared" si="16"/>
        <v>392.2</v>
      </c>
    </row>
    <row r="149" spans="1:5" ht="12.75">
      <c r="A149" s="5" t="s">
        <v>128</v>
      </c>
      <c r="C149" s="1"/>
      <c r="D149" s="1" t="s">
        <v>10</v>
      </c>
      <c r="E149" s="1"/>
    </row>
    <row r="150" spans="3:6" ht="12.75">
      <c r="C150" s="1" t="s">
        <v>1</v>
      </c>
      <c r="D150" s="1" t="s">
        <v>9</v>
      </c>
      <c r="E150" s="1" t="s">
        <v>2</v>
      </c>
      <c r="F150" s="8" t="s">
        <v>12</v>
      </c>
    </row>
    <row r="151" spans="1:6" ht="12.75">
      <c r="A151" t="s">
        <v>0</v>
      </c>
      <c r="C151" s="1" t="s">
        <v>11</v>
      </c>
      <c r="D151" s="1" t="s">
        <v>11</v>
      </c>
      <c r="E151" s="1" t="s">
        <v>11</v>
      </c>
      <c r="F151" s="8" t="s">
        <v>11</v>
      </c>
    </row>
    <row r="152" spans="1:6" ht="12.75">
      <c r="A152">
        <v>4</v>
      </c>
      <c r="B152" s="18" t="s">
        <v>126</v>
      </c>
      <c r="C152" s="22">
        <f>C142*$C$15</f>
        <v>16</v>
      </c>
      <c r="D152" s="22">
        <f>D142*$C$15</f>
        <v>32</v>
      </c>
      <c r="E152" s="22">
        <f>E142*$C$15</f>
        <v>0</v>
      </c>
      <c r="F152" s="10">
        <f>SUM(C152:E152)</f>
        <v>48</v>
      </c>
    </row>
    <row r="153" spans="1:6" ht="12.75">
      <c r="A153" s="23">
        <v>4</v>
      </c>
      <c r="B153" s="24" t="s">
        <v>127</v>
      </c>
      <c r="C153" s="27">
        <f>C152</f>
        <v>16</v>
      </c>
      <c r="D153" s="27">
        <f>D152</f>
        <v>32</v>
      </c>
      <c r="E153" s="27">
        <f>E152</f>
        <v>0</v>
      </c>
      <c r="F153" s="26">
        <f>SUM(C153:E153)</f>
        <v>48</v>
      </c>
    </row>
    <row r="156" spans="1:5" ht="12.75">
      <c r="A156" s="5" t="s">
        <v>138</v>
      </c>
      <c r="C156" s="1"/>
      <c r="D156" s="1" t="s">
        <v>10</v>
      </c>
      <c r="E156" s="1"/>
    </row>
    <row r="157" spans="3:6" ht="12.75">
      <c r="C157" s="1" t="s">
        <v>1</v>
      </c>
      <c r="D157" s="1" t="s">
        <v>9</v>
      </c>
      <c r="E157" s="1" t="s">
        <v>2</v>
      </c>
      <c r="F157" s="8" t="s">
        <v>12</v>
      </c>
    </row>
    <row r="158" spans="1:6" ht="12.75">
      <c r="A158" t="s">
        <v>0</v>
      </c>
      <c r="C158" s="1" t="s">
        <v>11</v>
      </c>
      <c r="D158" s="1" t="s">
        <v>11</v>
      </c>
      <c r="E158" s="1" t="s">
        <v>11</v>
      </c>
      <c r="F158" s="8" t="s">
        <v>11</v>
      </c>
    </row>
    <row r="159" spans="1:6" ht="12.75">
      <c r="A159">
        <v>3</v>
      </c>
      <c r="B159" s="18" t="s">
        <v>131</v>
      </c>
      <c r="C159" s="22">
        <f>VLOOKUP($C$17,$B$59:$C$61,2,FALSE)*C141*$I$96</f>
        <v>0</v>
      </c>
      <c r="D159" s="22">
        <f>VLOOKUP($C$17,$B$59:$C$61,2,FALSE)*D141*$I$96</f>
        <v>0</v>
      </c>
      <c r="E159" s="22">
        <f>VLOOKUP($C$17,$B$59:$C$61,2,FALSE)*E141*$I$96</f>
        <v>24</v>
      </c>
      <c r="F159" s="10">
        <f>SUM(C159:E159)</f>
        <v>24</v>
      </c>
    </row>
    <row r="160" spans="1:6" ht="12.75">
      <c r="A160" s="23">
        <v>3</v>
      </c>
      <c r="B160" s="24" t="s">
        <v>132</v>
      </c>
      <c r="C160" s="27">
        <f>C159</f>
        <v>0</v>
      </c>
      <c r="D160" s="27">
        <f>D159</f>
        <v>0</v>
      </c>
      <c r="E160" s="27">
        <f>E159</f>
        <v>24</v>
      </c>
      <c r="F160" s="26">
        <f>SUM(C160:E160)</f>
        <v>24</v>
      </c>
    </row>
    <row r="162" spans="1:5" ht="12.75">
      <c r="A162" s="5" t="s">
        <v>43</v>
      </c>
      <c r="C162" s="1"/>
      <c r="D162" s="1" t="s">
        <v>10</v>
      </c>
      <c r="E162" s="1"/>
    </row>
    <row r="163" spans="3:6" ht="12.75">
      <c r="C163" s="1" t="s">
        <v>1</v>
      </c>
      <c r="D163" s="1" t="s">
        <v>9</v>
      </c>
      <c r="E163" s="1" t="s">
        <v>2</v>
      </c>
      <c r="F163" s="8" t="s">
        <v>12</v>
      </c>
    </row>
    <row r="164" spans="1:6" ht="12.75">
      <c r="A164" t="s">
        <v>0</v>
      </c>
      <c r="C164" s="1" t="s">
        <v>11</v>
      </c>
      <c r="D164" s="1" t="s">
        <v>11</v>
      </c>
      <c r="E164" s="1" t="s">
        <v>11</v>
      </c>
      <c r="F164" s="8" t="s">
        <v>11</v>
      </c>
    </row>
    <row r="165" spans="1:6" ht="12.75">
      <c r="A165">
        <v>5</v>
      </c>
      <c r="B165" s="18" t="s">
        <v>44</v>
      </c>
      <c r="C165" s="22">
        <f>(IF($C$11="Yes",VLOOKUP($C$11&amp;$C$12,$B$52:$C$53,2,FALSE),VLOOKUP($C$11,$B$54:$C$55,2,FALSE))-1)*C143</f>
        <v>0</v>
      </c>
      <c r="D165" s="22">
        <f>(IF($C$11="Yes",VLOOKUP($C$11&amp;$C$12,$B$52:$C$53,2,FALSE),VLOOKUP($C$11,$B$54:$C$55,2,FALSE))-1)*D143</f>
        <v>0</v>
      </c>
      <c r="E165" s="22">
        <f>(IF($C$11="Yes",VLOOKUP($C$11&amp;$C$12,$B$52:$C$53,2,FALSE),VLOOKUP($C$11,$B$54:$C$55,2,FALSE))-1)*E143</f>
        <v>0</v>
      </c>
      <c r="F165" s="10">
        <f>SUM(C165:E165)</f>
        <v>0</v>
      </c>
    </row>
    <row r="166" spans="1:6" ht="12.75">
      <c r="A166" s="23">
        <v>5</v>
      </c>
      <c r="B166" s="24" t="s">
        <v>45</v>
      </c>
      <c r="C166" s="27">
        <f>C143+C165</f>
        <v>8</v>
      </c>
      <c r="D166" s="27">
        <f>D143+D165</f>
        <v>16</v>
      </c>
      <c r="E166" s="27">
        <f>E143+E165</f>
        <v>26</v>
      </c>
      <c r="F166" s="26">
        <f>SUM(C166:E166)</f>
        <v>50</v>
      </c>
    </row>
    <row r="168" spans="1:4" ht="12.75">
      <c r="A168" s="5" t="s">
        <v>71</v>
      </c>
      <c r="D168" s="1" t="s">
        <v>10</v>
      </c>
    </row>
    <row r="169" spans="3:6" ht="12.75">
      <c r="C169" s="1" t="s">
        <v>1</v>
      </c>
      <c r="D169" s="1" t="s">
        <v>9</v>
      </c>
      <c r="E169" s="1" t="s">
        <v>2</v>
      </c>
      <c r="F169" s="8" t="s">
        <v>12</v>
      </c>
    </row>
    <row r="170" spans="1:6" ht="12.75">
      <c r="A170" t="s">
        <v>0</v>
      </c>
      <c r="C170" s="1" t="s">
        <v>11</v>
      </c>
      <c r="D170" s="1" t="s">
        <v>11</v>
      </c>
      <c r="E170" s="1" t="s">
        <v>11</v>
      </c>
      <c r="F170" s="8" t="s">
        <v>11</v>
      </c>
    </row>
    <row r="171" spans="1:6" ht="12.75">
      <c r="A171">
        <v>5</v>
      </c>
      <c r="B171" s="18" t="s">
        <v>44</v>
      </c>
      <c r="C171" s="22">
        <f>$I$97*C166</f>
        <v>31.84</v>
      </c>
      <c r="D171" s="22">
        <f>$I$97*D166</f>
        <v>63.68</v>
      </c>
      <c r="E171" s="22">
        <f>$I$97*E166</f>
        <v>103.48</v>
      </c>
      <c r="F171" s="10">
        <f>SUM(C171:E171)</f>
        <v>199</v>
      </c>
    </row>
    <row r="172" spans="1:6" ht="12.75">
      <c r="A172" s="23">
        <v>5</v>
      </c>
      <c r="B172" s="24" t="s">
        <v>45</v>
      </c>
      <c r="C172" s="27">
        <f>C166+C171</f>
        <v>39.84</v>
      </c>
      <c r="D172" s="27">
        <f>D166+D171</f>
        <v>79.68</v>
      </c>
      <c r="E172" s="27">
        <f>E166+E171</f>
        <v>129.48000000000002</v>
      </c>
      <c r="F172" s="26">
        <f>SUM(C172:E172)</f>
        <v>249.00000000000003</v>
      </c>
    </row>
    <row r="174" spans="1:5" ht="12.75">
      <c r="A174" s="5" t="s">
        <v>21</v>
      </c>
      <c r="C174" s="1"/>
      <c r="D174" s="1" t="s">
        <v>10</v>
      </c>
      <c r="E174" s="1"/>
    </row>
    <row r="175" spans="3:6" ht="12.75">
      <c r="C175" s="1" t="s">
        <v>1</v>
      </c>
      <c r="D175" s="1" t="s">
        <v>9</v>
      </c>
      <c r="E175" s="1" t="s">
        <v>2</v>
      </c>
      <c r="F175" s="8" t="s">
        <v>12</v>
      </c>
    </row>
    <row r="176" spans="1:6" ht="12.75">
      <c r="A176" t="s">
        <v>0</v>
      </c>
      <c r="C176" s="1" t="s">
        <v>11</v>
      </c>
      <c r="D176" s="1" t="s">
        <v>11</v>
      </c>
      <c r="E176" s="1" t="s">
        <v>11</v>
      </c>
      <c r="F176" s="8" t="s">
        <v>11</v>
      </c>
    </row>
    <row r="177" spans="1:6" ht="12.75">
      <c r="A177">
        <v>1</v>
      </c>
      <c r="B177" s="18" t="s">
        <v>84</v>
      </c>
      <c r="C177" s="22">
        <f aca="true" t="shared" si="17" ref="C177:E178">(VLOOKUP($C$18,$B$65:$C$66,2,FALSE)-1)*C139</f>
        <v>6.399999999999999</v>
      </c>
      <c r="D177" s="22">
        <f t="shared" si="17"/>
        <v>6.399999999999999</v>
      </c>
      <c r="E177" s="22">
        <f t="shared" si="17"/>
        <v>3.1999999999999993</v>
      </c>
      <c r="F177" s="10">
        <f>SUM(C177:E177)</f>
        <v>15.999999999999996</v>
      </c>
    </row>
    <row r="178" spans="1:6" ht="12.75">
      <c r="A178">
        <v>2</v>
      </c>
      <c r="B178" s="18" t="s">
        <v>48</v>
      </c>
      <c r="C178" s="22">
        <f t="shared" si="17"/>
        <v>3.1999999999999993</v>
      </c>
      <c r="D178" s="22">
        <f t="shared" si="17"/>
        <v>3.1999999999999993</v>
      </c>
      <c r="E178" s="22">
        <f t="shared" si="17"/>
        <v>0</v>
      </c>
      <c r="F178" s="10">
        <f aca="true" t="shared" si="18" ref="F178:F184">SUM(C178:E178)</f>
        <v>6.399999999999999</v>
      </c>
    </row>
    <row r="179" spans="1:6" ht="12.75">
      <c r="A179">
        <v>3</v>
      </c>
      <c r="B179" s="18" t="s">
        <v>131</v>
      </c>
      <c r="C179" s="22">
        <f>(VLOOKUP($C$18,$B$65:$C$66,2,FALSE)-1)*C160</f>
        <v>0</v>
      </c>
      <c r="D179" s="22">
        <f>(VLOOKUP($C$18,$B$65:$C$66,2,FALSE)-1)*D160</f>
        <v>0</v>
      </c>
      <c r="E179" s="22">
        <f>(VLOOKUP($C$18,$B$65:$C$66,2,FALSE)-1)*E160</f>
        <v>4.799999999999999</v>
      </c>
      <c r="F179" s="10">
        <f>SUM(C179:E179)</f>
        <v>4.799999999999999</v>
      </c>
    </row>
    <row r="180" spans="1:6" ht="12.75">
      <c r="A180">
        <v>4</v>
      </c>
      <c r="B180" s="18" t="s">
        <v>126</v>
      </c>
      <c r="C180" s="22">
        <f>(VLOOKUP($C$18,$B$65:$C$66,2,FALSE)-1)*C153</f>
        <v>3.1999999999999993</v>
      </c>
      <c r="D180" s="22">
        <f>(VLOOKUP($C$18,$B$65:$C$66,2,FALSE)-1)*D153</f>
        <v>6.399999999999999</v>
      </c>
      <c r="E180" s="22">
        <f>(VLOOKUP($C$18,$B$65:$C$66,2,FALSE)-1)*E153</f>
        <v>0</v>
      </c>
      <c r="F180" s="10">
        <f t="shared" si="18"/>
        <v>9.599999999999998</v>
      </c>
    </row>
    <row r="181" spans="1:6" ht="12.75">
      <c r="A181">
        <v>5</v>
      </c>
      <c r="B181" s="18" t="s">
        <v>44</v>
      </c>
      <c r="C181" s="22">
        <f>(VLOOKUP($C$18,$B$65:$C$66,2,FALSE)-1)*C172</f>
        <v>7.967999999999999</v>
      </c>
      <c r="D181" s="22">
        <f>(VLOOKUP($C$18,$B$65:$C$66,2,FALSE)-1)*D172</f>
        <v>15.935999999999998</v>
      </c>
      <c r="E181" s="22">
        <f>(VLOOKUP($C$18,$B$65:$C$66,2,FALSE)-1)*E172</f>
        <v>25.895999999999997</v>
      </c>
      <c r="F181" s="10">
        <f t="shared" si="18"/>
        <v>49.8</v>
      </c>
    </row>
    <row r="182" spans="1:6" ht="12.75">
      <c r="A182">
        <v>6</v>
      </c>
      <c r="B182" s="18" t="s">
        <v>49</v>
      </c>
      <c r="C182" s="22">
        <f aca="true" t="shared" si="19" ref="C182:E184">(VLOOKUP($C$18,$B$65:$C$66,2,FALSE)-1)*C144</f>
        <v>1.5999999999999996</v>
      </c>
      <c r="D182" s="22">
        <f t="shared" si="19"/>
        <v>1.5999999999999996</v>
      </c>
      <c r="E182" s="22">
        <f t="shared" si="19"/>
        <v>1.5999999999999996</v>
      </c>
      <c r="F182" s="10">
        <f t="shared" si="18"/>
        <v>4.799999999999999</v>
      </c>
    </row>
    <row r="183" spans="1:6" ht="12.75">
      <c r="A183">
        <v>7</v>
      </c>
      <c r="B183" s="18" t="s">
        <v>22</v>
      </c>
      <c r="C183" s="22">
        <f t="shared" si="19"/>
        <v>1.2399999999999998</v>
      </c>
      <c r="D183" s="22">
        <f t="shared" si="19"/>
        <v>3.1999999999999993</v>
      </c>
      <c r="E183" s="22">
        <f t="shared" si="19"/>
        <v>1.5999999999999996</v>
      </c>
      <c r="F183" s="10">
        <f t="shared" si="18"/>
        <v>6.039999999999999</v>
      </c>
    </row>
    <row r="184" spans="1:6" ht="12.75">
      <c r="A184">
        <v>8</v>
      </c>
      <c r="B184" s="18" t="s">
        <v>50</v>
      </c>
      <c r="C184" s="22">
        <f t="shared" si="19"/>
        <v>6.399999999999999</v>
      </c>
      <c r="D184" s="22">
        <f t="shared" si="19"/>
        <v>6.399999999999999</v>
      </c>
      <c r="E184" s="22">
        <f t="shared" si="19"/>
        <v>3.1999999999999993</v>
      </c>
      <c r="F184" s="10">
        <f t="shared" si="18"/>
        <v>15.999999999999996</v>
      </c>
    </row>
    <row r="185" spans="1:6" ht="12.75">
      <c r="A185" s="23">
        <v>1</v>
      </c>
      <c r="B185" s="24" t="s">
        <v>85</v>
      </c>
      <c r="C185" s="25">
        <f aca="true" t="shared" si="20" ref="C185:E186">C139+C177</f>
        <v>38.4</v>
      </c>
      <c r="D185" s="25">
        <f t="shared" si="20"/>
        <v>38.4</v>
      </c>
      <c r="E185" s="25">
        <f t="shared" si="20"/>
        <v>19.2</v>
      </c>
      <c r="F185" s="26">
        <f>SUM(C185:E185)</f>
        <v>96</v>
      </c>
    </row>
    <row r="186" spans="1:6" ht="12.75">
      <c r="A186" s="23">
        <v>2</v>
      </c>
      <c r="B186" s="24" t="s">
        <v>51</v>
      </c>
      <c r="C186" s="25">
        <f t="shared" si="20"/>
        <v>19.2</v>
      </c>
      <c r="D186" s="25">
        <f t="shared" si="20"/>
        <v>19.2</v>
      </c>
      <c r="E186" s="25">
        <f t="shared" si="20"/>
        <v>0</v>
      </c>
      <c r="F186" s="26">
        <f aca="true" t="shared" si="21" ref="F186:F192">SUM(C186:E186)</f>
        <v>38.4</v>
      </c>
    </row>
    <row r="187" spans="1:6" ht="12.75">
      <c r="A187" s="23">
        <v>3</v>
      </c>
      <c r="B187" s="24" t="s">
        <v>132</v>
      </c>
      <c r="C187" s="25">
        <f>C160+C179</f>
        <v>0</v>
      </c>
      <c r="D187" s="25">
        <f>D160+D179</f>
        <v>0</v>
      </c>
      <c r="E187" s="25">
        <f>E160+E179</f>
        <v>28.799999999999997</v>
      </c>
      <c r="F187" s="26">
        <f>SUM(C187:E187)</f>
        <v>28.799999999999997</v>
      </c>
    </row>
    <row r="188" spans="1:6" ht="12.75">
      <c r="A188" s="23">
        <v>4</v>
      </c>
      <c r="B188" s="24" t="s">
        <v>127</v>
      </c>
      <c r="C188" s="25">
        <f>C153+C180</f>
        <v>19.2</v>
      </c>
      <c r="D188" s="25">
        <f>D153+D180</f>
        <v>38.4</v>
      </c>
      <c r="E188" s="25">
        <f>E153+E180</f>
        <v>0</v>
      </c>
      <c r="F188" s="26">
        <f t="shared" si="21"/>
        <v>57.599999999999994</v>
      </c>
    </row>
    <row r="189" spans="1:6" ht="12.75">
      <c r="A189" s="23">
        <v>5</v>
      </c>
      <c r="B189" s="24" t="s">
        <v>45</v>
      </c>
      <c r="C189" s="25">
        <f>C172+C181</f>
        <v>47.808</v>
      </c>
      <c r="D189" s="25">
        <f>D172+D181</f>
        <v>95.616</v>
      </c>
      <c r="E189" s="25">
        <f>E172+E181</f>
        <v>155.376</v>
      </c>
      <c r="F189" s="26">
        <f t="shared" si="21"/>
        <v>298.8</v>
      </c>
    </row>
    <row r="190" spans="1:6" ht="12.75">
      <c r="A190" s="23">
        <v>6</v>
      </c>
      <c r="B190" s="24" t="s">
        <v>52</v>
      </c>
      <c r="C190" s="25">
        <f aca="true" t="shared" si="22" ref="C190:E192">C144+C182</f>
        <v>9.6</v>
      </c>
      <c r="D190" s="25">
        <f t="shared" si="22"/>
        <v>9.6</v>
      </c>
      <c r="E190" s="25">
        <f t="shared" si="22"/>
        <v>9.6</v>
      </c>
      <c r="F190" s="26">
        <f t="shared" si="21"/>
        <v>28.799999999999997</v>
      </c>
    </row>
    <row r="191" spans="1:6" ht="12.75">
      <c r="A191" s="23">
        <v>7</v>
      </c>
      <c r="B191" s="24" t="s">
        <v>23</v>
      </c>
      <c r="C191" s="25">
        <f t="shared" si="22"/>
        <v>7.4399999999999995</v>
      </c>
      <c r="D191" s="25">
        <f t="shared" si="22"/>
        <v>19.2</v>
      </c>
      <c r="E191" s="25">
        <f t="shared" si="22"/>
        <v>9.6</v>
      </c>
      <c r="F191" s="26">
        <f t="shared" si="21"/>
        <v>36.24</v>
      </c>
    </row>
    <row r="192" spans="1:6" ht="12.75">
      <c r="A192" s="23">
        <v>8</v>
      </c>
      <c r="B192" s="24" t="s">
        <v>53</v>
      </c>
      <c r="C192" s="25">
        <f t="shared" si="22"/>
        <v>38.4</v>
      </c>
      <c r="D192" s="25">
        <f t="shared" si="22"/>
        <v>38.4</v>
      </c>
      <c r="E192" s="25">
        <f t="shared" si="22"/>
        <v>19.2</v>
      </c>
      <c r="F192" s="26">
        <f t="shared" si="21"/>
        <v>96</v>
      </c>
    </row>
    <row r="194" spans="1:5" ht="12.75">
      <c r="A194" s="5" t="s">
        <v>54</v>
      </c>
      <c r="C194" s="1"/>
      <c r="D194" s="1" t="s">
        <v>10</v>
      </c>
      <c r="E194" s="1"/>
    </row>
    <row r="195" spans="3:6" ht="12.75">
      <c r="C195" s="1" t="s">
        <v>1</v>
      </c>
      <c r="D195" s="1" t="s">
        <v>9</v>
      </c>
      <c r="E195" s="1" t="s">
        <v>2</v>
      </c>
      <c r="F195" s="8" t="s">
        <v>12</v>
      </c>
    </row>
    <row r="196" spans="1:6" ht="12.75">
      <c r="A196" t="s">
        <v>0</v>
      </c>
      <c r="C196" s="1" t="s">
        <v>11</v>
      </c>
      <c r="D196" s="1" t="s">
        <v>11</v>
      </c>
      <c r="E196" s="1" t="s">
        <v>11</v>
      </c>
      <c r="F196" s="8" t="s">
        <v>11</v>
      </c>
    </row>
    <row r="197" spans="1:6" ht="12.75">
      <c r="A197">
        <v>5</v>
      </c>
      <c r="B197" s="18" t="s">
        <v>44</v>
      </c>
      <c r="C197" s="22">
        <f aca="true" t="shared" si="23" ref="C197:E199">(VLOOKUP($C$19,$B$71:$C$72,2,FALSE)-1)*C189</f>
        <v>14.342400000000001</v>
      </c>
      <c r="D197" s="22">
        <f t="shared" si="23"/>
        <v>28.684800000000003</v>
      </c>
      <c r="E197" s="22">
        <f t="shared" si="23"/>
        <v>46.61280000000001</v>
      </c>
      <c r="F197" s="10">
        <f aca="true" t="shared" si="24" ref="F197:F202">SUM(C197:E197)</f>
        <v>89.64000000000001</v>
      </c>
    </row>
    <row r="198" spans="1:6" ht="12.75">
      <c r="A198">
        <v>6</v>
      </c>
      <c r="B198" s="18" t="s">
        <v>49</v>
      </c>
      <c r="C198" s="22">
        <f t="shared" si="23"/>
        <v>2.8800000000000003</v>
      </c>
      <c r="D198" s="22">
        <f t="shared" si="23"/>
        <v>2.8800000000000003</v>
      </c>
      <c r="E198" s="22">
        <f t="shared" si="23"/>
        <v>2.8800000000000003</v>
      </c>
      <c r="F198" s="10">
        <f t="shared" si="24"/>
        <v>8.64</v>
      </c>
    </row>
    <row r="199" spans="1:6" ht="12.75">
      <c r="A199">
        <v>7</v>
      </c>
      <c r="B199" s="18" t="s">
        <v>22</v>
      </c>
      <c r="C199" s="22">
        <f t="shared" si="23"/>
        <v>2.232</v>
      </c>
      <c r="D199" s="22">
        <f t="shared" si="23"/>
        <v>5.760000000000001</v>
      </c>
      <c r="E199" s="22">
        <f t="shared" si="23"/>
        <v>2.8800000000000003</v>
      </c>
      <c r="F199" s="10">
        <f t="shared" si="24"/>
        <v>10.872000000000002</v>
      </c>
    </row>
    <row r="200" spans="1:6" ht="12.75">
      <c r="A200" s="23">
        <v>5</v>
      </c>
      <c r="B200" s="24" t="s">
        <v>45</v>
      </c>
      <c r="C200" s="25">
        <f>C189+C197</f>
        <v>62.150400000000005</v>
      </c>
      <c r="D200" s="25">
        <f aca="true" t="shared" si="25" ref="C200:E202">D189+D197</f>
        <v>124.30080000000001</v>
      </c>
      <c r="E200" s="25">
        <f t="shared" si="25"/>
        <v>201.98880000000003</v>
      </c>
      <c r="F200" s="26">
        <f t="shared" si="24"/>
        <v>388.44000000000005</v>
      </c>
    </row>
    <row r="201" spans="1:6" ht="12.75">
      <c r="A201" s="23">
        <v>6</v>
      </c>
      <c r="B201" s="24" t="s">
        <v>52</v>
      </c>
      <c r="C201" s="25">
        <f>C190+C198</f>
        <v>12.48</v>
      </c>
      <c r="D201" s="25">
        <f t="shared" si="25"/>
        <v>12.48</v>
      </c>
      <c r="E201" s="25">
        <f t="shared" si="25"/>
        <v>12.48</v>
      </c>
      <c r="F201" s="26">
        <f t="shared" si="24"/>
        <v>37.44</v>
      </c>
    </row>
    <row r="202" spans="1:6" ht="12.75">
      <c r="A202" s="23">
        <v>7</v>
      </c>
      <c r="B202" s="24" t="s">
        <v>23</v>
      </c>
      <c r="C202" s="25">
        <f t="shared" si="25"/>
        <v>9.672</v>
      </c>
      <c r="D202" s="25">
        <f t="shared" si="25"/>
        <v>24.96</v>
      </c>
      <c r="E202" s="25">
        <f t="shared" si="25"/>
        <v>12.48</v>
      </c>
      <c r="F202" s="26">
        <f t="shared" si="24"/>
        <v>47.11200000000001</v>
      </c>
    </row>
    <row r="204" spans="1:4" ht="12.75">
      <c r="A204" s="5" t="s">
        <v>76</v>
      </c>
      <c r="D204" s="1" t="s">
        <v>10</v>
      </c>
    </row>
    <row r="205" spans="3:6" ht="12.75">
      <c r="C205" s="1" t="s">
        <v>1</v>
      </c>
      <c r="D205" s="1" t="s">
        <v>9</v>
      </c>
      <c r="E205" s="1" t="s">
        <v>2</v>
      </c>
      <c r="F205" s="8" t="s">
        <v>12</v>
      </c>
    </row>
    <row r="206" spans="1:6" ht="12.75">
      <c r="A206" t="s">
        <v>0</v>
      </c>
      <c r="C206" s="1" t="s">
        <v>11</v>
      </c>
      <c r="D206" s="1" t="s">
        <v>11</v>
      </c>
      <c r="E206" s="1" t="s">
        <v>11</v>
      </c>
      <c r="F206" s="8" t="s">
        <v>11</v>
      </c>
    </row>
    <row r="207" spans="1:6" ht="12.75">
      <c r="A207">
        <v>6</v>
      </c>
      <c r="B207" s="18" t="s">
        <v>49</v>
      </c>
      <c r="C207" s="22">
        <f>$I$98*C201</f>
        <v>59.90400000000001</v>
      </c>
      <c r="D207" s="22">
        <f>$I$98*D201</f>
        <v>59.90400000000001</v>
      </c>
      <c r="E207" s="22">
        <f>$I$98*E201</f>
        <v>59.90400000000001</v>
      </c>
      <c r="F207" s="10">
        <f>SUM(C207:E207)</f>
        <v>179.71200000000005</v>
      </c>
    </row>
    <row r="208" spans="1:6" ht="12.75">
      <c r="A208" s="23">
        <v>6</v>
      </c>
      <c r="B208" s="24" t="s">
        <v>52</v>
      </c>
      <c r="C208" s="27">
        <f>C201+C207</f>
        <v>72.38400000000001</v>
      </c>
      <c r="D208" s="27">
        <f>D201+D207</f>
        <v>72.38400000000001</v>
      </c>
      <c r="E208" s="27">
        <f>E201+E207</f>
        <v>72.38400000000001</v>
      </c>
      <c r="F208" s="26">
        <f>SUM(C208:E208)</f>
        <v>217.15200000000004</v>
      </c>
    </row>
    <row r="210" spans="1:4" ht="12.75">
      <c r="A210" s="5" t="s">
        <v>58</v>
      </c>
      <c r="D210" s="1" t="s">
        <v>10</v>
      </c>
    </row>
    <row r="211" spans="3:6" ht="12.75">
      <c r="C211" s="1" t="s">
        <v>1</v>
      </c>
      <c r="D211" s="1" t="s">
        <v>9</v>
      </c>
      <c r="E211" s="1" t="s">
        <v>2</v>
      </c>
      <c r="F211" s="8" t="s">
        <v>12</v>
      </c>
    </row>
    <row r="212" spans="1:6" ht="12.75">
      <c r="A212" t="s">
        <v>0</v>
      </c>
      <c r="C212" s="1" t="s">
        <v>11</v>
      </c>
      <c r="D212" s="1" t="s">
        <v>11</v>
      </c>
      <c r="E212" s="1" t="s">
        <v>11</v>
      </c>
      <c r="F212" s="8" t="s">
        <v>11</v>
      </c>
    </row>
    <row r="213" spans="1:6" ht="12.75">
      <c r="A213">
        <v>7</v>
      </c>
      <c r="B213" s="18" t="s">
        <v>22</v>
      </c>
      <c r="C213" s="22">
        <f>$I$99*C202</f>
        <v>109.10016000000002</v>
      </c>
      <c r="D213" s="22">
        <f>$I$99*D202</f>
        <v>281.5488</v>
      </c>
      <c r="E213" s="22">
        <f>$I$99*E202</f>
        <v>140.7744</v>
      </c>
      <c r="F213" s="10">
        <f>SUM(C213:E213)</f>
        <v>531.42336</v>
      </c>
    </row>
    <row r="214" spans="1:6" ht="12.75">
      <c r="A214" s="23">
        <v>7</v>
      </c>
      <c r="B214" s="24" t="s">
        <v>23</v>
      </c>
      <c r="C214" s="27">
        <f>C202+C213</f>
        <v>118.77216000000001</v>
      </c>
      <c r="D214" s="27">
        <f>D202+D213</f>
        <v>306.5088</v>
      </c>
      <c r="E214" s="27">
        <f>E202+E213</f>
        <v>153.2544</v>
      </c>
      <c r="F214" s="26">
        <f>SUM(C214:E214)</f>
        <v>578.5353600000001</v>
      </c>
    </row>
    <row r="216" spans="1:4" ht="12.75">
      <c r="A216" s="5" t="s">
        <v>55</v>
      </c>
      <c r="D216" s="1" t="s">
        <v>10</v>
      </c>
    </row>
    <row r="217" spans="3:6" ht="12.75">
      <c r="C217" s="1" t="s">
        <v>1</v>
      </c>
      <c r="D217" s="1" t="s">
        <v>9</v>
      </c>
      <c r="E217" s="1" t="s">
        <v>2</v>
      </c>
      <c r="F217" s="8" t="s">
        <v>12</v>
      </c>
    </row>
    <row r="218" spans="1:6" ht="12.75">
      <c r="A218" t="s">
        <v>0</v>
      </c>
      <c r="C218" s="1" t="s">
        <v>11</v>
      </c>
      <c r="D218" s="1" t="s">
        <v>11</v>
      </c>
      <c r="E218" s="1" t="s">
        <v>11</v>
      </c>
      <c r="F218" s="8" t="s">
        <v>11</v>
      </c>
    </row>
    <row r="219" spans="1:6" ht="12.75">
      <c r="A219">
        <v>7</v>
      </c>
      <c r="B219" s="18" t="s">
        <v>22</v>
      </c>
      <c r="C219" s="22">
        <f>(VLOOKUP($C$20,$B$76:$C$77,2,FALSE)-1)*C214</f>
        <v>-11.877215999999999</v>
      </c>
      <c r="D219" s="22">
        <f>(VLOOKUP($C$20,$B$76:$C$77,2,FALSE)-1)*D214</f>
        <v>-30.650879999999994</v>
      </c>
      <c r="E219" s="22">
        <f>(VLOOKUP($C$20,$B$76:$C$77,2,FALSE)-1)*E214</f>
        <v>-15.325439999999997</v>
      </c>
      <c r="F219" s="10">
        <f>SUM(C219:E219)</f>
        <v>-57.85353599999999</v>
      </c>
    </row>
    <row r="220" spans="1:6" ht="12.75">
      <c r="A220" s="23">
        <v>7</v>
      </c>
      <c r="B220" s="24" t="s">
        <v>23</v>
      </c>
      <c r="C220" s="25">
        <f>C219+C214</f>
        <v>106.89494400000001</v>
      </c>
      <c r="D220" s="25">
        <f>D219+D214</f>
        <v>275.85792000000004</v>
      </c>
      <c r="E220" s="25">
        <f>E219+E214</f>
        <v>137.92896000000002</v>
      </c>
      <c r="F220" s="26">
        <f>SUM(C220:E220)</f>
        <v>520.681824</v>
      </c>
    </row>
    <row r="222" spans="1:4" ht="12.75">
      <c r="A222" s="5" t="s">
        <v>72</v>
      </c>
      <c r="D222" s="1" t="s">
        <v>10</v>
      </c>
    </row>
    <row r="223" spans="3:6" ht="12.75">
      <c r="C223" s="1" t="s">
        <v>1</v>
      </c>
      <c r="D223" s="1" t="s">
        <v>9</v>
      </c>
      <c r="E223" s="1" t="s">
        <v>2</v>
      </c>
      <c r="F223" s="8" t="s">
        <v>12</v>
      </c>
    </row>
    <row r="224" spans="1:6" ht="12.75">
      <c r="A224" t="s">
        <v>0</v>
      </c>
      <c r="C224" s="1" t="s">
        <v>11</v>
      </c>
      <c r="D224" s="1" t="s">
        <v>11</v>
      </c>
      <c r="E224" s="1" t="s">
        <v>11</v>
      </c>
      <c r="F224" s="8" t="s">
        <v>11</v>
      </c>
    </row>
    <row r="225" spans="1:6" ht="12.75">
      <c r="A225">
        <v>1</v>
      </c>
      <c r="B225" s="18" t="s">
        <v>84</v>
      </c>
      <c r="C225" s="22">
        <f aca="true" t="shared" si="26" ref="C225:E228">(VLOOKUP($C$21,$B$81:$C$82,2,FALSE)-1)*C185</f>
        <v>-3.839999999999999</v>
      </c>
      <c r="D225" s="22">
        <f t="shared" si="26"/>
        <v>-3.839999999999999</v>
      </c>
      <c r="E225" s="22">
        <f t="shared" si="26"/>
        <v>-1.9199999999999995</v>
      </c>
      <c r="F225" s="10">
        <f>SUM(C225:E225)</f>
        <v>-9.599999999999998</v>
      </c>
    </row>
    <row r="226" spans="1:6" ht="12.75">
      <c r="A226">
        <v>2</v>
      </c>
      <c r="B226" s="18" t="s">
        <v>48</v>
      </c>
      <c r="C226" s="22">
        <f t="shared" si="26"/>
        <v>-1.9199999999999995</v>
      </c>
      <c r="D226" s="22">
        <f t="shared" si="26"/>
        <v>-1.9199999999999995</v>
      </c>
      <c r="E226" s="22">
        <f t="shared" si="26"/>
        <v>0</v>
      </c>
      <c r="F226" s="10">
        <f aca="true" t="shared" si="27" ref="F226:F232">SUM(C226:E226)</f>
        <v>-3.839999999999999</v>
      </c>
    </row>
    <row r="227" spans="1:6" ht="12.75">
      <c r="A227">
        <v>3</v>
      </c>
      <c r="B227" s="18" t="s">
        <v>131</v>
      </c>
      <c r="C227" s="22">
        <f t="shared" si="26"/>
        <v>0</v>
      </c>
      <c r="D227" s="22">
        <f t="shared" si="26"/>
        <v>0</v>
      </c>
      <c r="E227" s="22">
        <f t="shared" si="26"/>
        <v>-2.879999999999999</v>
      </c>
      <c r="F227" s="10">
        <f>SUM(C227:E227)</f>
        <v>-2.879999999999999</v>
      </c>
    </row>
    <row r="228" spans="1:6" ht="12.75">
      <c r="A228">
        <v>4</v>
      </c>
      <c r="B228" s="18" t="s">
        <v>126</v>
      </c>
      <c r="C228" s="22">
        <f t="shared" si="26"/>
        <v>-1.9199999999999995</v>
      </c>
      <c r="D228" s="22">
        <f t="shared" si="26"/>
        <v>-3.839999999999999</v>
      </c>
      <c r="E228" s="22">
        <f t="shared" si="26"/>
        <v>0</v>
      </c>
      <c r="F228" s="10">
        <f t="shared" si="27"/>
        <v>-5.759999999999998</v>
      </c>
    </row>
    <row r="229" spans="1:6" ht="12.75">
      <c r="A229">
        <v>5</v>
      </c>
      <c r="B229" s="18" t="s">
        <v>44</v>
      </c>
      <c r="C229" s="22">
        <f>(VLOOKUP($C$21,$B$81:$C$82,2,FALSE)-1)*C200</f>
        <v>-6.215039999999999</v>
      </c>
      <c r="D229" s="22">
        <f>(VLOOKUP($C$21,$B$81:$C$82,2,FALSE)-1)*D200</f>
        <v>-12.430079999999998</v>
      </c>
      <c r="E229" s="22">
        <f>(VLOOKUP($C$21,$B$81:$C$82,2,FALSE)-1)*E200</f>
        <v>-20.19888</v>
      </c>
      <c r="F229" s="10">
        <f t="shared" si="27"/>
        <v>-38.843999999999994</v>
      </c>
    </row>
    <row r="230" spans="1:6" ht="12.75">
      <c r="A230">
        <v>6</v>
      </c>
      <c r="B230" s="18" t="s">
        <v>49</v>
      </c>
      <c r="C230" s="22">
        <f>(VLOOKUP($C$21,$B$81:$C$82,2,FALSE)-1)*C208</f>
        <v>-7.2383999999999995</v>
      </c>
      <c r="D230" s="22">
        <f>(VLOOKUP($C$21,$B$81:$C$82,2,FALSE)-1)*D208</f>
        <v>-7.2383999999999995</v>
      </c>
      <c r="E230" s="22">
        <f>(VLOOKUP($C$21,$B$81:$C$82,2,FALSE)-1)*E208</f>
        <v>-7.2383999999999995</v>
      </c>
      <c r="F230" s="10">
        <f t="shared" si="27"/>
        <v>-21.7152</v>
      </c>
    </row>
    <row r="231" spans="1:6" ht="12.75">
      <c r="A231">
        <v>7</v>
      </c>
      <c r="B231" s="18" t="s">
        <v>22</v>
      </c>
      <c r="C231" s="22">
        <f>(VLOOKUP($C$21,$B$81:$C$82,2,FALSE)-1)*C220</f>
        <v>-10.6894944</v>
      </c>
      <c r="D231" s="22">
        <f>(VLOOKUP($C$21,$B$81:$C$82,2,FALSE)-1)*D220</f>
        <v>-27.585791999999998</v>
      </c>
      <c r="E231" s="22">
        <f>(VLOOKUP($C$21,$B$81:$C$82,2,FALSE)-1)*E220</f>
        <v>-13.792895999999999</v>
      </c>
      <c r="F231" s="10">
        <f t="shared" si="27"/>
        <v>-52.0681824</v>
      </c>
    </row>
    <row r="232" spans="1:6" ht="12.75">
      <c r="A232">
        <v>8</v>
      </c>
      <c r="B232" s="18" t="s">
        <v>50</v>
      </c>
      <c r="C232" s="22">
        <f>(VLOOKUP($C$21,$B$81:$C$82,2,FALSE)-1)*C192</f>
        <v>-3.839999999999999</v>
      </c>
      <c r="D232" s="22">
        <f>(VLOOKUP($C$21,$B$81:$C$82,2,FALSE)-1)*D192</f>
        <v>-3.839999999999999</v>
      </c>
      <c r="E232" s="22">
        <f>(VLOOKUP($C$21,$B$81:$C$82,2,FALSE)-1)*E192</f>
        <v>-1.9199999999999995</v>
      </c>
      <c r="F232" s="10">
        <f t="shared" si="27"/>
        <v>-9.599999999999998</v>
      </c>
    </row>
    <row r="233" spans="1:6" ht="12.75">
      <c r="A233" s="23">
        <v>1</v>
      </c>
      <c r="B233" s="24" t="s">
        <v>85</v>
      </c>
      <c r="C233" s="25">
        <f aca="true" t="shared" si="28" ref="C233:E236">C225+C185</f>
        <v>34.56</v>
      </c>
      <c r="D233" s="25">
        <f t="shared" si="28"/>
        <v>34.56</v>
      </c>
      <c r="E233" s="25">
        <f t="shared" si="28"/>
        <v>17.28</v>
      </c>
      <c r="F233" s="26">
        <f>SUM(C233:E233)</f>
        <v>86.4</v>
      </c>
    </row>
    <row r="234" spans="1:6" ht="12.75">
      <c r="A234" s="23">
        <v>2</v>
      </c>
      <c r="B234" s="24" t="s">
        <v>51</v>
      </c>
      <c r="C234" s="25">
        <f t="shared" si="28"/>
        <v>17.28</v>
      </c>
      <c r="D234" s="25">
        <f t="shared" si="28"/>
        <v>17.28</v>
      </c>
      <c r="E234" s="25">
        <f t="shared" si="28"/>
        <v>0</v>
      </c>
      <c r="F234" s="26">
        <f aca="true" t="shared" si="29" ref="F234:F240">SUM(C234:E234)</f>
        <v>34.56</v>
      </c>
    </row>
    <row r="235" spans="1:6" ht="12.75">
      <c r="A235" s="23">
        <v>3</v>
      </c>
      <c r="B235" s="24" t="s">
        <v>132</v>
      </c>
      <c r="C235" s="25">
        <f t="shared" si="28"/>
        <v>0</v>
      </c>
      <c r="D235" s="25">
        <f t="shared" si="28"/>
        <v>0</v>
      </c>
      <c r="E235" s="25">
        <f t="shared" si="28"/>
        <v>25.919999999999998</v>
      </c>
      <c r="F235" s="26">
        <f>SUM(C235:E235)</f>
        <v>25.919999999999998</v>
      </c>
    </row>
    <row r="236" spans="1:6" ht="12.75">
      <c r="A236" s="23">
        <v>4</v>
      </c>
      <c r="B236" s="24" t="s">
        <v>127</v>
      </c>
      <c r="C236" s="25">
        <f t="shared" si="28"/>
        <v>17.28</v>
      </c>
      <c r="D236" s="25">
        <f t="shared" si="28"/>
        <v>34.56</v>
      </c>
      <c r="E236" s="25">
        <f t="shared" si="28"/>
        <v>0</v>
      </c>
      <c r="F236" s="26">
        <f t="shared" si="29"/>
        <v>51.84</v>
      </c>
    </row>
    <row r="237" spans="1:6" ht="12.75">
      <c r="A237" s="23">
        <v>5</v>
      </c>
      <c r="B237" s="24" t="s">
        <v>45</v>
      </c>
      <c r="C237" s="25">
        <f>C229+C200</f>
        <v>55.93536</v>
      </c>
      <c r="D237" s="25">
        <f>D229+D200</f>
        <v>111.87072</v>
      </c>
      <c r="E237" s="25">
        <f>E229+E200</f>
        <v>181.78992000000002</v>
      </c>
      <c r="F237" s="26">
        <f t="shared" si="29"/>
        <v>349.596</v>
      </c>
    </row>
    <row r="238" spans="1:6" ht="12.75">
      <c r="A238" s="23">
        <v>6</v>
      </c>
      <c r="B238" s="24" t="s">
        <v>52</v>
      </c>
      <c r="C238" s="25">
        <f>C230+C208</f>
        <v>65.14560000000002</v>
      </c>
      <c r="D238" s="25">
        <f>D230+D208</f>
        <v>65.14560000000002</v>
      </c>
      <c r="E238" s="25">
        <f>E230+E208</f>
        <v>65.14560000000002</v>
      </c>
      <c r="F238" s="26">
        <f t="shared" si="29"/>
        <v>195.43680000000006</v>
      </c>
    </row>
    <row r="239" spans="1:6" ht="12.75">
      <c r="A239" s="23">
        <v>7</v>
      </c>
      <c r="B239" s="24" t="s">
        <v>23</v>
      </c>
      <c r="C239" s="25">
        <f>C231+C220</f>
        <v>96.20544960000001</v>
      </c>
      <c r="D239" s="25">
        <f>D231+D220</f>
        <v>248.27212800000004</v>
      </c>
      <c r="E239" s="25">
        <f>E231+E220</f>
        <v>124.13606400000002</v>
      </c>
      <c r="F239" s="26">
        <f t="shared" si="29"/>
        <v>468.61364160000005</v>
      </c>
    </row>
    <row r="240" spans="1:6" ht="12.75">
      <c r="A240" s="23">
        <v>8</v>
      </c>
      <c r="B240" s="24" t="s">
        <v>53</v>
      </c>
      <c r="C240" s="25">
        <f>C232+C146</f>
        <v>28.16</v>
      </c>
      <c r="D240" s="25">
        <f>D232+D146</f>
        <v>28.16</v>
      </c>
      <c r="E240" s="25">
        <f>E232+E146</f>
        <v>14.08</v>
      </c>
      <c r="F240" s="26">
        <f t="shared" si="29"/>
        <v>70.4</v>
      </c>
    </row>
    <row r="243" spans="1:5" ht="12.75">
      <c r="A243" s="5" t="s">
        <v>56</v>
      </c>
      <c r="C243" s="1"/>
      <c r="D243" s="1" t="s">
        <v>10</v>
      </c>
      <c r="E243" s="1"/>
    </row>
    <row r="244" spans="3:6" ht="12.75">
      <c r="C244" s="1" t="s">
        <v>1</v>
      </c>
      <c r="D244" s="1" t="s">
        <v>9</v>
      </c>
      <c r="E244" s="1" t="s">
        <v>2</v>
      </c>
      <c r="F244" s="8" t="s">
        <v>12</v>
      </c>
    </row>
    <row r="245" spans="1:6" ht="12.75">
      <c r="A245" t="s">
        <v>0</v>
      </c>
      <c r="C245" s="1" t="s">
        <v>11</v>
      </c>
      <c r="D245" s="1" t="s">
        <v>11</v>
      </c>
      <c r="E245" s="1" t="s">
        <v>11</v>
      </c>
      <c r="F245" s="8" t="s">
        <v>11</v>
      </c>
    </row>
    <row r="246" spans="1:6" ht="12.75">
      <c r="A246">
        <v>1</v>
      </c>
      <c r="B246" t="str">
        <f>$B27</f>
        <v>Develop workplan, analysis plan, and project management</v>
      </c>
      <c r="C246" s="9">
        <f aca="true" t="shared" si="30" ref="C246:E249">C233</f>
        <v>34.56</v>
      </c>
      <c r="D246" s="9">
        <f t="shared" si="30"/>
        <v>34.56</v>
      </c>
      <c r="E246" s="9">
        <f t="shared" si="30"/>
        <v>17.28</v>
      </c>
      <c r="F246" s="10">
        <f>SUM(C246:E246)</f>
        <v>86.4</v>
      </c>
    </row>
    <row r="247" spans="1:6" ht="12.75">
      <c r="A247">
        <v>2</v>
      </c>
      <c r="B247" t="str">
        <f aca="true" t="shared" si="31" ref="B247:B253">$B28</f>
        <v>Select analysis tool</v>
      </c>
      <c r="C247" s="9">
        <f t="shared" si="30"/>
        <v>17.28</v>
      </c>
      <c r="D247" s="9">
        <f t="shared" si="30"/>
        <v>17.28</v>
      </c>
      <c r="E247" s="9">
        <f t="shared" si="30"/>
        <v>0</v>
      </c>
      <c r="F247" s="10">
        <f aca="true" t="shared" si="32" ref="F247:F254">SUM(C247:E247)</f>
        <v>34.56</v>
      </c>
    </row>
    <row r="248" spans="1:6" ht="12.75">
      <c r="A248">
        <v>3</v>
      </c>
      <c r="B248" t="str">
        <f t="shared" si="31"/>
        <v>Develop data plan and process data</v>
      </c>
      <c r="C248" s="9">
        <f t="shared" si="30"/>
        <v>0</v>
      </c>
      <c r="D248" s="9">
        <f t="shared" si="30"/>
        <v>0</v>
      </c>
      <c r="E248" s="9">
        <f t="shared" si="30"/>
        <v>25.919999999999998</v>
      </c>
      <c r="F248" s="10">
        <f>SUM(C248:E248)</f>
        <v>25.919999999999998</v>
      </c>
    </row>
    <row r="249" spans="1:6" ht="12.75">
      <c r="A249">
        <v>4</v>
      </c>
      <c r="B249" t="str">
        <f t="shared" si="31"/>
        <v>Define clusters and representative days</v>
      </c>
      <c r="C249" s="9">
        <f t="shared" si="30"/>
        <v>17.28</v>
      </c>
      <c r="D249" s="9">
        <f t="shared" si="30"/>
        <v>34.56</v>
      </c>
      <c r="E249" s="9">
        <f t="shared" si="30"/>
        <v>0</v>
      </c>
      <c r="F249" s="10">
        <f t="shared" si="32"/>
        <v>51.84</v>
      </c>
    </row>
    <row r="250" spans="1:6" ht="12.75">
      <c r="A250">
        <v>5</v>
      </c>
      <c r="B250" t="str">
        <f t="shared" si="31"/>
        <v>Develop and calibrate baseline model(s)</v>
      </c>
      <c r="C250" s="9">
        <f aca="true" t="shared" si="33" ref="C250:E253">C237</f>
        <v>55.93536</v>
      </c>
      <c r="D250" s="9">
        <f t="shared" si="33"/>
        <v>111.87072</v>
      </c>
      <c r="E250" s="9">
        <f t="shared" si="33"/>
        <v>181.78992000000002</v>
      </c>
      <c r="F250" s="10">
        <f t="shared" si="32"/>
        <v>349.596</v>
      </c>
    </row>
    <row r="251" spans="1:6" ht="12.75">
      <c r="A251">
        <v>6</v>
      </c>
      <c r="B251" t="str">
        <f t="shared" si="31"/>
        <v>Develop future baseline model(s)</v>
      </c>
      <c r="C251" s="9">
        <f t="shared" si="33"/>
        <v>65.14560000000002</v>
      </c>
      <c r="D251" s="9">
        <f t="shared" si="33"/>
        <v>65.14560000000002</v>
      </c>
      <c r="E251" s="9">
        <f t="shared" si="33"/>
        <v>65.14560000000002</v>
      </c>
      <c r="F251" s="10">
        <f t="shared" si="32"/>
        <v>195.43680000000006</v>
      </c>
    </row>
    <row r="252" spans="1:6" ht="12.75">
      <c r="A252">
        <v>7</v>
      </c>
      <c r="B252" t="str">
        <f t="shared" si="31"/>
        <v>Analyze alternatives</v>
      </c>
      <c r="C252" s="9">
        <f t="shared" si="33"/>
        <v>96.20544960000001</v>
      </c>
      <c r="D252" s="9">
        <f t="shared" si="33"/>
        <v>248.27212800000004</v>
      </c>
      <c r="E252" s="9">
        <f t="shared" si="33"/>
        <v>124.13606400000002</v>
      </c>
      <c r="F252" s="10">
        <f t="shared" si="32"/>
        <v>468.61364160000005</v>
      </c>
    </row>
    <row r="253" spans="1:6" ht="12.75">
      <c r="A253">
        <v>8</v>
      </c>
      <c r="B253" t="str">
        <f t="shared" si="31"/>
        <v>Reports and presentations</v>
      </c>
      <c r="C253" s="9">
        <f t="shared" si="33"/>
        <v>28.16</v>
      </c>
      <c r="D253" s="9">
        <f t="shared" si="33"/>
        <v>28.16</v>
      </c>
      <c r="E253" s="9">
        <f t="shared" si="33"/>
        <v>14.08</v>
      </c>
      <c r="F253" s="10">
        <f t="shared" si="32"/>
        <v>70.4</v>
      </c>
    </row>
    <row r="254" spans="2:6" ht="12.75">
      <c r="B254" t="s">
        <v>3</v>
      </c>
      <c r="C254" s="10">
        <f>SUM(C246:C253)</f>
        <v>314.56640960000004</v>
      </c>
      <c r="D254" s="10">
        <f>SUM(D246:D253)</f>
        <v>539.8484480000001</v>
      </c>
      <c r="E254" s="10">
        <f>SUM(E246:E253)</f>
        <v>428.35158400000006</v>
      </c>
      <c r="F254" s="10">
        <f t="shared" si="32"/>
        <v>1282.7664416000002</v>
      </c>
    </row>
    <row r="256" spans="1:5" ht="12.75">
      <c r="A256" s="5" t="s">
        <v>63</v>
      </c>
      <c r="C256" s="1"/>
      <c r="D256" s="1" t="s">
        <v>10</v>
      </c>
      <c r="E256" s="1"/>
    </row>
    <row r="257" spans="3:8" ht="12.75">
      <c r="C257" s="1" t="s">
        <v>1</v>
      </c>
      <c r="D257" s="1" t="s">
        <v>9</v>
      </c>
      <c r="E257" s="1" t="s">
        <v>2</v>
      </c>
      <c r="F257" s="8" t="s">
        <v>12</v>
      </c>
      <c r="G257" s="8" t="s">
        <v>67</v>
      </c>
      <c r="H257" s="8" t="s">
        <v>69</v>
      </c>
    </row>
    <row r="258" spans="1:8" ht="12.75">
      <c r="A258" t="s">
        <v>0</v>
      </c>
      <c r="C258" s="1" t="s">
        <v>11</v>
      </c>
      <c r="D258" s="1" t="s">
        <v>11</v>
      </c>
      <c r="E258" s="1" t="s">
        <v>11</v>
      </c>
      <c r="F258" s="8" t="s">
        <v>11</v>
      </c>
      <c r="G258" s="8" t="s">
        <v>68</v>
      </c>
      <c r="H258" s="8" t="s">
        <v>68</v>
      </c>
    </row>
    <row r="259" spans="1:8" ht="12.75">
      <c r="A259">
        <v>1</v>
      </c>
      <c r="B259" t="str">
        <f>$B40</f>
        <v>Develop workplan, analysis plan, and project management</v>
      </c>
      <c r="C259" s="9">
        <f aca="true" t="shared" si="34" ref="C259:E266">ROUND(C246,-1)</f>
        <v>30</v>
      </c>
      <c r="D259" s="9">
        <f t="shared" si="34"/>
        <v>30</v>
      </c>
      <c r="E259" s="9">
        <f t="shared" si="34"/>
        <v>20</v>
      </c>
      <c r="F259" s="10">
        <f>SUM(C259:E259)</f>
        <v>80</v>
      </c>
      <c r="G259" s="10">
        <f aca="true" t="shared" si="35" ref="G259:G266">ROUND(F259*(1-$C$103),-1)</f>
        <v>70</v>
      </c>
      <c r="H259" s="10">
        <f>ROUND(F259*(1+$C$103),-1)</f>
        <v>90</v>
      </c>
    </row>
    <row r="260" spans="1:8" ht="12.75">
      <c r="A260">
        <v>2</v>
      </c>
      <c r="B260" t="str">
        <f aca="true" t="shared" si="36" ref="B260:B266">$B41</f>
        <v>Select analysis tool</v>
      </c>
      <c r="C260" s="9">
        <f t="shared" si="34"/>
        <v>20</v>
      </c>
      <c r="D260" s="9">
        <f t="shared" si="34"/>
        <v>20</v>
      </c>
      <c r="E260" s="9">
        <f t="shared" si="34"/>
        <v>0</v>
      </c>
      <c r="F260" s="10">
        <f aca="true" t="shared" si="37" ref="F260:F266">SUM(C260:E260)</f>
        <v>40</v>
      </c>
      <c r="G260" s="10">
        <f t="shared" si="35"/>
        <v>40</v>
      </c>
      <c r="H260" s="10">
        <f>ROUND(F260*(1+$C$103),-1)</f>
        <v>40</v>
      </c>
    </row>
    <row r="261" spans="1:8" ht="12.75">
      <c r="A261">
        <v>3</v>
      </c>
      <c r="B261" t="str">
        <f t="shared" si="36"/>
        <v>Develop data plan and process data</v>
      </c>
      <c r="C261" s="9">
        <f t="shared" si="34"/>
        <v>0</v>
      </c>
      <c r="D261" s="9">
        <f t="shared" si="34"/>
        <v>0</v>
      </c>
      <c r="E261" s="9">
        <f t="shared" si="34"/>
        <v>30</v>
      </c>
      <c r="F261" s="10">
        <f>SUM(C261:E261)</f>
        <v>30</v>
      </c>
      <c r="G261" s="10">
        <f>ROUND(F261*(1-$C$103),-1)</f>
        <v>30</v>
      </c>
      <c r="H261" s="10">
        <f>ROUND(F261*(1+$C$103),-1)</f>
        <v>30</v>
      </c>
    </row>
    <row r="262" spans="1:8" ht="12.75">
      <c r="A262">
        <v>4</v>
      </c>
      <c r="B262" t="str">
        <f t="shared" si="36"/>
        <v>Define clusters and representative days</v>
      </c>
      <c r="C262" s="9">
        <f t="shared" si="34"/>
        <v>20</v>
      </c>
      <c r="D262" s="9">
        <f t="shared" si="34"/>
        <v>30</v>
      </c>
      <c r="E262" s="9">
        <f t="shared" si="34"/>
        <v>0</v>
      </c>
      <c r="F262" s="10">
        <f>SUM(C262:E262)</f>
        <v>50</v>
      </c>
      <c r="G262" s="10">
        <f>ROUND(F262*(1-$C$103),-1)</f>
        <v>50</v>
      </c>
      <c r="H262" s="10">
        <f>ROUND(F262*(1+$C$103),-1)</f>
        <v>60</v>
      </c>
    </row>
    <row r="263" spans="1:8" ht="12.75">
      <c r="A263">
        <v>5</v>
      </c>
      <c r="B263" t="str">
        <f t="shared" si="36"/>
        <v>Develop and calibrate baseline model(s)</v>
      </c>
      <c r="C263" s="9">
        <f t="shared" si="34"/>
        <v>60</v>
      </c>
      <c r="D263" s="9">
        <f t="shared" si="34"/>
        <v>110</v>
      </c>
      <c r="E263" s="9">
        <f t="shared" si="34"/>
        <v>180</v>
      </c>
      <c r="F263" s="10">
        <f t="shared" si="37"/>
        <v>350</v>
      </c>
      <c r="G263" s="10">
        <f t="shared" si="35"/>
        <v>320</v>
      </c>
      <c r="H263" s="10">
        <f>ROUND(F263*(1+$C$104),-1)</f>
        <v>460</v>
      </c>
    </row>
    <row r="264" spans="1:8" ht="12.75">
      <c r="A264">
        <v>6</v>
      </c>
      <c r="B264" t="str">
        <f t="shared" si="36"/>
        <v>Develop future baseline model(s)</v>
      </c>
      <c r="C264" s="9">
        <f t="shared" si="34"/>
        <v>70</v>
      </c>
      <c r="D264" s="9">
        <f t="shared" si="34"/>
        <v>70</v>
      </c>
      <c r="E264" s="9">
        <f t="shared" si="34"/>
        <v>70</v>
      </c>
      <c r="F264" s="10">
        <f t="shared" si="37"/>
        <v>210</v>
      </c>
      <c r="G264" s="10">
        <f t="shared" si="35"/>
        <v>190</v>
      </c>
      <c r="H264" s="10">
        <f>ROUND(F264*(1+$C$103),-1)</f>
        <v>230</v>
      </c>
    </row>
    <row r="265" spans="1:8" ht="12.75">
      <c r="A265">
        <v>7</v>
      </c>
      <c r="B265" t="str">
        <f t="shared" si="36"/>
        <v>Analyze alternatives</v>
      </c>
      <c r="C265" s="9">
        <f t="shared" si="34"/>
        <v>100</v>
      </c>
      <c r="D265" s="9">
        <f t="shared" si="34"/>
        <v>250</v>
      </c>
      <c r="E265" s="9">
        <f t="shared" si="34"/>
        <v>120</v>
      </c>
      <c r="F265" s="10">
        <f t="shared" si="37"/>
        <v>470</v>
      </c>
      <c r="G265" s="10">
        <f t="shared" si="35"/>
        <v>420</v>
      </c>
      <c r="H265" s="10">
        <f>ROUND(F265*(1+$C$103),-1)</f>
        <v>520</v>
      </c>
    </row>
    <row r="266" spans="1:8" ht="12.75">
      <c r="A266">
        <v>8</v>
      </c>
      <c r="B266" t="str">
        <f t="shared" si="36"/>
        <v>Reports and presentations</v>
      </c>
      <c r="C266" s="9">
        <f t="shared" si="34"/>
        <v>30</v>
      </c>
      <c r="D266" s="9">
        <f t="shared" si="34"/>
        <v>30</v>
      </c>
      <c r="E266" s="9">
        <f t="shared" si="34"/>
        <v>10</v>
      </c>
      <c r="F266" s="10">
        <f t="shared" si="37"/>
        <v>70</v>
      </c>
      <c r="G266" s="10">
        <f t="shared" si="35"/>
        <v>60</v>
      </c>
      <c r="H266" s="10">
        <f>ROUND(F266*(1+$C$103),-1)</f>
        <v>80</v>
      </c>
    </row>
    <row r="267" spans="2:8" ht="12.75">
      <c r="B267" t="s">
        <v>3</v>
      </c>
      <c r="C267" s="10">
        <f aca="true" t="shared" si="38" ref="C267:H267">SUM(C259:C266)</f>
        <v>330</v>
      </c>
      <c r="D267" s="10">
        <f t="shared" si="38"/>
        <v>540</v>
      </c>
      <c r="E267" s="10">
        <f t="shared" si="38"/>
        <v>430</v>
      </c>
      <c r="F267" s="10">
        <f t="shared" si="38"/>
        <v>1300</v>
      </c>
      <c r="G267" s="10">
        <f t="shared" si="38"/>
        <v>1180</v>
      </c>
      <c r="H267" s="10">
        <f t="shared" si="38"/>
        <v>1510</v>
      </c>
    </row>
  </sheetData>
  <sheetProtection/>
  <protectedRanges>
    <protectedRange sqref="C71:C72" name="Range6"/>
    <protectedRange sqref="C65:C66" name="Range5"/>
    <protectedRange sqref="C59:C61" name="Range4"/>
    <protectedRange sqref="C52:C55" name="Range3"/>
    <protectedRange sqref="C40:E47" name="Range2"/>
    <protectedRange sqref="C27:E34" name="Range1"/>
    <protectedRange sqref="C76:C77" name="Range7"/>
    <protectedRange sqref="C81:C82" name="Range8"/>
    <protectedRange sqref="C88:T93" name="Range9"/>
    <protectedRange sqref="C103:C104" name="Range10"/>
  </protectedRanges>
  <mergeCells count="3">
    <mergeCell ref="J84:K84"/>
    <mergeCell ref="B88:B93"/>
    <mergeCell ref="M84:N84"/>
  </mergeCells>
  <printOptions/>
  <pageMargins left="0.75" right="0.75" top="1" bottom="1" header="0.5" footer="0.5"/>
  <pageSetup fitToHeight="2" horizontalDpi="300" verticalDpi="300" orientation="portrait" scale="75" r:id="rId1"/>
  <headerFooter alignWithMargins="0">
    <oddFooter>&amp;R&amp;D</oddFooter>
  </headerFooter>
  <rowBreaks count="1" manualBreakCount="1">
    <brk id="121" max="255" man="1"/>
  </rowBreaks>
  <ignoredErrors>
    <ignoredError sqref="H2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9"/>
  <sheetViews>
    <sheetView tabSelected="1" zoomScale="130" zoomScaleNormal="130" workbookViewId="0" topLeftCell="A1">
      <selection activeCell="A16" sqref="A16:IV16"/>
    </sheetView>
  </sheetViews>
  <sheetFormatPr defaultColWidth="9.140625" defaultRowHeight="12.75"/>
  <cols>
    <col min="1" max="1" width="5.140625" style="0" customWidth="1"/>
    <col min="2" max="2" width="52.140625" style="0" bestFit="1" customWidth="1"/>
    <col min="3" max="6" width="9.8515625" style="0" customWidth="1"/>
    <col min="8" max="8" width="10.28125" style="0" bestFit="1" customWidth="1"/>
  </cols>
  <sheetData>
    <row r="1" spans="1:6" ht="15">
      <c r="A1" s="17"/>
      <c r="B1" s="19" t="str">
        <f>Input!B1</f>
        <v>Transportation Analysis Project Costing Tool</v>
      </c>
      <c r="F1" s="34"/>
    </row>
    <row r="3" s="18" customFormat="1" ht="12.75">
      <c r="A3" s="2" t="s">
        <v>24</v>
      </c>
    </row>
    <row r="4" ht="12.75">
      <c r="A4" s="2" t="s">
        <v>90</v>
      </c>
    </row>
    <row r="5" ht="13.5">
      <c r="B5" s="17" t="str">
        <f>Study_Area</f>
        <v>I-4 Test</v>
      </c>
    </row>
    <row r="6" spans="3:5" ht="12.75">
      <c r="C6" s="1"/>
      <c r="D6" s="1" t="s">
        <v>10</v>
      </c>
      <c r="E6" s="1"/>
    </row>
    <row r="7" spans="3:8" ht="12.75">
      <c r="C7" s="1" t="s">
        <v>1</v>
      </c>
      <c r="D7" s="1" t="s">
        <v>9</v>
      </c>
      <c r="E7" s="1" t="s">
        <v>2</v>
      </c>
      <c r="F7" s="8" t="s">
        <v>12</v>
      </c>
      <c r="G7" s="31" t="s">
        <v>67</v>
      </c>
      <c r="H7" s="32" t="s">
        <v>69</v>
      </c>
    </row>
    <row r="8" spans="2:8" ht="12.75">
      <c r="B8" t="s">
        <v>0</v>
      </c>
      <c r="C8" s="1" t="s">
        <v>11</v>
      </c>
      <c r="D8" s="1" t="s">
        <v>11</v>
      </c>
      <c r="E8" s="1" t="s">
        <v>11</v>
      </c>
      <c r="F8" s="8" t="s">
        <v>11</v>
      </c>
      <c r="G8" s="31" t="s">
        <v>68</v>
      </c>
      <c r="H8" s="32" t="s">
        <v>68</v>
      </c>
    </row>
    <row r="9" spans="1:8" ht="12.75">
      <c r="A9">
        <v>1</v>
      </c>
      <c r="B9" t="str">
        <f>Calculations!B259</f>
        <v>Develop workplan, analysis plan, and project management</v>
      </c>
      <c r="C9" s="12">
        <f>Calculations!C259</f>
        <v>30</v>
      </c>
      <c r="D9" s="12">
        <f>Calculations!D259</f>
        <v>30</v>
      </c>
      <c r="E9" s="12">
        <f>Calculations!E259</f>
        <v>20</v>
      </c>
      <c r="F9" s="13">
        <f>SUM(C9:E9)</f>
        <v>80</v>
      </c>
      <c r="G9" s="26">
        <f>Calculations!G259</f>
        <v>70</v>
      </c>
      <c r="H9" s="33">
        <f>Calculations!H259</f>
        <v>90</v>
      </c>
    </row>
    <row r="10" spans="1:8" ht="12.75">
      <c r="A10">
        <v>2</v>
      </c>
      <c r="B10" t="str">
        <f>Calculations!B260</f>
        <v>Select analysis tool</v>
      </c>
      <c r="C10" s="12">
        <f>Calculations!C260</f>
        <v>20</v>
      </c>
      <c r="D10" s="12">
        <f>Calculations!D260</f>
        <v>20</v>
      </c>
      <c r="E10" s="12">
        <f>Calculations!E260</f>
        <v>0</v>
      </c>
      <c r="F10" s="13">
        <f aca="true" t="shared" si="0" ref="F10:F16">SUM(C10:E10)</f>
        <v>40</v>
      </c>
      <c r="G10" s="26">
        <f>Calculations!G260</f>
        <v>40</v>
      </c>
      <c r="H10" s="33">
        <f>Calculations!H260</f>
        <v>40</v>
      </c>
    </row>
    <row r="11" spans="1:8" ht="12.75">
      <c r="A11">
        <v>3</v>
      </c>
      <c r="B11" t="str">
        <f>Calculations!B261</f>
        <v>Develop data plan and process data</v>
      </c>
      <c r="C11" s="12">
        <f>Calculations!C261</f>
        <v>0</v>
      </c>
      <c r="D11" s="12">
        <f>Calculations!D261</f>
        <v>0</v>
      </c>
      <c r="E11" s="12">
        <f>Calculations!E261</f>
        <v>30</v>
      </c>
      <c r="F11" s="13">
        <f>SUM(C11:E11)</f>
        <v>30</v>
      </c>
      <c r="G11" s="26">
        <f>Calculations!G261</f>
        <v>30</v>
      </c>
      <c r="H11" s="33">
        <f>Calculations!H261</f>
        <v>30</v>
      </c>
    </row>
    <row r="12" spans="1:8" ht="12.75">
      <c r="A12">
        <v>4</v>
      </c>
      <c r="B12" t="str">
        <f>Calculations!B262</f>
        <v>Define clusters and representative days</v>
      </c>
      <c r="C12" s="12">
        <f>Calculations!C262</f>
        <v>20</v>
      </c>
      <c r="D12" s="12">
        <f>Calculations!D262</f>
        <v>30</v>
      </c>
      <c r="E12" s="12">
        <f>Calculations!E262</f>
        <v>0</v>
      </c>
      <c r="F12" s="13">
        <f>SUM(C12:E12)</f>
        <v>50</v>
      </c>
      <c r="G12" s="26">
        <f>Calculations!G262</f>
        <v>50</v>
      </c>
      <c r="H12" s="33">
        <f>Calculations!H262</f>
        <v>60</v>
      </c>
    </row>
    <row r="13" spans="1:8" ht="12.75">
      <c r="A13">
        <v>5</v>
      </c>
      <c r="B13" t="str">
        <f>Calculations!B263</f>
        <v>Develop and calibrate baseline model(s)</v>
      </c>
      <c r="C13" s="12">
        <f>Calculations!C263</f>
        <v>60</v>
      </c>
      <c r="D13" s="12">
        <f>Calculations!D263</f>
        <v>110</v>
      </c>
      <c r="E13" s="12">
        <f>Calculations!E263</f>
        <v>180</v>
      </c>
      <c r="F13" s="13">
        <f t="shared" si="0"/>
        <v>350</v>
      </c>
      <c r="G13" s="26">
        <f>Calculations!G263</f>
        <v>320</v>
      </c>
      <c r="H13" s="33">
        <f>Calculations!H263</f>
        <v>460</v>
      </c>
    </row>
    <row r="14" spans="1:8" ht="12.75">
      <c r="A14">
        <v>6</v>
      </c>
      <c r="B14" t="str">
        <f>Calculations!B264</f>
        <v>Develop future baseline model(s)</v>
      </c>
      <c r="C14" s="12">
        <f>Calculations!C264</f>
        <v>70</v>
      </c>
      <c r="D14" s="12">
        <f>Calculations!D264</f>
        <v>70</v>
      </c>
      <c r="E14" s="12">
        <f>Calculations!E264</f>
        <v>70</v>
      </c>
      <c r="F14" s="13">
        <f t="shared" si="0"/>
        <v>210</v>
      </c>
      <c r="G14" s="26">
        <f>Calculations!G264</f>
        <v>190</v>
      </c>
      <c r="H14" s="33">
        <f>Calculations!H264</f>
        <v>230</v>
      </c>
    </row>
    <row r="15" spans="1:8" ht="12.75">
      <c r="A15">
        <v>7</v>
      </c>
      <c r="B15" t="str">
        <f>Calculations!B265</f>
        <v>Analyze alternatives</v>
      </c>
      <c r="C15" s="12">
        <f>Calculations!C265</f>
        <v>100</v>
      </c>
      <c r="D15" s="12">
        <f>Calculations!D265</f>
        <v>250</v>
      </c>
      <c r="E15" s="12">
        <f>Calculations!E265</f>
        <v>120</v>
      </c>
      <c r="F15" s="13">
        <f t="shared" si="0"/>
        <v>470</v>
      </c>
      <c r="G15" s="26">
        <f>Calculations!G265</f>
        <v>420</v>
      </c>
      <c r="H15" s="33">
        <f>Calculations!H265</f>
        <v>520</v>
      </c>
    </row>
    <row r="16" spans="1:8" ht="12.75">
      <c r="A16">
        <v>8</v>
      </c>
      <c r="B16" t="str">
        <f>Calculations!B266</f>
        <v>Reports and presentations</v>
      </c>
      <c r="C16" s="12">
        <f>Calculations!C266</f>
        <v>30</v>
      </c>
      <c r="D16" s="12">
        <f>Calculations!D266</f>
        <v>30</v>
      </c>
      <c r="E16" s="12">
        <f>Calculations!E266</f>
        <v>10</v>
      </c>
      <c r="F16" s="13">
        <f t="shared" si="0"/>
        <v>70</v>
      </c>
      <c r="G16" s="26">
        <f>Calculations!G266</f>
        <v>60</v>
      </c>
      <c r="H16" s="33">
        <f>Calculations!H266</f>
        <v>80</v>
      </c>
    </row>
    <row r="17" spans="2:8" ht="12.75">
      <c r="B17" t="s">
        <v>3</v>
      </c>
      <c r="C17" s="13">
        <f aca="true" t="shared" si="1" ref="C17:H17">SUM(C9:C16)</f>
        <v>330</v>
      </c>
      <c r="D17" s="13">
        <f t="shared" si="1"/>
        <v>540</v>
      </c>
      <c r="E17" s="13">
        <f t="shared" si="1"/>
        <v>430</v>
      </c>
      <c r="F17" s="13">
        <f t="shared" si="1"/>
        <v>1300</v>
      </c>
      <c r="G17" s="26">
        <f t="shared" si="1"/>
        <v>1180</v>
      </c>
      <c r="H17" s="33">
        <f t="shared" si="1"/>
        <v>1510</v>
      </c>
    </row>
    <row r="19" ht="12.75">
      <c r="A19" s="18"/>
    </row>
  </sheetData>
  <sheetProtection/>
  <printOptions/>
  <pageMargins left="0.7" right="0.7" top="0.75" bottom="0.75" header="0.3" footer="0.3"/>
  <pageSetup horizontalDpi="300" verticalDpi="3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Systematics,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 Alexiadis;Aldo Tudela Rivadeneyra</dc:creator>
  <cp:keywords/>
  <dc:description/>
  <cp:lastModifiedBy>Praveen Pasumarthy</cp:lastModifiedBy>
  <cp:lastPrinted>2015-07-21T00:25:17Z</cp:lastPrinted>
  <dcterms:created xsi:type="dcterms:W3CDTF">2004-01-30T17:58:20Z</dcterms:created>
  <dcterms:modified xsi:type="dcterms:W3CDTF">2021-04-21T17:50:02Z</dcterms:modified>
  <cp:category/>
  <cp:version/>
  <cp:contentType/>
  <cp:contentStatus/>
</cp:coreProperties>
</file>