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rd960rs\Desktop\"/>
    </mc:Choice>
  </mc:AlternateContent>
  <workbookProtection lockStructure="1"/>
  <bookViews>
    <workbookView xWindow="0" yWindow="0" windowWidth="28800" windowHeight="11232" tabRatio="776" xr2:uid="{00000000-000D-0000-FFFF-FFFF00000000}"/>
  </bookViews>
  <sheets>
    <sheet name="Roadside Hazard" sheetId="1" r:id="rId1"/>
    <sheet name="Bridge Approach with C.C." sheetId="5" r:id="rId2"/>
    <sheet name="Bridge Approach with Terminal" sheetId="6" r:id="rId3"/>
    <sheet name="Rigid Barrier Approach" sheetId="10" r:id="rId4"/>
    <sheet name="RDG Data" sheetId="3" r:id="rId5"/>
    <sheet name="Policy" sheetId="8" r:id="rId6"/>
    <sheet name="Version History" sheetId="9" r:id="rId7"/>
  </sheets>
  <definedNames>
    <definedName name="col">'RDG Data'!$B$3:$E$3</definedName>
    <definedName name="data" localSheetId="1">'Bridge Approach with C.C.'!#REF!</definedName>
    <definedName name="data" localSheetId="2">'Bridge Approach with Terminal'!#REF!</definedName>
    <definedName name="data" localSheetId="5">Policy!#REF!</definedName>
    <definedName name="data" localSheetId="3">'Rigid Barrier Approach'!#REF!</definedName>
    <definedName name="data" localSheetId="6">'Version History'!#REF!</definedName>
    <definedName name="data">'Roadside Hazard'!#REF!</definedName>
    <definedName name="data2" localSheetId="1">'Bridge Approach with C.C.'!#REF!</definedName>
    <definedName name="data2" localSheetId="2">'Bridge Approach with Terminal'!#REF!</definedName>
    <definedName name="data2" localSheetId="5">Policy!#REF!</definedName>
    <definedName name="data2" localSheetId="3">'Rigid Barrier Approach'!#REF!</definedName>
    <definedName name="data2" localSheetId="6">'Version History'!#REF!</definedName>
    <definedName name="data2">'Roadside Hazard'!#REF!</definedName>
    <definedName name="data3" localSheetId="1">'Bridge Approach with C.C.'!#REF!</definedName>
    <definedName name="data3" localSheetId="2">'Bridge Approach with Terminal'!#REF!</definedName>
    <definedName name="data3" localSheetId="5">Policy!#REF!</definedName>
    <definedName name="data3" localSheetId="3">'Rigid Barrier Approach'!#REF!</definedName>
    <definedName name="data3" localSheetId="6">'Version History'!#REF!</definedName>
    <definedName name="data3">'Roadside Hazard'!#REF!</definedName>
    <definedName name="left" localSheetId="1">'Bridge Approach with C.C.'!#REF!</definedName>
    <definedName name="left" localSheetId="2">'Bridge Approach with Terminal'!#REF!</definedName>
    <definedName name="left" localSheetId="5">Policy!#REF!</definedName>
    <definedName name="left" localSheetId="3">'Rigid Barrier Approach'!#REF!</definedName>
    <definedName name="left" localSheetId="6">'Version History'!#REF!</definedName>
    <definedName name="left">'Roadside Hazard'!#REF!</definedName>
    <definedName name="row">'RDG Data'!$A$4:$A$14</definedName>
    <definedName name="Type" localSheetId="1">'Bridge Approach with C.C.'!$D$32:$D$32</definedName>
    <definedName name="Type" localSheetId="2">'Bridge Approach with Terminal'!$D$33:$D$33</definedName>
    <definedName name="Type" localSheetId="5">Policy!#REF!</definedName>
    <definedName name="Type" localSheetId="3">'Rigid Barrier Approach'!$D$31:$D$39</definedName>
    <definedName name="Type" localSheetId="6">'Version History'!#REF!</definedName>
    <definedName name="Type">'Roadside Hazard'!$D$28:$D$31</definedName>
    <definedName name="value">'RDG Data'!$B$4:$E$14</definedName>
    <definedName name="values">'RDG Data'!$B$4:$D$14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B35" i="10" l="1"/>
  <c r="B40" i="10" s="1"/>
  <c r="B51" i="10"/>
  <c r="C52" i="10"/>
  <c r="B45" i="10"/>
  <c r="C50" i="10" s="1"/>
  <c r="B34" i="10"/>
  <c r="B41" i="10" l="1"/>
  <c r="B67" i="1" l="1"/>
  <c r="B32" i="1"/>
  <c r="B49" i="6" l="1"/>
  <c r="B47" i="6"/>
  <c r="B48" i="5" l="1"/>
  <c r="B46" i="5"/>
  <c r="C81" i="1"/>
  <c r="B44" i="6" l="1"/>
  <c r="B24" i="5" l="1"/>
  <c r="B27" i="5" l="1"/>
  <c r="B46" i="6" l="1"/>
  <c r="B38" i="6"/>
  <c r="B27" i="6"/>
  <c r="B48" i="6" l="1"/>
  <c r="B32" i="6"/>
  <c r="B33" i="6" s="1"/>
  <c r="B45" i="5"/>
  <c r="B37" i="5"/>
  <c r="B47" i="5"/>
  <c r="B28" i="5"/>
  <c r="B31" i="5" s="1"/>
  <c r="B43" i="5"/>
  <c r="B32" i="5" s="1"/>
  <c r="B80" i="1"/>
  <c r="B34" i="5" l="1"/>
  <c r="B33" i="5"/>
  <c r="B35" i="6"/>
  <c r="B34" i="6"/>
  <c r="E13" i="3"/>
  <c r="D13" i="3"/>
  <c r="C13" i="3"/>
  <c r="B13" i="3"/>
  <c r="E11" i="3"/>
  <c r="D11" i="3"/>
  <c r="C11" i="3"/>
  <c r="B11" i="3"/>
  <c r="E9" i="3"/>
  <c r="B42" i="10" s="1"/>
  <c r="B43" i="10" s="1"/>
  <c r="D9" i="3"/>
  <c r="C9" i="3"/>
  <c r="B9" i="3"/>
  <c r="E7" i="3"/>
  <c r="D7" i="3"/>
  <c r="C7" i="3"/>
  <c r="B7" i="3"/>
  <c r="E5" i="3"/>
  <c r="D5" i="3"/>
  <c r="C5" i="3"/>
  <c r="B5" i="3"/>
  <c r="B36" i="10" l="1"/>
  <c r="B37" i="10" s="1"/>
  <c r="B38" i="10" s="1"/>
  <c r="C51" i="10" s="1"/>
  <c r="B44" i="10"/>
  <c r="B46" i="10" s="1"/>
  <c r="B36" i="6"/>
  <c r="B37" i="6" s="1"/>
  <c r="B39" i="6" s="1"/>
  <c r="B41" i="6" s="1"/>
  <c r="B45" i="6" s="1"/>
  <c r="B52" i="6" s="1"/>
  <c r="B35" i="5"/>
  <c r="B36" i="5" s="1"/>
  <c r="B68" i="1"/>
  <c r="B50" i="6" l="1"/>
  <c r="B40" i="6"/>
  <c r="B43" i="6" s="1"/>
  <c r="B38" i="5"/>
  <c r="B40" i="5" s="1"/>
  <c r="B39" i="5"/>
  <c r="B42" i="5" s="1"/>
  <c r="B69" i="1"/>
  <c r="B53" i="6" l="1"/>
  <c r="B51" i="6"/>
  <c r="B52" i="5"/>
  <c r="B50" i="5"/>
  <c r="B82" i="1"/>
  <c r="C82" i="1"/>
  <c r="C83" i="1" s="1"/>
  <c r="B44" i="5"/>
  <c r="B51" i="5" s="1"/>
  <c r="B49" i="5"/>
  <c r="B70" i="1"/>
  <c r="B71" i="1" s="1"/>
  <c r="B72" i="1" l="1"/>
  <c r="B84" i="1" s="1"/>
  <c r="B33" i="1"/>
  <c r="B34" i="1" s="1"/>
  <c r="B35" i="1" l="1"/>
  <c r="B74" i="1" s="1"/>
  <c r="B75" i="1" s="1"/>
  <c r="B76" i="1" s="1"/>
  <c r="C80" i="1" s="1"/>
  <c r="C84" i="1" l="1"/>
  <c r="B77" i="1" l="1"/>
  <c r="C85" i="1"/>
</calcChain>
</file>

<file path=xl/sharedStrings.xml><?xml version="1.0" encoding="utf-8"?>
<sst xmlns="http://schemas.openxmlformats.org/spreadsheetml/2006/main" count="265" uniqueCount="155">
  <si>
    <t>Design Speed (MPH)</t>
  </si>
  <si>
    <t>Input:</t>
  </si>
  <si>
    <t>Output:</t>
  </si>
  <si>
    <t>Design Speed
(MPH)</t>
  </si>
  <si>
    <r>
      <t>Runout Lengths, L</t>
    </r>
    <r>
      <rPr>
        <b/>
        <i/>
        <vertAlign val="subscript"/>
        <sz val="14"/>
        <color theme="1"/>
        <rFont val="Calibri"/>
        <family val="2"/>
        <scheme val="minor"/>
      </rPr>
      <t>R</t>
    </r>
    <r>
      <rPr>
        <b/>
        <i/>
        <sz val="14"/>
        <color theme="1"/>
        <rFont val="Calibri"/>
        <family val="2"/>
        <scheme val="minor"/>
      </rPr>
      <t xml:space="preserve"> (Ft.):</t>
    </r>
  </si>
  <si>
    <t>ADT (VPD Threshold)</t>
  </si>
  <si>
    <r>
      <t>Runout Length, L</t>
    </r>
    <r>
      <rPr>
        <b/>
        <vertAlign val="subscript"/>
        <sz val="11"/>
        <color theme="1"/>
        <rFont val="Calibri"/>
        <family val="2"/>
        <scheme val="minor"/>
      </rPr>
      <t>R</t>
    </r>
    <r>
      <rPr>
        <b/>
        <sz val="11"/>
        <color theme="1"/>
        <rFont val="Calibri"/>
        <family val="2"/>
        <scheme val="minor"/>
      </rPr>
      <t xml:space="preserve"> (Ft.)</t>
    </r>
  </si>
  <si>
    <r>
      <t>Lateral Area Concern, L</t>
    </r>
    <r>
      <rPr>
        <b/>
        <vertAlign val="subscript"/>
        <sz val="11"/>
        <color theme="1"/>
        <rFont val="Calibri"/>
        <family val="2"/>
        <scheme val="minor"/>
      </rPr>
      <t xml:space="preserve">A </t>
    </r>
    <r>
      <rPr>
        <b/>
        <sz val="11"/>
        <color theme="1"/>
        <rFont val="Calibri"/>
        <family val="2"/>
        <scheme val="minor"/>
      </rPr>
      <t>(Ft.)</t>
    </r>
  </si>
  <si>
    <t>End Treatment Offset, Y (Ft.)</t>
  </si>
  <si>
    <t>Length of Need, X (Ft.)</t>
  </si>
  <si>
    <r>
      <t>Lateral Offset of Guardrail, L</t>
    </r>
    <r>
      <rPr>
        <b/>
        <vertAlign val="subscript"/>
        <sz val="11"/>
        <color theme="1"/>
        <rFont val="Calibri"/>
        <family val="2"/>
        <scheme val="minor"/>
      </rPr>
      <t xml:space="preserve">O </t>
    </r>
    <r>
      <rPr>
        <b/>
        <sz val="11"/>
        <color theme="1"/>
        <rFont val="Calibri"/>
        <family val="2"/>
        <scheme val="minor"/>
      </rPr>
      <t>(Ft.)</t>
    </r>
  </si>
  <si>
    <t>Northbound</t>
  </si>
  <si>
    <t>Eastbound</t>
  </si>
  <si>
    <t>Westbound</t>
  </si>
  <si>
    <t>Southbound</t>
  </si>
  <si>
    <t>Direction of Near Lane Traffic</t>
  </si>
  <si>
    <t>Comment:</t>
  </si>
  <si>
    <t>enter as total feet (do not input a plus sign)</t>
  </si>
  <si>
    <t>Approach Face of Hazard Station</t>
  </si>
  <si>
    <t>Approach Face of Hazard Station (Far Lane)</t>
  </si>
  <si>
    <t>Yes</t>
  </si>
  <si>
    <t>No</t>
  </si>
  <si>
    <r>
      <t>Length of Hazard, L</t>
    </r>
    <r>
      <rPr>
        <b/>
        <vertAlign val="subscript"/>
        <sz val="11"/>
        <color theme="1"/>
        <rFont val="Calibri"/>
        <family val="2"/>
        <scheme val="minor"/>
      </rPr>
      <t>H</t>
    </r>
    <r>
      <rPr>
        <b/>
        <sz val="11"/>
        <color theme="1"/>
        <rFont val="Calibri"/>
        <family val="2"/>
        <scheme val="minor"/>
      </rPr>
      <t xml:space="preserve"> (Ft.)</t>
    </r>
  </si>
  <si>
    <t>for relative stationing calculations</t>
  </si>
  <si>
    <t>Direction of Far Lane Traffic</t>
  </si>
  <si>
    <r>
      <t>Lateral Area Concern, L</t>
    </r>
    <r>
      <rPr>
        <b/>
        <vertAlign val="subscript"/>
        <sz val="11"/>
        <color theme="1"/>
        <rFont val="Calibri"/>
        <family val="2"/>
        <scheme val="minor"/>
      </rPr>
      <t>A</t>
    </r>
    <r>
      <rPr>
        <b/>
        <sz val="11"/>
        <color theme="1"/>
        <rFont val="Calibri"/>
        <family val="2"/>
        <scheme val="minor"/>
      </rPr>
      <t xml:space="preserve"> (Ft.)</t>
    </r>
  </si>
  <si>
    <r>
      <t>Lateral Offset of Guardrail, L</t>
    </r>
    <r>
      <rPr>
        <b/>
        <vertAlign val="subscript"/>
        <sz val="11"/>
        <color theme="1"/>
        <rFont val="Calibri"/>
        <family val="2"/>
        <scheme val="minor"/>
      </rPr>
      <t>O</t>
    </r>
    <r>
      <rPr>
        <b/>
        <sz val="11"/>
        <color theme="1"/>
        <rFont val="Calibri"/>
        <family val="2"/>
        <scheme val="minor"/>
      </rPr>
      <t xml:space="preserve"> (Ft.)</t>
    </r>
  </si>
  <si>
    <t>Unadjusted Begin/End Guardrail Sta.
@ Secondary Approach Terminal</t>
  </si>
  <si>
    <t>Unadjusted Begin/End Guardrail Sta. 
@ Trailing Anchorage (If Applicable)</t>
  </si>
  <si>
    <t>Unadjusted Begin/End Guardrail Sta. 
@ Primary Approach Terminal</t>
  </si>
  <si>
    <r>
      <t>Length of Gating, L</t>
    </r>
    <r>
      <rPr>
        <b/>
        <vertAlign val="subscript"/>
        <sz val="11"/>
        <color theme="1"/>
        <rFont val="Calibri"/>
        <family val="2"/>
        <scheme val="minor"/>
      </rPr>
      <t>G</t>
    </r>
    <r>
      <rPr>
        <b/>
        <sz val="11"/>
        <color theme="1"/>
        <rFont val="Calibri"/>
        <family val="2"/>
        <scheme val="minor"/>
      </rPr>
      <t xml:space="preserve"> (Ft.)</t>
    </r>
  </si>
  <si>
    <t>Designer:</t>
  </si>
  <si>
    <t xml:space="preserve">PART C: OUTPUT SUMMARY: </t>
  </si>
  <si>
    <t>Rigid Barrier Skew, S (Ft.)</t>
  </si>
  <si>
    <r>
      <t>Length of Need, X</t>
    </r>
    <r>
      <rPr>
        <b/>
        <vertAlign val="subscript"/>
        <sz val="11"/>
        <color theme="1"/>
        <rFont val="Calibri"/>
        <family val="2"/>
        <scheme val="minor"/>
      </rPr>
      <t>S</t>
    </r>
    <r>
      <rPr>
        <b/>
        <sz val="11"/>
        <color theme="1"/>
        <rFont val="Calibri"/>
        <family val="2"/>
        <scheme val="minor"/>
      </rPr>
      <t xml:space="preserve"> (Ft.)</t>
    </r>
  </si>
  <si>
    <t>Adjusted Length Crossover Panels</t>
  </si>
  <si>
    <t>Unadjusted Length Crossover Panels</t>
  </si>
  <si>
    <t>Unadjusted Length of Need</t>
  </si>
  <si>
    <t>Unadjusted Y</t>
  </si>
  <si>
    <t>Adjusted Length Crossover Parallel</t>
  </si>
  <si>
    <t>Adjusted Y</t>
  </si>
  <si>
    <t>Taper Angle</t>
  </si>
  <si>
    <t>Unadjusted Length Crossover Parallel</t>
  </si>
  <si>
    <t>Begin/End Guardrail Sta. 
@ Connection to Rigid Barrier</t>
  </si>
  <si>
    <t>Begin/End Taper Sta.</t>
  </si>
  <si>
    <t>Adjusted Length of Need</t>
  </si>
  <si>
    <t>the linear taper rate for the Median Crossover Segment; 1:10 for Design Speeds ≤  45 MPH and 1:15 for Design Speeds &gt; 45 MPH.</t>
  </si>
  <si>
    <t>the lesser distance  from the 'Edge of Traffic Lane' to the 'Clear Zone Limit' or 'Back of Hazard'</t>
  </si>
  <si>
    <t>enter as total feet (do not input a plus sign); located at the end of the 'Rigid Barrier' (not the Begin/End Guardrail Sta.)</t>
  </si>
  <si>
    <t>the starting guardrail offset from the 'Edge of Near Traffic Lane' at the location where the guardrail connects to the 'Rigid Barrier' (determined by the designer)</t>
  </si>
  <si>
    <t>the lateral distance from the 'Edge of Near Traffic Lane' to the far edge of the opposing 'Rigid Barrier' (i.e. Concrete Traffic Railing) across the median</t>
  </si>
  <si>
    <r>
      <t>"Gating" Terminals typically have a 'Start LON' at Post 3 or Post 4, per the APL Drawings. For "Non-Gating" Terminals, the 'Start LON' is at 'Post 1' (L</t>
    </r>
    <r>
      <rPr>
        <i/>
        <vertAlign val="subscript"/>
        <sz val="11"/>
        <color rgb="FF0070C0"/>
        <rFont val="Calibri"/>
        <family val="2"/>
        <scheme val="minor"/>
      </rPr>
      <t>G</t>
    </r>
    <r>
      <rPr>
        <i/>
        <sz val="11"/>
        <color rgb="FF0070C0"/>
        <rFont val="Calibri"/>
        <family val="2"/>
        <scheme val="minor"/>
      </rPr>
      <t xml:space="preserve"> =0). 
NOTE: The flare rate effect on L</t>
    </r>
    <r>
      <rPr>
        <i/>
        <vertAlign val="subscript"/>
        <sz val="11"/>
        <color rgb="FF0070C0"/>
        <rFont val="Calibri"/>
        <family val="2"/>
        <scheme val="minor"/>
      </rPr>
      <t xml:space="preserve">G, </t>
    </r>
    <r>
      <rPr>
        <i/>
        <sz val="11"/>
        <color rgb="FF0070C0"/>
        <rFont val="Calibri"/>
        <family val="2"/>
        <scheme val="minor"/>
      </rPr>
      <t>assumed parallel to the roadway, is negligible and may be omitted.</t>
    </r>
  </si>
  <si>
    <r>
      <t>*</t>
    </r>
    <r>
      <rPr>
        <b/>
        <i/>
        <sz val="11.5"/>
        <color theme="1"/>
        <rFont val="Calibri"/>
        <family val="2"/>
        <scheme val="minor"/>
      </rPr>
      <t>NOTE:</t>
    </r>
    <r>
      <rPr>
        <i/>
        <sz val="11.5"/>
        <color theme="1"/>
        <rFont val="Calibri"/>
        <family val="2"/>
        <scheme val="minor"/>
      </rPr>
      <t xml:space="preserve"> If the Trailing Anchorage shown herein is in the Clear Zone of an opposing Traffic Lane,  use an Approach Terminal in its place.</t>
    </r>
  </si>
  <si>
    <t>Is this a 2-lane, 2-way road with the Hazard in the Far Lane's Clear Zone limit? If "No" Part B will be excluded from the placement calculation output below.</t>
  </si>
  <si>
    <t>PART A: LENGTH OF NEED FOR NEAR LANE</t>
  </si>
  <si>
    <r>
      <t xml:space="preserve">PART B: LENGTH OF NEED FOR FAR LANE - OPPOSING DIRECTION </t>
    </r>
    <r>
      <rPr>
        <b/>
        <sz val="18"/>
        <color rgb="FFFF0000"/>
        <rFont val="Calibri"/>
        <family val="2"/>
        <scheme val="minor"/>
      </rPr>
      <t>(IF APPLICABLE)</t>
    </r>
    <r>
      <rPr>
        <b/>
        <sz val="18"/>
        <color theme="1"/>
        <rFont val="Calibri"/>
        <family val="2"/>
        <scheme val="minor"/>
      </rPr>
      <t xml:space="preserve">
('Part A' Extension, If Required For </t>
    </r>
    <r>
      <rPr>
        <b/>
        <i/>
        <sz val="18"/>
        <color theme="1"/>
        <rFont val="Calibri"/>
        <family val="2"/>
        <scheme val="minor"/>
      </rPr>
      <t>2-Lane, 2-Way Road</t>
    </r>
    <r>
      <rPr>
        <b/>
        <sz val="18"/>
        <color theme="1"/>
        <rFont val="Calibri"/>
        <family val="2"/>
        <scheme val="minor"/>
      </rPr>
      <t xml:space="preserve"> with Hazard in Far Lane's Clear Zone)</t>
    </r>
  </si>
  <si>
    <r>
      <t>"Gating" Terminals typically have a 'Start LON' at Post 3 or Post 4, per the APL Drawings. For "Non-Gating" Terminals, the 'Start LON' is at 'Post 1' (L</t>
    </r>
    <r>
      <rPr>
        <i/>
        <vertAlign val="subscript"/>
        <sz val="11"/>
        <color rgb="FF0070C0"/>
        <rFont val="Calibri"/>
        <family val="2"/>
        <scheme val="minor"/>
      </rPr>
      <t>G</t>
    </r>
    <r>
      <rPr>
        <i/>
        <sz val="11"/>
        <color rgb="FF0070C0"/>
        <rFont val="Calibri"/>
        <family val="2"/>
        <scheme val="minor"/>
      </rPr>
      <t xml:space="preserve"> =0). </t>
    </r>
  </si>
  <si>
    <r>
      <t>Parallel Approach Trans. Length, L</t>
    </r>
    <r>
      <rPr>
        <b/>
        <vertAlign val="subscript"/>
        <sz val="11"/>
        <color theme="1"/>
        <rFont val="Calibri"/>
        <family val="2"/>
        <scheme val="minor"/>
      </rPr>
      <t>P1</t>
    </r>
    <r>
      <rPr>
        <b/>
        <sz val="11"/>
        <color theme="1"/>
        <rFont val="Calibri"/>
        <family val="2"/>
        <scheme val="minor"/>
      </rPr>
      <t xml:space="preserve"> (Ft.)</t>
    </r>
  </si>
  <si>
    <r>
      <t>Parallel Approach Terminal Length, L</t>
    </r>
    <r>
      <rPr>
        <b/>
        <vertAlign val="subscript"/>
        <sz val="11"/>
        <color theme="1"/>
        <rFont val="Calibri"/>
        <family val="2"/>
        <scheme val="minor"/>
      </rPr>
      <t xml:space="preserve">P2 </t>
    </r>
    <r>
      <rPr>
        <b/>
        <sz val="11"/>
        <color theme="1"/>
        <rFont val="Calibri"/>
        <family val="2"/>
        <scheme val="minor"/>
      </rPr>
      <t>(Ft.)</t>
    </r>
  </si>
  <si>
    <t>Taper Rate of Crossover, 1:TR (Ft.)</t>
  </si>
  <si>
    <t xml:space="preserve">PART D: OUTPUT SUMMARY: </t>
  </si>
  <si>
    <t>AASHTO RDG (5-3)</t>
  </si>
  <si>
    <r>
      <rPr>
        <b/>
        <i/>
        <sz val="11"/>
        <color theme="1"/>
        <rFont val="Calibri"/>
        <family val="2"/>
        <scheme val="minor"/>
      </rPr>
      <t>NOTE:</t>
    </r>
    <r>
      <rPr>
        <b/>
        <sz val="11"/>
        <color theme="1"/>
        <rFont val="Calibri"/>
        <family val="2"/>
        <scheme val="minor"/>
      </rPr>
      <t xml:space="preserve"> The above values are taken from the
               AASHTO RDG, Table 5-10(b)</t>
    </r>
  </si>
  <si>
    <r>
      <rPr>
        <b/>
        <u/>
        <sz val="11"/>
        <color theme="1"/>
        <rFont val="Calibri"/>
        <family val="2"/>
        <scheme val="minor"/>
      </rPr>
      <t xml:space="preserve">Design Basis: </t>
    </r>
    <r>
      <rPr>
        <b/>
        <sz val="11"/>
        <color theme="1"/>
        <rFont val="Calibri"/>
        <family val="2"/>
        <scheme val="minor"/>
      </rPr>
      <t>The standard method of determining guardrail placement for shielding hazards is based on the Runout Length and the Length of Need calculation in the AASHTO Roadside Design Guide (RDG), 4th Edition</t>
    </r>
  </si>
  <si>
    <r>
      <rPr>
        <b/>
        <u/>
        <sz val="11"/>
        <color theme="1"/>
        <rFont val="Calibri"/>
        <family val="2"/>
        <scheme val="minor"/>
      </rPr>
      <t>FDOT Design Tool Note:</t>
    </r>
    <r>
      <rPr>
        <b/>
        <i/>
        <sz val="11"/>
        <color theme="1"/>
        <rFont val="Calibri"/>
        <family val="2"/>
        <scheme val="minor"/>
      </rPr>
      <t xml:space="preserve"> </t>
    </r>
    <r>
      <rPr>
        <b/>
        <sz val="11"/>
        <color theme="1"/>
        <rFont val="Calibri"/>
        <family val="2"/>
        <scheme val="minor"/>
      </rPr>
      <t>No warranty, expressed or implied, is made by the Florida Department of Transportation as to the accuracy and functioning of any programs or the results they produce, nor shall the fact of distribution constitute any such warranty, and no responsibility is assumed by the Florida Department of Transportation in any connection therewith.
By using this program, you are agreeing to the above disclaimer.</t>
    </r>
  </si>
  <si>
    <r>
      <t xml:space="preserve">    </t>
    </r>
    <r>
      <rPr>
        <b/>
        <sz val="11"/>
        <color theme="1"/>
        <rFont val="Calibri"/>
        <family val="2"/>
        <scheme val="minor"/>
      </rPr>
      <t>Where:</t>
    </r>
  </si>
  <si>
    <r>
      <t>Parallel Length Total, L</t>
    </r>
    <r>
      <rPr>
        <vertAlign val="subscript"/>
        <sz val="11"/>
        <color theme="1"/>
        <rFont val="Calibri"/>
        <family val="2"/>
        <scheme val="minor"/>
      </rPr>
      <t>P</t>
    </r>
  </si>
  <si>
    <t>Adjusted Length</t>
  </si>
  <si>
    <t>Unadjusted Length</t>
  </si>
  <si>
    <t>Adjustment Reqd.</t>
  </si>
  <si>
    <t>Only added to approach ends, value automatically splits for two approach ends</t>
  </si>
  <si>
    <t>Total Length of Guardrail (Ft.)
(Prior to Curve Adjustments)</t>
  </si>
  <si>
    <t>Program check based on outputs</t>
  </si>
  <si>
    <r>
      <t xml:space="preserve">PART B Required?
</t>
    </r>
    <r>
      <rPr>
        <sz val="12"/>
        <color rgb="FFFF0000"/>
        <rFont val="Calibri"/>
        <family val="2"/>
        <scheme val="minor"/>
      </rPr>
      <t>(User Input Needed)</t>
    </r>
  </si>
  <si>
    <t>Limit:</t>
  </si>
  <si>
    <r>
      <t xml:space="preserve">   </t>
    </r>
    <r>
      <rPr>
        <b/>
        <sz val="11"/>
        <color theme="1"/>
        <rFont val="Calibri"/>
        <family val="2"/>
        <scheme val="minor"/>
      </rPr>
      <t>Modified AASHTO RDG (5-3)</t>
    </r>
    <r>
      <rPr>
        <b/>
        <i/>
        <sz val="11"/>
        <color theme="1"/>
        <rFont val="Calibri"/>
        <family val="2"/>
        <scheme val="minor"/>
      </rPr>
      <t xml:space="preserve"> Length of Need</t>
    </r>
    <r>
      <rPr>
        <b/>
        <sz val="11"/>
        <color theme="1"/>
        <rFont val="Calibri"/>
        <family val="2"/>
        <scheme val="minor"/>
      </rPr>
      <t xml:space="preserve"> Equation:</t>
    </r>
    <r>
      <rPr>
        <sz val="11"/>
        <color theme="1"/>
        <rFont val="Calibri"/>
        <family val="2"/>
        <scheme val="minor"/>
      </rPr>
      <t xml:space="preserve">
   (Solves for 'X</t>
    </r>
    <r>
      <rPr>
        <vertAlign val="subscript"/>
        <sz val="11"/>
        <color theme="1"/>
        <rFont val="Calibri"/>
        <family val="2"/>
        <scheme val="minor"/>
      </rPr>
      <t>S</t>
    </r>
    <r>
      <rPr>
        <sz val="11"/>
        <color theme="1"/>
        <rFont val="Calibri"/>
        <family val="2"/>
        <scheme val="minor"/>
      </rPr>
      <t>' given a Taper Rate 'TR' and Skew 'S')</t>
    </r>
  </si>
  <si>
    <t>Terminal Flare @ Post(1)  (Ft.)</t>
  </si>
  <si>
    <t>default value is acceptable at 35'-0", but this may be refined per specific APL drawing (Input used to calculate 'Y')</t>
  </si>
  <si>
    <r>
      <t xml:space="preserve">Adjusted Begin/End Guardrail Sta.
</t>
    </r>
    <r>
      <rPr>
        <b/>
        <sz val="11.5"/>
        <color rgb="FF00B0F0"/>
        <rFont val="Calibri"/>
        <family val="2"/>
        <scheme val="minor"/>
      </rPr>
      <t xml:space="preserve">@ SECONDARY Approach Terminal </t>
    </r>
    <r>
      <rPr>
        <b/>
        <sz val="11"/>
        <color theme="1"/>
        <rFont val="Calibri"/>
        <family val="2"/>
        <scheme val="minor"/>
      </rPr>
      <t xml:space="preserve">
</t>
    </r>
    <r>
      <rPr>
        <b/>
        <sz val="11"/>
        <color rgb="FF00B0F0"/>
        <rFont val="Calibri"/>
        <family val="2"/>
        <scheme val="minor"/>
      </rPr>
      <t>(From Part B, If Applicable)</t>
    </r>
  </si>
  <si>
    <r>
      <t xml:space="preserve">Adjusted Begin/End Guardrail Sta.
</t>
    </r>
    <r>
      <rPr>
        <b/>
        <sz val="11.5"/>
        <color rgb="FF00B0F0"/>
        <rFont val="Calibri"/>
        <family val="2"/>
        <scheme val="minor"/>
      </rPr>
      <t>@ PRIMARY Approach Terminal</t>
    </r>
    <r>
      <rPr>
        <b/>
        <sz val="11"/>
        <color rgb="FF00B0F0"/>
        <rFont val="Calibri"/>
        <family val="2"/>
        <scheme val="minor"/>
      </rPr>
      <t xml:space="preserve">
(From Part A)</t>
    </r>
  </si>
  <si>
    <r>
      <t xml:space="preserve">The outputs assume stationing is linear </t>
    </r>
    <r>
      <rPr>
        <i/>
        <sz val="11"/>
        <color rgb="FF0070C0"/>
        <rFont val="Calibri"/>
        <family val="2"/>
        <scheme val="minor"/>
      </rPr>
      <t>and are adjusted to bring tapered segment panel lengths to a multiple of 6'-3".
The stations provided here may be used directly in the Plans, assuming that roadway curvature does not cause a discrepancy of more than 3'-0"  between the these output stations and the actual guardrail panel slot/post locations (Tolerance per Specification Section 536).
If adjustments for curvature are required to bring the stationing closer to the actual panel slot and post locations, use L</t>
    </r>
    <r>
      <rPr>
        <i/>
        <vertAlign val="subscript"/>
        <sz val="11"/>
        <color rgb="FF0070C0"/>
        <rFont val="Calibri"/>
        <family val="2"/>
        <scheme val="minor"/>
      </rPr>
      <t>P1</t>
    </r>
    <r>
      <rPr>
        <i/>
        <sz val="11"/>
        <color rgb="FF0070C0"/>
        <rFont val="Calibri"/>
        <family val="2"/>
        <scheme val="minor"/>
      </rPr>
      <t xml:space="preserve"> and L</t>
    </r>
    <r>
      <rPr>
        <i/>
        <vertAlign val="subscript"/>
        <sz val="11"/>
        <color rgb="FF0070C0"/>
        <rFont val="Calibri"/>
        <family val="2"/>
        <scheme val="minor"/>
      </rPr>
      <t>P2</t>
    </r>
    <r>
      <rPr>
        <i/>
        <sz val="11"/>
        <color rgb="FF0070C0"/>
        <rFont val="Calibri"/>
        <family val="2"/>
        <scheme val="minor"/>
      </rPr>
      <t>, adjusted for curvature, and add additional length to the taper segment as needed.</t>
    </r>
  </si>
  <si>
    <t>Begin/End Guardrail Sta. 
@ Connection Post (1)</t>
  </si>
  <si>
    <t>Offset from Edge of Near Traffic Lane (Ft.)</t>
  </si>
  <si>
    <t>the longitudinal "skew" distance between the guardrail's connecting Rigid Barrier end and the 'Hazard' Rigid Barrier end (across the median). For the direction opposite the drawing dimension, use a negative value.</t>
  </si>
  <si>
    <t>the longitudinal "skew" distance between the guardrail's connecting Rigid Barrier end and the "Hazard" Rigid Barrier end (across the median). For the direction opposite the drawing dimension, use a negative value.</t>
  </si>
  <si>
    <t>Begin/End Guardrail Sta. 
@ Post (1)</t>
  </si>
  <si>
    <t xml:space="preserve">    Guardrail Offset from Nearest Edge of Traffic Lane (Ft.) :  </t>
  </si>
  <si>
    <t>the lesser distance  from the 'Edge of Traffic Lane' (Far Lane) to the 'Clear Zone Limit' or 'Back of Hazard'</t>
  </si>
  <si>
    <r>
      <rPr>
        <b/>
        <i/>
        <sz val="11"/>
        <color rgb="FF0070C0"/>
        <rFont val="Calibri"/>
        <family val="2"/>
        <scheme val="minor"/>
      </rPr>
      <t xml:space="preserve">Outputs assume linear stationing: </t>
    </r>
    <r>
      <rPr>
        <i/>
        <sz val="11"/>
        <color rgb="FF0070C0"/>
        <rFont val="Calibri"/>
        <family val="2"/>
        <scheme val="minor"/>
      </rPr>
      <t>To adjust for curvature, lengthen the guardrail with the Begin/End Guardrail stations placed outside of the stationing limits shown here. Use CADD measurement to bring the final guardrail length to a multiple of 6'-3" panels.</t>
    </r>
  </si>
  <si>
    <r>
      <t>per the APL Drawings, "Gating" Terminals typically have a 'Start LON' at Post 3 or Post 4. For "Non-Gating" Terminals, the Start LON is at 'Post 1' (L</t>
    </r>
    <r>
      <rPr>
        <i/>
        <vertAlign val="subscript"/>
        <sz val="11"/>
        <color rgb="FF0070C0"/>
        <rFont val="Calibri"/>
        <family val="2"/>
        <scheme val="minor"/>
      </rPr>
      <t>G</t>
    </r>
    <r>
      <rPr>
        <i/>
        <sz val="11"/>
        <color rgb="FF0070C0"/>
        <rFont val="Calibri"/>
        <family val="2"/>
        <scheme val="minor"/>
      </rPr>
      <t xml:space="preserve"> =0). 
NOTE: The flare rate effect on L</t>
    </r>
    <r>
      <rPr>
        <i/>
        <vertAlign val="subscript"/>
        <sz val="11"/>
        <color rgb="FF0070C0"/>
        <rFont val="Calibri"/>
        <family val="2"/>
        <scheme val="minor"/>
      </rPr>
      <t>g</t>
    </r>
    <r>
      <rPr>
        <i/>
        <sz val="11"/>
        <color rgb="FF0070C0"/>
        <rFont val="Calibri"/>
        <family val="2"/>
        <scheme val="minor"/>
      </rPr>
      <t>, assumed parallel to the roadway, is negligible and may be omitted.</t>
    </r>
  </si>
  <si>
    <t>Roadway Name / Feature:</t>
  </si>
  <si>
    <t>FPID:</t>
  </si>
  <si>
    <t>the typical guardrail offset from the 'Edge of Traffic Lane,' near the 'Hazard' location (outside of flare)</t>
  </si>
  <si>
    <t>the typical guardrail offset from the 'Edge of Traffic Lane' (Far Lane), near the 'Hazard' location (outside of flare)</t>
  </si>
  <si>
    <t>v1.0</t>
  </si>
  <si>
    <r>
      <t xml:space="preserve">PART D: CROSSOVER GUARDRAIL WITH </t>
    </r>
    <r>
      <rPr>
        <b/>
        <i/>
        <sz val="18"/>
        <color theme="1"/>
        <rFont val="Calibri"/>
        <family val="2"/>
        <scheme val="minor"/>
      </rPr>
      <t>'APPROACH TERMINAL'</t>
    </r>
    <r>
      <rPr>
        <b/>
        <sz val="18"/>
        <color theme="1"/>
        <rFont val="Calibri"/>
        <family val="2"/>
        <scheme val="minor"/>
      </rPr>
      <t xml:space="preserve"> - 
SHIELDING CONCRETE RAILING ACROSS MEDIAN (WITHIN CLEAR ZONE)</t>
    </r>
  </si>
  <si>
    <r>
      <t>PART C: CROSSOVER GUARDRAIL WITH '</t>
    </r>
    <r>
      <rPr>
        <b/>
        <i/>
        <sz val="18"/>
        <color theme="1"/>
        <rFont val="Calibri"/>
        <family val="2"/>
        <scheme val="minor"/>
      </rPr>
      <t>CRASH CUSHION'</t>
    </r>
    <r>
      <rPr>
        <b/>
        <sz val="18"/>
        <color theme="1"/>
        <rFont val="Calibri"/>
        <family val="2"/>
        <scheme val="minor"/>
      </rPr>
      <t xml:space="preserve"> -  
SHIELDING CONCRETE RAILING ACROSS MEDIAN (WITHIN CLEAR ZONE)</t>
    </r>
  </si>
  <si>
    <t>initial release</t>
  </si>
  <si>
    <t>Version:</t>
  </si>
  <si>
    <t>Released:</t>
  </si>
  <si>
    <t>Changes:</t>
  </si>
  <si>
    <t>AADT (Vehicles Per Day)</t>
  </si>
  <si>
    <t>Flare's Taper Length (Ft.)</t>
  </si>
  <si>
    <t>the length of the parallel segment required for the Approach Terminal, just beyond the taper; Per Index 400, TL-3 = 56.3 Ft.</t>
  </si>
  <si>
    <t>v1.01</t>
  </si>
  <si>
    <r>
      <t>Part D: updated default L</t>
    </r>
    <r>
      <rPr>
        <vertAlign val="subscript"/>
        <sz val="11"/>
        <color theme="1"/>
        <rFont val="Calibri"/>
        <family val="2"/>
        <scheme val="minor"/>
      </rPr>
      <t>P2</t>
    </r>
    <r>
      <rPr>
        <sz val="11"/>
        <color theme="1"/>
        <rFont val="Calibri"/>
        <family val="2"/>
        <scheme val="minor"/>
      </rPr>
      <t xml:space="preserve"> for TL-3 option to match Index 400 layout; removed TL-2 option</t>
    </r>
  </si>
  <si>
    <r>
      <t>Length of Need, X</t>
    </r>
    <r>
      <rPr>
        <b/>
        <vertAlign val="subscript"/>
        <sz val="11"/>
        <color theme="1"/>
        <rFont val="Calibri"/>
        <family val="2"/>
        <scheme val="minor"/>
      </rPr>
      <t>L</t>
    </r>
    <r>
      <rPr>
        <b/>
        <sz val="11"/>
        <color theme="1"/>
        <rFont val="Calibri"/>
        <family val="2"/>
        <scheme val="minor"/>
      </rPr>
      <t xml:space="preserve"> (Ft.)</t>
    </r>
  </si>
  <si>
    <t>delta Hazard to Rigid Barrier (Ft.)</t>
  </si>
  <si>
    <t>Unadjusted Begin/End Guardrail Sta. 
@ Rigid Barrier</t>
  </si>
  <si>
    <t>Unadjusted Begin/End Guardrail Sta. 
@ Approach Terminal, Post(1)</t>
  </si>
  <si>
    <t>=</t>
  </si>
  <si>
    <t>v1.02</t>
  </si>
  <si>
    <t>DESIGN OUTPUT SUMMARY:</t>
  </si>
  <si>
    <t>Approach Transition Connection Type</t>
  </si>
  <si>
    <t>TL-2</t>
  </si>
  <si>
    <t>TL-3</t>
  </si>
  <si>
    <t>Approach Trans. Length</t>
  </si>
  <si>
    <t>Approach Terminal Design Length (Ft.)</t>
  </si>
  <si>
    <t xml:space="preserve">                  Guardrail Offset from Nearest Edge 
                              of Traffic Lane (Ft.) @ Post(1):  </t>
  </si>
  <si>
    <t>Approach Transition Length</t>
  </si>
  <si>
    <t>DESIGN OUTPUT SUMMARY: GUARDRAIL ROADSIDE HAZARD SHIELDING</t>
  </si>
  <si>
    <r>
      <t xml:space="preserve">*Adjusted Begin/End Guardrail Sta.
</t>
    </r>
    <r>
      <rPr>
        <b/>
        <sz val="11.5"/>
        <color rgb="FF00B0F0"/>
        <rFont val="Calibri"/>
        <family val="2"/>
        <scheme val="minor"/>
      </rPr>
      <t>@ Approach Terminal, Post(1)</t>
    </r>
  </si>
  <si>
    <t xml:space="preserve">Begin/End Rigid Barrier Sta. </t>
  </si>
  <si>
    <r>
      <t xml:space="preserve">Adjusted Begin/End Guardrail Sta.
</t>
    </r>
    <r>
      <rPr>
        <b/>
        <sz val="11.5"/>
        <color rgb="FF00B0F0"/>
        <rFont val="Calibri"/>
        <family val="2"/>
        <scheme val="minor"/>
      </rPr>
      <t>@ Connection to Rigid Barrier</t>
    </r>
  </si>
  <si>
    <t>Begin/End Rigid Barrier Sta. 
(@ Barrier Closest the Near Traffic Lane)</t>
  </si>
  <si>
    <r>
      <rPr>
        <b/>
        <i/>
        <sz val="11"/>
        <color rgb="FF0070C0"/>
        <rFont val="Calibri"/>
        <family val="2"/>
        <scheme val="minor"/>
      </rPr>
      <t xml:space="preserve">Outputs assume linear stationing: 
</t>
    </r>
    <r>
      <rPr>
        <i/>
        <sz val="11"/>
        <color rgb="FF0070C0"/>
        <rFont val="Calibri"/>
        <family val="2"/>
        <scheme val="minor"/>
      </rPr>
      <t>To adjust for curvature, lengthen the guardrail with the Begin/End Guardrail stations placed outside of the stationing limits shown here. Use CADD measurement to bring the final guardrail length to buildable length, including the Approach Transition, End Treatment, and 6'-3" panel multiple.</t>
    </r>
  </si>
  <si>
    <r>
      <t>*</t>
    </r>
    <r>
      <rPr>
        <b/>
        <i/>
        <sz val="11.5"/>
        <color theme="1"/>
        <rFont val="Calibri"/>
        <family val="2"/>
        <scheme val="minor"/>
      </rPr>
      <t>NOTE:</t>
    </r>
    <r>
      <rPr>
        <i/>
        <sz val="11.5"/>
        <color theme="1"/>
        <rFont val="Calibri"/>
        <family val="2"/>
        <scheme val="minor"/>
      </rPr>
      <t xml:space="preserve"> Stationing is automatically adjusted to the Approach Transition length plus the Approach Terminal length plus the 6'-3" panel length increment (not accounting for curvature effects). Where 'Length of Need' does not govern, the minimum length of guardrail required is the Approach Transition length plus the Approach Terminal length (stationing outputs account for this).</t>
    </r>
  </si>
  <si>
    <t>the lesser distance  from the 'Edge of Near Traffic Lane' to the 'Clear Zone Limit' or 'Back of Hazard'</t>
  </si>
  <si>
    <t>the typical guardrail offset from the 'Edge of Traffic Lane' at the connection point to the Approach Terminal segment (offset excludes Flare, if applicable)</t>
  </si>
  <si>
    <t>added "Rigid Barrier Approach" (Part E) module for additional layout option</t>
  </si>
  <si>
    <r>
      <t>X</t>
    </r>
    <r>
      <rPr>
        <b/>
        <vertAlign val="subscript"/>
        <sz val="11"/>
        <color theme="1"/>
        <rFont val="Calibri"/>
        <family val="2"/>
        <scheme val="minor"/>
      </rPr>
      <t>L</t>
    </r>
    <r>
      <rPr>
        <b/>
        <sz val="11"/>
        <color theme="1"/>
        <rFont val="Calibri"/>
        <family val="2"/>
        <scheme val="minor"/>
      </rPr>
      <t xml:space="preserve"> + L</t>
    </r>
    <r>
      <rPr>
        <b/>
        <vertAlign val="subscript"/>
        <sz val="11"/>
        <color theme="1"/>
        <rFont val="Calibri"/>
        <family val="2"/>
        <scheme val="minor"/>
      </rPr>
      <t>G</t>
    </r>
    <r>
      <rPr>
        <b/>
        <sz val="11"/>
        <color theme="1"/>
        <rFont val="Calibri"/>
        <family val="2"/>
        <scheme val="minor"/>
      </rPr>
      <t xml:space="preserve"> unadjusted</t>
    </r>
  </si>
  <si>
    <r>
      <t>X</t>
    </r>
    <r>
      <rPr>
        <b/>
        <vertAlign val="subscript"/>
        <sz val="11"/>
        <color theme="1"/>
        <rFont val="Calibri"/>
        <family val="2"/>
        <scheme val="minor"/>
      </rPr>
      <t>L</t>
    </r>
    <r>
      <rPr>
        <b/>
        <sz val="11"/>
        <color theme="1"/>
        <rFont val="Calibri"/>
        <family val="2"/>
        <scheme val="minor"/>
      </rPr>
      <t xml:space="preserve"> + L</t>
    </r>
    <r>
      <rPr>
        <b/>
        <vertAlign val="subscript"/>
        <sz val="11"/>
        <color theme="1"/>
        <rFont val="Calibri"/>
        <family val="2"/>
        <scheme val="minor"/>
      </rPr>
      <t>G</t>
    </r>
    <r>
      <rPr>
        <b/>
        <sz val="11"/>
        <color theme="1"/>
        <rFont val="Calibri"/>
        <family val="2"/>
        <scheme val="minor"/>
      </rPr>
      <t xml:space="preserve"> adjusted to nearest panel</t>
    </r>
  </si>
  <si>
    <r>
      <t>X</t>
    </r>
    <r>
      <rPr>
        <b/>
        <vertAlign val="subscript"/>
        <sz val="11"/>
        <color theme="1"/>
        <rFont val="Calibri"/>
        <family val="2"/>
        <scheme val="minor"/>
      </rPr>
      <t xml:space="preserve">L </t>
    </r>
    <r>
      <rPr>
        <b/>
        <sz val="11"/>
        <color theme="1"/>
        <rFont val="Calibri"/>
        <family val="2"/>
        <scheme val="minor"/>
      </rPr>
      <t>+ L</t>
    </r>
    <r>
      <rPr>
        <b/>
        <vertAlign val="subscript"/>
        <sz val="11"/>
        <color theme="1"/>
        <rFont val="Calibri"/>
        <family val="2"/>
        <scheme val="minor"/>
      </rPr>
      <t>G</t>
    </r>
    <r>
      <rPr>
        <b/>
        <sz val="11"/>
        <color theme="1"/>
        <rFont val="Calibri"/>
        <family val="2"/>
        <scheme val="minor"/>
      </rPr>
      <t xml:space="preserve"> adjusted for minimum length</t>
    </r>
  </si>
  <si>
    <t>v1.03</t>
  </si>
  <si>
    <r>
      <t>corrected stationing output for "Rigid Barrier Approach" (Part E) to include Length of Gating, L</t>
    </r>
    <r>
      <rPr>
        <vertAlign val="subscript"/>
        <sz val="11"/>
        <color theme="1"/>
        <rFont val="Calibri"/>
        <family val="2"/>
        <scheme val="minor"/>
      </rPr>
      <t>g</t>
    </r>
  </si>
  <si>
    <t xml:space="preserve">  For FDOT Standard Plans, Index 536-001</t>
  </si>
  <si>
    <t xml:space="preserve">  For FDOT Standard Plans, Index 536-001
  (New or Compatible Rigid Barrier 
  End with No Approach Slab Conflict)</t>
  </si>
  <si>
    <t>v1.04</t>
  </si>
  <si>
    <t>updated for new nomenclature and Index renumbering "Standard Plans, Index 536-001"</t>
  </si>
  <si>
    <t>4 Ft. Max. per Index 536-001 detail, measured offset at Post(1);  enter zero for "Parallel" Terminals</t>
  </si>
  <si>
    <t>4 Ft. Max. per Index 536-001 detail; measured to Post(1);  enter zero for 'Parallel' Terminals</t>
  </si>
  <si>
    <t>the length of the guardrail Approach Transition Connection prior to the start of the taper; per Index 536-001 options, 
TL-3=27.5 Ft.  and TL-2=18.2 Ft.
Note: This is measured from the end of the 'Rigid Barrier' (not the 'Begin/End Guardrail Sta.')</t>
  </si>
  <si>
    <t>from Index 536-001, either TL-2 or TL-3 length</t>
  </si>
  <si>
    <r>
      <t xml:space="preserve">Adjusted Begin/End Guardrail Sta. 
</t>
    </r>
    <r>
      <rPr>
        <b/>
        <sz val="11.5"/>
        <color rgb="FF00B0F0"/>
        <rFont val="Calibri"/>
        <family val="2"/>
        <scheme val="minor"/>
      </rPr>
      <t xml:space="preserve">@ Trailing Anchorage </t>
    </r>
    <r>
      <rPr>
        <b/>
        <sz val="11"/>
        <color theme="1"/>
        <rFont val="Calibri"/>
        <family val="2"/>
        <scheme val="minor"/>
      </rPr>
      <t xml:space="preserve">
</t>
    </r>
    <r>
      <rPr>
        <b/>
        <sz val="11"/>
        <color rgb="FF00B0F0"/>
        <rFont val="Calibri"/>
        <family val="2"/>
        <scheme val="minor"/>
      </rPr>
      <t>(From Part A, If Applicable)</t>
    </r>
  </si>
  <si>
    <t>v1.1</t>
  </si>
  <si>
    <t xml:space="preserve">GUARDRAIL LENGTH OF NEED v1.1 - ROADSIDE HAZARD SHIELDING: </t>
  </si>
  <si>
    <t>GUARDRAIL LENGTH OF NEED v1.1 - BRIDGE CONCRETE RAILING SHIELDING</t>
  </si>
  <si>
    <t xml:space="preserve">GUARDRAIL LENGTH OF NEED v1.1 - RIGID BARRIER &amp; HAZARD SHIELDING: </t>
  </si>
  <si>
    <r>
      <rPr>
        <b/>
        <i/>
        <sz val="11"/>
        <color rgb="FF0070C0"/>
        <rFont val="Calibri"/>
        <family val="2"/>
        <scheme val="minor"/>
      </rPr>
      <t>The outputs assume stationing is linear</t>
    </r>
    <r>
      <rPr>
        <i/>
        <sz val="11"/>
        <color rgb="FF0070C0"/>
        <rFont val="Calibri"/>
        <family val="2"/>
        <scheme val="minor"/>
      </rPr>
      <t xml:space="preserve"> and are adjusted to bring tapered segment panel lengths to a multiple of 6'-3".
The output stations may be used directly in the Plans, assuming that roadway curvature does not cause a discrepancy of more than 3'-0"  between the these output stations and the actual guardrail panel slot &amp; post locations (Tolerance per Specification Section 536).
If adjustments for curvature are required to bring the stationing closer to the actual panel slot &amp; post locations, use L</t>
    </r>
    <r>
      <rPr>
        <i/>
        <vertAlign val="subscript"/>
        <sz val="11"/>
        <color rgb="FF0070C0"/>
        <rFont val="Calibri"/>
        <family val="2"/>
        <scheme val="minor"/>
      </rPr>
      <t>P1 and</t>
    </r>
    <r>
      <rPr>
        <i/>
        <sz val="11"/>
        <color rgb="FF0070C0"/>
        <rFont val="Calibri"/>
        <family val="2"/>
        <scheme val="minor"/>
      </rPr>
      <t xml:space="preserve">  L</t>
    </r>
    <r>
      <rPr>
        <i/>
        <vertAlign val="subscript"/>
        <sz val="11"/>
        <color rgb="FF0070C0"/>
        <rFont val="Calibri"/>
        <family val="2"/>
        <scheme val="minor"/>
      </rPr>
      <t>P2</t>
    </r>
    <r>
      <rPr>
        <i/>
        <sz val="11"/>
        <color rgb="FF0070C0"/>
        <rFont val="Calibri"/>
        <family val="2"/>
        <scheme val="minor"/>
      </rPr>
      <t>, adjusted for curvature, and add additional length to the taper segment as needed.</t>
    </r>
  </si>
  <si>
    <r>
      <t>Parallel C.C. Trans. Length, L</t>
    </r>
    <r>
      <rPr>
        <b/>
        <vertAlign val="subscript"/>
        <sz val="11"/>
        <color theme="1"/>
        <rFont val="Calibri"/>
        <family val="2"/>
        <scheme val="minor"/>
      </rPr>
      <t xml:space="preserve">P2 </t>
    </r>
    <r>
      <rPr>
        <b/>
        <sz val="11"/>
        <color theme="1"/>
        <rFont val="Calibri"/>
        <family val="2"/>
        <scheme val="minor"/>
      </rPr>
      <t>(Ft.)</t>
    </r>
  </si>
  <si>
    <t>updated departure line location for Crash Cushions per new FY2019-20 Index 544-001; 
removed "Type II" designation from Trailing Anchorage and extended it 25 feet downstream of hazard</t>
  </si>
  <si>
    <t>PART E: LENGTH OF NEED FOR SIMPLE LAYOUT TO RIGID BARRIER - 
(ANY OPPOSING LANE'S RIGID BARRIER IS OUTSIDE OF CLEAR ZONE)</t>
  </si>
  <si>
    <t>Approach Face of Hazard Sta.</t>
  </si>
  <si>
    <t>from Index 536-001, predefined length is 53.1' for TL-3 and 40.6' for TL-2; values may be adjusted per specific SPI design length (requires specific Plans callout, see SPI)</t>
  </si>
  <si>
    <t xml:space="preserve">the length of the parallel segment required for Guardrail Transition, just beyond the taper. This is the length between Post (1) and Post (10) per Index 544-001 (21.9 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</si>
</sst>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
  </numFmts>
  <fonts count="3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b/>
      <i/>
      <sz val="14"/>
      <color theme="1"/>
      <name val="Calibri"/>
      <family val="2"/>
      <scheme val="minor"/>
    </font>
    <font>
      <b/>
      <i/>
      <vertAlign val="subscript"/>
      <sz val="14"/>
      <color theme="1"/>
      <name val="Calibri"/>
      <family val="2"/>
      <scheme val="minor"/>
    </font>
    <font>
      <b/>
      <vertAlign val="subscript"/>
      <sz val="11"/>
      <color theme="1"/>
      <name val="Calibri"/>
      <family val="2"/>
      <scheme val="minor"/>
    </font>
    <font>
      <i/>
      <sz val="11"/>
      <color rgb="FF0070C0"/>
      <name val="Calibri"/>
      <family val="2"/>
      <scheme val="minor"/>
    </font>
    <font>
      <b/>
      <sz val="18"/>
      <color theme="1"/>
      <name val="Calibri"/>
      <family val="2"/>
      <scheme val="minor"/>
    </font>
    <font>
      <b/>
      <sz val="22"/>
      <color theme="8"/>
      <name val="Calibri"/>
      <family val="2"/>
      <scheme val="minor"/>
    </font>
    <font>
      <b/>
      <i/>
      <sz val="18"/>
      <color theme="1"/>
      <name val="Calibri"/>
      <family val="2"/>
      <scheme val="minor"/>
    </font>
    <font>
      <b/>
      <sz val="12"/>
      <name val="Calibri"/>
      <family val="2"/>
      <scheme val="minor"/>
    </font>
    <font>
      <sz val="11"/>
      <color rgb="FFFF0000"/>
      <name val="Calibri"/>
      <family val="2"/>
      <scheme val="minor"/>
    </font>
    <font>
      <i/>
      <vertAlign val="subscript"/>
      <sz val="11"/>
      <color rgb="FF0070C0"/>
      <name val="Calibri"/>
      <family val="2"/>
      <scheme val="minor"/>
    </font>
    <font>
      <b/>
      <sz val="11"/>
      <color rgb="FF00B0F0"/>
      <name val="Calibri"/>
      <family val="2"/>
      <scheme val="minor"/>
    </font>
    <font>
      <sz val="11"/>
      <name val="Calibri"/>
      <family val="2"/>
      <scheme val="minor"/>
    </font>
    <font>
      <i/>
      <sz val="14"/>
      <color theme="1"/>
      <name val="Calibri"/>
      <family val="2"/>
      <scheme val="minor"/>
    </font>
    <font>
      <b/>
      <sz val="13"/>
      <color theme="1"/>
      <name val="Calibri"/>
      <family val="2"/>
      <scheme val="minor"/>
    </font>
    <font>
      <b/>
      <sz val="18"/>
      <color rgb="FFFF0000"/>
      <name val="Calibri"/>
      <family val="2"/>
      <scheme val="minor"/>
    </font>
    <font>
      <i/>
      <sz val="12"/>
      <color theme="1"/>
      <name val="Calibri"/>
      <family val="2"/>
      <scheme val="minor"/>
    </font>
    <font>
      <i/>
      <sz val="11.5"/>
      <color theme="1"/>
      <name val="Calibri"/>
      <family val="2"/>
      <scheme val="minor"/>
    </font>
    <font>
      <b/>
      <i/>
      <sz val="11.5"/>
      <color theme="1"/>
      <name val="Calibri"/>
      <family val="2"/>
      <scheme val="minor"/>
    </font>
    <font>
      <b/>
      <i/>
      <sz val="14"/>
      <color rgb="FFFF0000"/>
      <name val="Calibri"/>
      <family val="2"/>
      <scheme val="minor"/>
    </font>
    <font>
      <b/>
      <sz val="19"/>
      <color theme="1"/>
      <name val="Calibri"/>
      <family val="2"/>
      <scheme val="minor"/>
    </font>
    <font>
      <b/>
      <sz val="20"/>
      <color theme="1"/>
      <name val="Calibri"/>
      <family val="2"/>
      <scheme val="minor"/>
    </font>
    <font>
      <b/>
      <i/>
      <sz val="11"/>
      <color theme="1"/>
      <name val="Calibri"/>
      <family val="2"/>
      <scheme val="minor"/>
    </font>
    <font>
      <b/>
      <u/>
      <sz val="11"/>
      <color theme="1"/>
      <name val="Calibri"/>
      <family val="2"/>
      <scheme val="minor"/>
    </font>
    <font>
      <b/>
      <sz val="12"/>
      <color rgb="FF00B050"/>
      <name val="Calibri"/>
      <family val="2"/>
      <scheme val="minor"/>
    </font>
    <font>
      <vertAlign val="subscript"/>
      <sz val="11"/>
      <color theme="1"/>
      <name val="Calibri"/>
      <family val="2"/>
      <scheme val="minor"/>
    </font>
    <font>
      <sz val="12"/>
      <color rgb="FFFF0000"/>
      <name val="Calibri"/>
      <family val="2"/>
      <scheme val="minor"/>
    </font>
    <font>
      <b/>
      <i/>
      <sz val="11"/>
      <color rgb="FF0070C0"/>
      <name val="Calibri"/>
      <family val="2"/>
      <scheme val="minor"/>
    </font>
    <font>
      <b/>
      <sz val="13"/>
      <color rgb="FF00B050"/>
      <name val="Calibri"/>
      <family val="2"/>
      <scheme val="minor"/>
    </font>
    <font>
      <b/>
      <sz val="14"/>
      <name val="Calibri"/>
      <family val="2"/>
      <scheme val="minor"/>
    </font>
    <font>
      <i/>
      <sz val="24"/>
      <color theme="1"/>
      <name val="Calibri"/>
      <family val="2"/>
      <scheme val="minor"/>
    </font>
    <font>
      <b/>
      <sz val="12"/>
      <color rgb="FF00B0F0"/>
      <name val="Calibri"/>
      <family val="2"/>
      <scheme val="minor"/>
    </font>
    <font>
      <b/>
      <sz val="11.5"/>
      <color rgb="FF00B0F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diagonal/>
    </border>
  </borders>
  <cellStyleXfs count="1">
    <xf numFmtId="0" fontId="0" fillId="0" borderId="0"/>
  </cellStyleXfs>
  <cellXfs count="128">
    <xf numFmtId="0" fontId="0" fillId="0" borderId="0" xfId="0"/>
    <xf numFmtId="0" fontId="3" fillId="0" borderId="0" xfId="0" applyFont="1"/>
    <xf numFmtId="0" fontId="0" fillId="0" borderId="0" xfId="0" applyAlignment="1">
      <alignment horizontal="center"/>
    </xf>
    <xf numFmtId="0" fontId="0" fillId="0" borderId="1" xfId="0" applyBorder="1" applyAlignment="1">
      <alignment horizontal="center"/>
    </xf>
    <xf numFmtId="0" fontId="4" fillId="0" borderId="0" xfId="0" applyFont="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vertical="center"/>
    </xf>
    <xf numFmtId="165" fontId="0" fillId="0" borderId="0" xfId="0" applyNumberFormat="1" applyAlignment="1">
      <alignment horizontal="center"/>
    </xf>
    <xf numFmtId="0" fontId="1" fillId="0" borderId="1" xfId="0" applyFont="1" applyBorder="1" applyAlignment="1">
      <alignment vertical="center"/>
    </xf>
    <xf numFmtId="0" fontId="0" fillId="0" borderId="0" xfId="0" applyAlignment="1">
      <alignment vertical="center"/>
    </xf>
    <xf numFmtId="0" fontId="1" fillId="0" borderId="2" xfId="0" applyFont="1" applyFill="1" applyBorder="1" applyAlignment="1">
      <alignment vertical="center"/>
    </xf>
    <xf numFmtId="0" fontId="0" fillId="5" borderId="1" xfId="0" applyFont="1" applyFill="1" applyBorder="1" applyAlignment="1">
      <alignment horizontal="center" vertical="center"/>
    </xf>
    <xf numFmtId="0" fontId="8" fillId="0" borderId="1" xfId="0" applyFont="1" applyBorder="1" applyAlignment="1">
      <alignment horizontal="left" vertical="center" wrapText="1"/>
    </xf>
    <xf numFmtId="0" fontId="1" fillId="0" borderId="1" xfId="0" applyFont="1" applyBorder="1" applyAlignment="1">
      <alignment vertical="center" wrapText="1"/>
    </xf>
    <xf numFmtId="1" fontId="1" fillId="0" borderId="1" xfId="0" applyNumberFormat="1" applyFont="1" applyBorder="1" applyAlignment="1">
      <alignmen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Alignment="1">
      <alignment horizontal="left"/>
    </xf>
    <xf numFmtId="0" fontId="1" fillId="0" borderId="0" xfId="0" applyFont="1" applyAlignment="1">
      <alignment horizontal="left" vertical="center" wrapText="1"/>
    </xf>
    <xf numFmtId="0" fontId="1" fillId="0" borderId="1" xfId="0" applyFont="1" applyBorder="1" applyAlignment="1">
      <alignment horizontal="left" wrapText="1"/>
    </xf>
    <xf numFmtId="0" fontId="0" fillId="6" borderId="1" xfId="0" applyFill="1" applyBorder="1" applyAlignment="1">
      <alignment horizontal="center" vertical="center"/>
    </xf>
    <xf numFmtId="164" fontId="0" fillId="6" borderId="1" xfId="0" applyNumberFormat="1" applyFill="1" applyBorder="1" applyAlignment="1">
      <alignment horizontal="center" vertical="center"/>
    </xf>
    <xf numFmtId="0" fontId="0" fillId="0" borderId="7" xfId="0" applyBorder="1"/>
    <xf numFmtId="0" fontId="10" fillId="0" borderId="0" xfId="0" applyFont="1"/>
    <xf numFmtId="165" fontId="0" fillId="5" borderId="1" xfId="0" applyNumberFormat="1" applyFont="1" applyFill="1" applyBorder="1" applyAlignment="1">
      <alignment horizontal="center" vertical="center"/>
    </xf>
    <xf numFmtId="0" fontId="9" fillId="0" borderId="0" xfId="0" applyFont="1" applyAlignment="1">
      <alignment horizontal="left"/>
    </xf>
    <xf numFmtId="0" fontId="1"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xf>
    <xf numFmtId="0" fontId="1" fillId="0" borderId="6" xfId="0" applyFont="1" applyBorder="1" applyAlignment="1">
      <alignment horizontal="left" vertical="center" wrapText="1"/>
    </xf>
    <xf numFmtId="164" fontId="0" fillId="5" borderId="1" xfId="0" applyNumberFormat="1" applyFill="1" applyBorder="1" applyAlignment="1">
      <alignment horizontal="center" vertical="center"/>
    </xf>
    <xf numFmtId="0" fontId="8" fillId="0" borderId="0" xfId="0" applyFont="1" applyBorder="1" applyAlignment="1">
      <alignment wrapText="1"/>
    </xf>
    <xf numFmtId="0" fontId="8" fillId="0" borderId="7" xfId="0" applyFont="1" applyBorder="1" applyAlignment="1">
      <alignment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0" fillId="0" borderId="1" xfId="0" applyBorder="1" applyAlignment="1">
      <alignment vertical="center"/>
    </xf>
    <xf numFmtId="0" fontId="0" fillId="0" borderId="0" xfId="0" applyAlignment="1">
      <alignment horizontal="right" vertical="center"/>
    </xf>
    <xf numFmtId="166" fontId="1" fillId="5" borderId="1" xfId="0" applyNumberFormat="1" applyFont="1" applyFill="1" applyBorder="1" applyAlignment="1">
      <alignment horizontal="center" vertical="center"/>
    </xf>
    <xf numFmtId="0" fontId="17" fillId="0" borderId="0" xfId="0" applyFont="1" applyAlignment="1">
      <alignment horizontal="center"/>
    </xf>
    <xf numFmtId="0" fontId="13" fillId="0" borderId="0" xfId="0" applyFont="1"/>
    <xf numFmtId="1" fontId="1"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164" fontId="4" fillId="6" borderId="1" xfId="0" applyNumberFormat="1" applyFont="1" applyFill="1" applyBorder="1" applyAlignment="1">
      <alignment horizontal="center" vertical="center"/>
    </xf>
    <xf numFmtId="0" fontId="4" fillId="0" borderId="0" xfId="0" applyFont="1" applyAlignment="1">
      <alignment horizontal="left" wrapText="1"/>
    </xf>
    <xf numFmtId="166" fontId="18" fillId="5" borderId="1" xfId="0" applyNumberFormat="1" applyFont="1" applyFill="1" applyBorder="1" applyAlignment="1">
      <alignment horizontal="center" vertical="center"/>
    </xf>
    <xf numFmtId="0" fontId="20" fillId="0" borderId="0" xfId="0" applyFont="1" applyAlignment="1">
      <alignment horizontal="center"/>
    </xf>
    <xf numFmtId="0" fontId="9" fillId="0" borderId="0" xfId="0" applyFont="1" applyAlignment="1">
      <alignment vertical="center"/>
    </xf>
    <xf numFmtId="0" fontId="20" fillId="0" borderId="0" xfId="0" applyFont="1" applyAlignment="1">
      <alignment horizontal="center" vertical="center"/>
    </xf>
    <xf numFmtId="0" fontId="4"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6" fontId="0" fillId="2" borderId="1" xfId="0" applyNumberFormat="1" applyFont="1" applyFill="1" applyBorder="1" applyAlignment="1" applyProtection="1">
      <alignment horizontal="center" vertical="center"/>
      <protection locked="0"/>
    </xf>
    <xf numFmtId="0" fontId="0" fillId="2" borderId="1" xfId="0" applyNumberFormat="1"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164" fontId="0" fillId="2" borderId="1" xfId="0" applyNumberFormat="1" applyFont="1" applyFill="1" applyBorder="1" applyAlignment="1" applyProtection="1">
      <alignment horizontal="center" vertical="center"/>
      <protection locked="0"/>
    </xf>
    <xf numFmtId="1" fontId="0" fillId="2" borderId="1" xfId="0" applyNumberFormat="1" applyFon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25" fillId="0" borderId="0" xfId="0" applyFont="1"/>
    <xf numFmtId="0" fontId="0" fillId="0" borderId="0" xfId="0" applyAlignment="1">
      <alignment horizontal="right"/>
    </xf>
    <xf numFmtId="164" fontId="28" fillId="5" borderId="1" xfId="0" applyNumberFormat="1" applyFont="1" applyFill="1" applyBorder="1" applyAlignment="1">
      <alignment horizontal="center" vertical="center"/>
    </xf>
    <xf numFmtId="164" fontId="28" fillId="6" borderId="1" xfId="0" applyNumberFormat="1" applyFont="1" applyFill="1" applyBorder="1" applyAlignment="1">
      <alignment horizontal="center" vertical="center"/>
    </xf>
    <xf numFmtId="0" fontId="0" fillId="2" borderId="1" xfId="0" applyFill="1" applyBorder="1" applyAlignment="1" applyProtection="1">
      <alignment vertical="center"/>
      <protection locked="0"/>
    </xf>
    <xf numFmtId="0" fontId="8" fillId="0" borderId="0" xfId="0" applyFont="1" applyFill="1" applyBorder="1" applyAlignment="1">
      <alignment horizontal="left" vertical="center" wrapText="1"/>
    </xf>
    <xf numFmtId="164" fontId="0" fillId="6" borderId="1" xfId="0" applyNumberFormat="1" applyFill="1" applyBorder="1" applyAlignment="1" applyProtection="1">
      <alignment horizontal="center" vertical="center"/>
      <protection locked="0"/>
    </xf>
    <xf numFmtId="1" fontId="0" fillId="0" borderId="1" xfId="0" applyNumberFormat="1" applyFont="1" applyFill="1" applyBorder="1" applyAlignment="1">
      <alignment vertical="center" wrapText="1"/>
    </xf>
    <xf numFmtId="0" fontId="4" fillId="0" borderId="1" xfId="0" applyFont="1" applyBorder="1" applyAlignment="1">
      <alignment vertical="center"/>
    </xf>
    <xf numFmtId="0" fontId="1" fillId="0" borderId="0" xfId="0" applyFont="1" applyFill="1" applyBorder="1" applyAlignment="1">
      <alignment horizontal="left" vertical="center" wrapText="1"/>
    </xf>
    <xf numFmtId="0" fontId="0" fillId="0" borderId="0" xfId="0" applyAlignment="1">
      <alignment wrapText="1"/>
    </xf>
    <xf numFmtId="0" fontId="1" fillId="0" borderId="1" xfId="0" applyFont="1" applyBorder="1" applyAlignment="1">
      <alignment wrapText="1"/>
    </xf>
    <xf numFmtId="0" fontId="1" fillId="6" borderId="1" xfId="0" applyFont="1" applyFill="1" applyBorder="1" applyAlignment="1">
      <alignment horizontal="center" vertical="center"/>
    </xf>
    <xf numFmtId="166" fontId="1" fillId="0" borderId="0" xfId="0" applyNumberFormat="1" applyFont="1" applyFill="1" applyBorder="1" applyAlignment="1">
      <alignment horizontal="center" vertical="center"/>
    </xf>
    <xf numFmtId="0" fontId="8" fillId="0" borderId="7" xfId="0" applyFont="1" applyBorder="1" applyAlignment="1">
      <alignment vertical="center"/>
    </xf>
    <xf numFmtId="0" fontId="12" fillId="0" borderId="1" xfId="0" applyFont="1" applyBorder="1" applyAlignment="1">
      <alignment horizontal="left" vertical="center" wrapText="1"/>
    </xf>
    <xf numFmtId="164" fontId="1" fillId="7" borderId="1" xfId="0" applyNumberFormat="1" applyFont="1" applyFill="1" applyBorder="1" applyAlignment="1">
      <alignment horizontal="center" vertical="center"/>
    </xf>
    <xf numFmtId="164" fontId="0" fillId="7" borderId="1" xfId="0" applyNumberFormat="1" applyFont="1" applyFill="1" applyBorder="1" applyAlignment="1">
      <alignment horizontal="center" vertical="center"/>
    </xf>
    <xf numFmtId="0" fontId="34" fillId="6" borderId="1" xfId="0" applyFont="1" applyFill="1" applyBorder="1" applyAlignment="1">
      <alignment horizontal="center" vertical="center"/>
    </xf>
    <xf numFmtId="166" fontId="33" fillId="6" borderId="1" xfId="0" applyNumberFormat="1" applyFont="1" applyFill="1" applyBorder="1" applyAlignment="1">
      <alignment horizontal="center" vertical="center"/>
    </xf>
    <xf numFmtId="166" fontId="2" fillId="6" borderId="1" xfId="0" applyNumberFormat="1" applyFont="1" applyFill="1" applyBorder="1" applyAlignment="1">
      <alignment horizontal="center" vertical="center"/>
    </xf>
    <xf numFmtId="0" fontId="0" fillId="0" borderId="0" xfId="0" applyFill="1"/>
    <xf numFmtId="0" fontId="1" fillId="0" borderId="0" xfId="0" applyFont="1"/>
    <xf numFmtId="0" fontId="35" fillId="0" borderId="1" xfId="0" applyFont="1" applyBorder="1" applyAlignment="1">
      <alignment vertical="center" wrapText="1"/>
    </xf>
    <xf numFmtId="0" fontId="26" fillId="0" borderId="1" xfId="0" applyFont="1" applyBorder="1" applyAlignment="1">
      <alignment vertical="center" wrapText="1"/>
    </xf>
    <xf numFmtId="164" fontId="32" fillId="5" borderId="1" xfId="0" applyNumberFormat="1" applyFont="1" applyFill="1" applyBorder="1" applyAlignment="1">
      <alignment horizontal="center" vertical="center"/>
    </xf>
    <xf numFmtId="164" fontId="0" fillId="7" borderId="1" xfId="0" applyNumberFormat="1" applyFill="1" applyBorder="1" applyAlignment="1">
      <alignment horizontal="center" vertical="top" wrapText="1"/>
    </xf>
    <xf numFmtId="0" fontId="8" fillId="0" borderId="0"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Border="1" applyAlignment="1" applyProtection="1">
      <alignment horizontal="center" vertical="center"/>
      <protection locked="0"/>
    </xf>
    <xf numFmtId="0" fontId="34" fillId="6" borderId="1" xfId="0" quotePrefix="1" applyFont="1" applyFill="1" applyBorder="1" applyAlignment="1">
      <alignment horizontal="center" vertical="center"/>
    </xf>
    <xf numFmtId="164" fontId="0" fillId="0" borderId="0" xfId="0" applyNumberFormat="1"/>
    <xf numFmtId="164" fontId="0" fillId="0" borderId="0" xfId="0" applyNumberFormat="1" applyFill="1" applyBorder="1" applyAlignment="1" applyProtection="1">
      <alignment horizontal="center" vertical="center"/>
      <protection locked="0"/>
    </xf>
    <xf numFmtId="0" fontId="4" fillId="0" borderId="0" xfId="0" applyFont="1"/>
    <xf numFmtId="0" fontId="8" fillId="0" borderId="0" xfId="0" applyFont="1" applyAlignment="1">
      <alignment vertical="center"/>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vertical="center" wrapText="1"/>
    </xf>
    <xf numFmtId="0" fontId="0" fillId="0" borderId="0" xfId="0" applyAlignment="1">
      <alignment vertical="top"/>
    </xf>
    <xf numFmtId="14" fontId="0" fillId="0" borderId="0" xfId="0" applyNumberFormat="1" applyAlignment="1">
      <alignment horizontal="left" vertical="top"/>
    </xf>
    <xf numFmtId="0" fontId="2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vertical="center" wrapText="1"/>
    </xf>
    <xf numFmtId="0" fontId="21" fillId="0" borderId="0" xfId="0" applyFont="1" applyAlignment="1">
      <alignment horizontal="left" wrapText="1"/>
    </xf>
    <xf numFmtId="0" fontId="24" fillId="0" borderId="0" xfId="0" applyFont="1" applyAlignment="1">
      <alignment horizontal="left" wrapText="1"/>
    </xf>
    <xf numFmtId="0" fontId="8"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xf>
    <xf numFmtId="0" fontId="9" fillId="0" borderId="0" xfId="0" applyFont="1" applyAlignment="1">
      <alignment horizontal="left" wrapText="1"/>
    </xf>
    <xf numFmtId="0" fontId="9" fillId="0" borderId="0" xfId="0" applyFont="1" applyAlignment="1">
      <alignment horizontal="left" vertical="top"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6" xfId="0" applyFont="1" applyBorder="1" applyAlignment="1">
      <alignment horizontal="center" vertical="center" wrapText="1"/>
    </xf>
    <xf numFmtId="0" fontId="21" fillId="0" borderId="0" xfId="0" applyFont="1" applyAlignment="1">
      <alignment horizontal="left" vertical="top"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1" fillId="0" borderId="0" xfId="0" applyFont="1" applyAlignment="1">
      <alignment horizontal="left" wrapText="1"/>
    </xf>
    <xf numFmtId="0" fontId="26" fillId="0" borderId="0" xfId="0" applyFont="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1008529</xdr:colOff>
      <xdr:row>32</xdr:row>
      <xdr:rowOff>112059</xdr:rowOff>
    </xdr:from>
    <xdr:to>
      <xdr:col>2</xdr:col>
      <xdr:colOff>1939479</xdr:colOff>
      <xdr:row>34</xdr:row>
      <xdr:rowOff>145677</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27176" y="9861177"/>
          <a:ext cx="930950" cy="448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1008529</xdr:colOff>
      <xdr:row>69</xdr:row>
      <xdr:rowOff>112059</xdr:rowOff>
    </xdr:from>
    <xdr:to>
      <xdr:col>2</xdr:col>
      <xdr:colOff>1939479</xdr:colOff>
      <xdr:row>71</xdr:row>
      <xdr:rowOff>145677</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27176" y="9861177"/>
          <a:ext cx="930950" cy="45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965836</xdr:rowOff>
    </xdr:from>
    <xdr:to>
      <xdr:col>3</xdr:col>
      <xdr:colOff>1800225</xdr:colOff>
      <xdr:row>58</xdr:row>
      <xdr:rowOff>238426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0" y="12319636"/>
          <a:ext cx="8829675" cy="3730290"/>
        </a:xfrm>
        <a:prstGeom prst="rect">
          <a:avLst/>
        </a:prstGeom>
      </xdr:spPr>
    </xdr:pic>
    <xdr:clientData/>
  </xdr:twoCellAnchor>
  <xdr:twoCellAnchor editAs="oneCell">
    <xdr:from>
      <xdr:col>0</xdr:col>
      <xdr:colOff>1</xdr:colOff>
      <xdr:row>5</xdr:row>
      <xdr:rowOff>0</xdr:rowOff>
    </xdr:from>
    <xdr:to>
      <xdr:col>3</xdr:col>
      <xdr:colOff>1809751</xdr:colOff>
      <xdr:row>19</xdr:row>
      <xdr:rowOff>679294</xdr:rowOff>
    </xdr:to>
    <xdr:pic>
      <xdr:nvPicPr>
        <xdr:cNvPr id="10" name="Picture 9">
          <a:extLst>
            <a:ext uri="{FF2B5EF4-FFF2-40B4-BE49-F238E27FC236}">
              <a16:creationId xmlns:a16="http://schemas.microsoft.com/office/drawing/2014/main" id="{112A1AE8-0C65-4FEB-A3BD-D288D6B5A28A}"/>
            </a:ext>
          </a:extLst>
        </xdr:cNvPr>
        <xdr:cNvPicPr>
          <a:picLocks noChangeAspect="1"/>
        </xdr:cNvPicPr>
      </xdr:nvPicPr>
      <xdr:blipFill>
        <a:blip xmlns:r="http://schemas.openxmlformats.org/officeDocument/2006/relationships" r:embed="rId3"/>
        <a:stretch>
          <a:fillRect/>
        </a:stretch>
      </xdr:blipFill>
      <xdr:spPr>
        <a:xfrm>
          <a:off x="1" y="1543050"/>
          <a:ext cx="8839200" cy="3403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123264</xdr:colOff>
      <xdr:row>55</xdr:row>
      <xdr:rowOff>212912</xdr:rowOff>
    </xdr:from>
    <xdr:to>
      <xdr:col>1</xdr:col>
      <xdr:colOff>989068</xdr:colOff>
      <xdr:row>55</xdr:row>
      <xdr:rowOff>616324</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264" y="14738537"/>
          <a:ext cx="3380404"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622598</xdr:colOff>
      <xdr:row>56</xdr:row>
      <xdr:rowOff>138954</xdr:rowOff>
    </xdr:from>
    <xdr:to>
      <xdr:col>0</xdr:col>
      <xdr:colOff>1886228</xdr:colOff>
      <xdr:row>56</xdr:row>
      <xdr:rowOff>365759</xdr:rowOff>
    </xdr:to>
    <xdr:pic>
      <xdr:nvPicPr>
        <xdr:cNvPr id="3" name="Picture 2">
          <a:extLst>
            <a:ext uri="{FF2B5EF4-FFF2-40B4-BE49-F238E27FC236}">
              <a16:creationId xmlns:a16="http://schemas.microsoft.com/office/drawing/2014/main" id="{B85E77FD-CDE1-4603-A540-CF5C3CC5BFBA}"/>
            </a:ext>
          </a:extLst>
        </xdr:cNvPr>
        <xdr:cNvPicPr>
          <a:picLocks noChangeAspect="1"/>
        </xdr:cNvPicPr>
      </xdr:nvPicPr>
      <xdr:blipFill>
        <a:blip xmlns:r="http://schemas.openxmlformats.org/officeDocument/2006/relationships" r:embed="rId2"/>
        <a:stretch>
          <a:fillRect/>
        </a:stretch>
      </xdr:blipFill>
      <xdr:spPr>
        <a:xfrm>
          <a:off x="622598" y="15577074"/>
          <a:ext cx="1263630" cy="226805"/>
        </a:xfrm>
        <a:prstGeom prst="rect">
          <a:avLst/>
        </a:prstGeom>
      </xdr:spPr>
    </xdr:pic>
    <xdr:clientData/>
  </xdr:twoCellAnchor>
  <xdr:twoCellAnchor editAs="oneCell">
    <xdr:from>
      <xdr:col>0</xdr:col>
      <xdr:colOff>0</xdr:colOff>
      <xdr:row>4</xdr:row>
      <xdr:rowOff>685800</xdr:rowOff>
    </xdr:from>
    <xdr:to>
      <xdr:col>4</xdr:col>
      <xdr:colOff>329250</xdr:colOff>
      <xdr:row>19</xdr:row>
      <xdr:rowOff>31061</xdr:rowOff>
    </xdr:to>
    <xdr:pic>
      <xdr:nvPicPr>
        <xdr:cNvPr id="11" name="Picture 10">
          <a:extLst>
            <a:ext uri="{FF2B5EF4-FFF2-40B4-BE49-F238E27FC236}">
              <a16:creationId xmlns:a16="http://schemas.microsoft.com/office/drawing/2014/main" id="{3B9AA4BC-0380-4E08-B55F-DC4A7DAE5131}"/>
            </a:ext>
          </a:extLst>
        </xdr:cNvPr>
        <xdr:cNvPicPr>
          <a:picLocks noChangeAspect="1"/>
        </xdr:cNvPicPr>
      </xdr:nvPicPr>
      <xdr:blipFill>
        <a:blip xmlns:r="http://schemas.openxmlformats.org/officeDocument/2006/relationships" r:embed="rId3"/>
        <a:stretch>
          <a:fillRect/>
        </a:stretch>
      </xdr:blipFill>
      <xdr:spPr>
        <a:xfrm>
          <a:off x="0" y="1874520"/>
          <a:ext cx="9808530" cy="2888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624840</xdr:rowOff>
    </xdr:from>
    <xdr:to>
      <xdr:col>4</xdr:col>
      <xdr:colOff>274320</xdr:colOff>
      <xdr:row>19</xdr:row>
      <xdr:rowOff>155472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1813560"/>
          <a:ext cx="9745980" cy="3020592"/>
        </a:xfrm>
        <a:prstGeom prst="rect">
          <a:avLst/>
        </a:prstGeom>
      </xdr:spPr>
    </xdr:pic>
    <xdr:clientData/>
  </xdr:twoCellAnchor>
  <xdr:twoCellAnchor>
    <xdr:from>
      <xdr:col>0</xdr:col>
      <xdr:colOff>661145</xdr:colOff>
      <xdr:row>57</xdr:row>
      <xdr:rowOff>134472</xdr:rowOff>
    </xdr:from>
    <xdr:to>
      <xdr:col>0</xdr:col>
      <xdr:colOff>2207560</xdr:colOff>
      <xdr:row>57</xdr:row>
      <xdr:rowOff>350084</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1145" y="15419296"/>
          <a:ext cx="1546415" cy="215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123264</xdr:colOff>
      <xdr:row>56</xdr:row>
      <xdr:rowOff>212912</xdr:rowOff>
    </xdr:from>
    <xdr:to>
      <xdr:col>1</xdr:col>
      <xdr:colOff>989068</xdr:colOff>
      <xdr:row>56</xdr:row>
      <xdr:rowOff>616324</xdr:rowOff>
    </xdr:to>
    <xdr:pic>
      <xdr:nvPicPr>
        <xdr:cNvPr id="8" name="Picture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264" y="14758147"/>
          <a:ext cx="3375922"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5</xdr:row>
      <xdr:rowOff>153451</xdr:rowOff>
    </xdr:from>
    <xdr:to>
      <xdr:col>4</xdr:col>
      <xdr:colOff>93569</xdr:colOff>
      <xdr:row>19</xdr:row>
      <xdr:rowOff>371475</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57150" y="1896526"/>
          <a:ext cx="9494744" cy="2942174"/>
        </a:xfrm>
        <a:prstGeom prst="rect">
          <a:avLst/>
        </a:prstGeom>
      </xdr:spPr>
    </xdr:pic>
    <xdr:clientData/>
  </xdr:twoCellAnchor>
  <xdr:twoCellAnchor>
    <xdr:from>
      <xdr:col>2</xdr:col>
      <xdr:colOff>1276350</xdr:colOff>
      <xdr:row>41</xdr:row>
      <xdr:rowOff>114300</xdr:rowOff>
    </xdr:from>
    <xdr:to>
      <xdr:col>2</xdr:col>
      <xdr:colOff>2207300</xdr:colOff>
      <xdr:row>43</xdr:row>
      <xdr:rowOff>147918</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67275" y="10820400"/>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6"/>
  <sheetViews>
    <sheetView tabSelected="1" zoomScaleNormal="100" workbookViewId="0">
      <selection activeCell="D2" sqref="D2"/>
    </sheetView>
  </sheetViews>
  <sheetFormatPr defaultRowHeight="15.05" x14ac:dyDescent="0.3"/>
  <cols>
    <col min="1" max="1" width="33.88671875" customWidth="1"/>
    <col min="2" max="2" width="19" customWidth="1"/>
    <col min="3" max="3" width="52.5546875" customWidth="1"/>
    <col min="4" max="4" width="31.33203125" customWidth="1"/>
  </cols>
  <sheetData>
    <row r="1" spans="1:4" ht="28.5" customHeight="1" x14ac:dyDescent="0.55000000000000004">
      <c r="A1" s="23" t="s">
        <v>145</v>
      </c>
    </row>
    <row r="2" spans="1:4" ht="21.8" customHeight="1" x14ac:dyDescent="0.3">
      <c r="A2" s="93" t="s">
        <v>135</v>
      </c>
      <c r="C2" s="36" t="s">
        <v>90</v>
      </c>
      <c r="D2" s="62"/>
    </row>
    <row r="3" spans="1:4" ht="21.8" customHeight="1" x14ac:dyDescent="0.3">
      <c r="C3" s="36" t="s">
        <v>91</v>
      </c>
      <c r="D3" s="62"/>
    </row>
    <row r="4" spans="1:4" ht="21.8" customHeight="1" x14ac:dyDescent="0.3">
      <c r="C4" s="36" t="s">
        <v>31</v>
      </c>
      <c r="D4" s="62"/>
    </row>
    <row r="5" spans="1:4" ht="27.85" customHeight="1" x14ac:dyDescent="0.3">
      <c r="A5" s="46" t="s">
        <v>54</v>
      </c>
    </row>
    <row r="19" spans="1:11" ht="19.5" customHeight="1" x14ac:dyDescent="0.3"/>
    <row r="20" spans="1:11" ht="65.3" customHeight="1" x14ac:dyDescent="0.35">
      <c r="B20" s="45" t="s">
        <v>1</v>
      </c>
      <c r="C20" s="45" t="s">
        <v>16</v>
      </c>
      <c r="E20" s="2"/>
      <c r="K20" s="1"/>
    </row>
    <row r="21" spans="1:11" ht="17.2" customHeight="1" x14ac:dyDescent="0.35">
      <c r="A21" s="13" t="s">
        <v>15</v>
      </c>
      <c r="B21" s="48" t="s">
        <v>13</v>
      </c>
      <c r="C21" s="12" t="s">
        <v>23</v>
      </c>
      <c r="E21" s="2"/>
      <c r="K21" s="1"/>
    </row>
    <row r="22" spans="1:11" ht="17.2" customHeight="1" x14ac:dyDescent="0.3">
      <c r="A22" s="13" t="s">
        <v>101</v>
      </c>
      <c r="B22" s="49">
        <v>10000</v>
      </c>
      <c r="C22" s="28"/>
    </row>
    <row r="23" spans="1:11" ht="17.2" customHeight="1" x14ac:dyDescent="0.3">
      <c r="A23" s="15" t="s">
        <v>0</v>
      </c>
      <c r="B23" s="50">
        <v>50</v>
      </c>
      <c r="C23" s="28"/>
    </row>
    <row r="24" spans="1:11" ht="17.2" customHeight="1" x14ac:dyDescent="0.35">
      <c r="A24" s="14" t="s">
        <v>18</v>
      </c>
      <c r="B24" s="51">
        <v>1000</v>
      </c>
      <c r="C24" s="12" t="s">
        <v>17</v>
      </c>
      <c r="E24" s="7"/>
      <c r="K24" s="1"/>
    </row>
    <row r="25" spans="1:11" ht="17.2" customHeight="1" x14ac:dyDescent="0.35">
      <c r="A25" s="14" t="s">
        <v>22</v>
      </c>
      <c r="B25" s="52">
        <v>10</v>
      </c>
      <c r="C25" s="12"/>
      <c r="E25" s="7"/>
      <c r="K25" s="1"/>
    </row>
    <row r="26" spans="1:11" ht="29.95" customHeight="1" x14ac:dyDescent="0.3">
      <c r="A26" s="15" t="s">
        <v>7</v>
      </c>
      <c r="B26" s="49">
        <v>35</v>
      </c>
      <c r="C26" s="12" t="s">
        <v>47</v>
      </c>
    </row>
    <row r="27" spans="1:11" ht="29.95" customHeight="1" x14ac:dyDescent="0.3">
      <c r="A27" s="15" t="s">
        <v>10</v>
      </c>
      <c r="B27" s="49">
        <v>10</v>
      </c>
      <c r="C27" s="12" t="s">
        <v>92</v>
      </c>
    </row>
    <row r="28" spans="1:11" ht="77.900000000000006" x14ac:dyDescent="0.3">
      <c r="A28" s="15" t="s">
        <v>30</v>
      </c>
      <c r="B28" s="57">
        <v>12.5</v>
      </c>
      <c r="C28" s="12" t="s">
        <v>51</v>
      </c>
    </row>
    <row r="29" spans="1:11" ht="29.95" customHeight="1" x14ac:dyDescent="0.3">
      <c r="A29" s="15" t="s">
        <v>76</v>
      </c>
      <c r="B29" s="49">
        <v>0</v>
      </c>
      <c r="C29" s="12" t="s">
        <v>139</v>
      </c>
    </row>
    <row r="30" spans="1:11" ht="29.95" customHeight="1" x14ac:dyDescent="0.3">
      <c r="A30" s="29" t="s">
        <v>102</v>
      </c>
      <c r="B30" s="49">
        <v>35</v>
      </c>
      <c r="C30" s="12" t="s">
        <v>77</v>
      </c>
    </row>
    <row r="31" spans="1:11" ht="18.850000000000001" customHeight="1" x14ac:dyDescent="0.3">
      <c r="A31" s="9"/>
      <c r="B31" s="47" t="s">
        <v>2</v>
      </c>
      <c r="C31" s="9"/>
    </row>
    <row r="32" spans="1:11" ht="18" customHeight="1" x14ac:dyDescent="0.3">
      <c r="A32" s="16" t="s">
        <v>8</v>
      </c>
      <c r="B32" s="30">
        <f>IF(B30&lt;B28,B27,B27+B29-(B28/IF(B30=0,1,B30))*B29)</f>
        <v>10</v>
      </c>
      <c r="C32" s="31"/>
      <c r="G32" s="26"/>
      <c r="H32" s="27"/>
    </row>
    <row r="33" spans="1:7" ht="16.399999999999999" x14ac:dyDescent="0.3">
      <c r="A33" s="10" t="s">
        <v>6</v>
      </c>
      <c r="B33" s="11">
        <f>INDEX(value,MATCH(B23,row,-1),MATCH(B22,col,1))</f>
        <v>230</v>
      </c>
      <c r="C33" s="9"/>
    </row>
    <row r="34" spans="1:7" ht="17.2" customHeight="1" x14ac:dyDescent="0.3">
      <c r="A34" s="8" t="s">
        <v>9</v>
      </c>
      <c r="B34" s="60">
        <f>(B26-B32)/(B26/B33)</f>
        <v>164.28571428571428</v>
      </c>
      <c r="C34" s="59" t="s">
        <v>61</v>
      </c>
    </row>
    <row r="35" spans="1:7" ht="33.049999999999997" customHeight="1" x14ac:dyDescent="0.3">
      <c r="A35" s="13" t="s">
        <v>29</v>
      </c>
      <c r="B35" s="37">
        <f>IF(OR(B21="Westbound",B21="Southbound"),(B24+B34+B28),(B24-B34-B28))</f>
        <v>1176.7857142857142</v>
      </c>
      <c r="C35" s="9"/>
    </row>
    <row r="36" spans="1:7" ht="33.049999999999997" customHeight="1" x14ac:dyDescent="0.3">
      <c r="A36" s="13" t="s">
        <v>28</v>
      </c>
      <c r="B36" s="37">
        <f>IF(B60="No",IF(OR(B21="Westbound",B21="Southbound"), (B24-B25-25),(B24+B25+25)),"N.A.")</f>
        <v>965</v>
      </c>
      <c r="C36" s="9"/>
    </row>
    <row r="37" spans="1:7" ht="3.8" customHeight="1" x14ac:dyDescent="0.3"/>
    <row r="38" spans="1:7" ht="45" customHeight="1" x14ac:dyDescent="0.3">
      <c r="A38" s="102" t="s">
        <v>52</v>
      </c>
      <c r="B38" s="102"/>
    </row>
    <row r="39" spans="1:7" ht="11.95" customHeight="1" x14ac:dyDescent="0.3">
      <c r="A39" s="43"/>
      <c r="B39" s="43"/>
    </row>
    <row r="40" spans="1:7" ht="78.05" customHeight="1" x14ac:dyDescent="0.3">
      <c r="A40" s="101" t="s">
        <v>55</v>
      </c>
      <c r="B40" s="101"/>
      <c r="C40" s="101"/>
      <c r="D40" s="101"/>
      <c r="E40" s="101"/>
      <c r="F40" s="101"/>
    </row>
    <row r="41" spans="1:7" ht="18" customHeight="1" x14ac:dyDescent="0.45">
      <c r="D41" s="25"/>
      <c r="E41" s="25"/>
      <c r="F41" s="25"/>
      <c r="G41" s="25"/>
    </row>
    <row r="42" spans="1:7" ht="15.05" customHeight="1" x14ac:dyDescent="0.3"/>
    <row r="59" spans="1:3" ht="34.549999999999997" customHeight="1" x14ac:dyDescent="0.3">
      <c r="A59" s="17"/>
      <c r="B59" s="45" t="s">
        <v>1</v>
      </c>
      <c r="C59" s="45" t="s">
        <v>16</v>
      </c>
    </row>
    <row r="60" spans="1:3" ht="46.5" customHeight="1" x14ac:dyDescent="0.3">
      <c r="A60" s="73" t="s">
        <v>73</v>
      </c>
      <c r="B60" s="53" t="s">
        <v>21</v>
      </c>
      <c r="C60" s="12" t="s">
        <v>53</v>
      </c>
    </row>
    <row r="61" spans="1:3" ht="29.95" customHeight="1" x14ac:dyDescent="0.3">
      <c r="A61" s="15" t="s">
        <v>25</v>
      </c>
      <c r="B61" s="49">
        <v>32</v>
      </c>
      <c r="C61" s="12" t="s">
        <v>87</v>
      </c>
    </row>
    <row r="62" spans="1:3" ht="29.95" customHeight="1" x14ac:dyDescent="0.3">
      <c r="A62" s="15" t="s">
        <v>26</v>
      </c>
      <c r="B62" s="49">
        <v>22</v>
      </c>
      <c r="C62" s="12" t="s">
        <v>93</v>
      </c>
    </row>
    <row r="63" spans="1:3" ht="77.900000000000006" x14ac:dyDescent="0.3">
      <c r="A63" s="15" t="s">
        <v>30</v>
      </c>
      <c r="B63" s="49">
        <v>12.5</v>
      </c>
      <c r="C63" s="12" t="s">
        <v>89</v>
      </c>
    </row>
    <row r="64" spans="1:3" ht="30.15" x14ac:dyDescent="0.3">
      <c r="A64" s="15" t="s">
        <v>76</v>
      </c>
      <c r="B64" s="49">
        <v>0</v>
      </c>
      <c r="C64" s="12" t="s">
        <v>140</v>
      </c>
    </row>
    <row r="65" spans="1:8" ht="29.95" customHeight="1" x14ac:dyDescent="0.3">
      <c r="A65" s="29" t="s">
        <v>102</v>
      </c>
      <c r="B65" s="49">
        <v>35</v>
      </c>
      <c r="C65" s="12" t="s">
        <v>77</v>
      </c>
    </row>
    <row r="66" spans="1:8" ht="15.75" x14ac:dyDescent="0.3">
      <c r="A66" s="18"/>
      <c r="B66" s="47" t="s">
        <v>2</v>
      </c>
    </row>
    <row r="67" spans="1:8" ht="18" customHeight="1" x14ac:dyDescent="0.3">
      <c r="A67" s="15" t="s">
        <v>8</v>
      </c>
      <c r="B67" s="30" t="str">
        <f>IF(B60="No","N.A.",IF(B65&lt;B63,B62,B62+B64-(B63/IF(B65=0,1,B65))*B64))</f>
        <v>N.A.</v>
      </c>
      <c r="C67" s="32"/>
    </row>
    <row r="68" spans="1:8" ht="18" customHeight="1" x14ac:dyDescent="0.3">
      <c r="A68" s="15" t="s">
        <v>24</v>
      </c>
      <c r="B68" s="11" t="str">
        <f>IF(B60="No","N.A.",IF(B21="Westbound","Eastbound",IF(B21="Eastbound", "Westbound",IF(B21="Northbound","Southbound",IF(B21="Southbound","Northbound")))))</f>
        <v>N.A.</v>
      </c>
    </row>
    <row r="69" spans="1:8" ht="30.15" x14ac:dyDescent="0.3">
      <c r="A69" s="19" t="s">
        <v>19</v>
      </c>
      <c r="B69" s="24" t="str">
        <f>IF(B60="Yes",IF(OR(B21="Westbound",B21="Southbound"), (B24-B25),(B24+B25)),"N.A.")</f>
        <v>N.A.</v>
      </c>
    </row>
    <row r="70" spans="1:8" ht="16.399999999999999" x14ac:dyDescent="0.3">
      <c r="A70" s="15" t="s">
        <v>6</v>
      </c>
      <c r="B70" s="20" t="str">
        <f>IF(B60="Yes",INDEX(value,MATCH(B23,row,-1),MATCH(B22,col,1)),"N.A.")</f>
        <v>N.A.</v>
      </c>
      <c r="C70" s="22"/>
    </row>
    <row r="71" spans="1:8" ht="18" customHeight="1" x14ac:dyDescent="0.3">
      <c r="A71" s="15" t="s">
        <v>9</v>
      </c>
      <c r="B71" s="61" t="str">
        <f>IF(B60="Yes",(B61-B67)/(B61/B70),"N.A.")</f>
        <v>N.A.</v>
      </c>
      <c r="C71" s="59" t="s">
        <v>61</v>
      </c>
    </row>
    <row r="72" spans="1:8" ht="32.25" customHeight="1" x14ac:dyDescent="0.3">
      <c r="A72" s="16" t="s">
        <v>27</v>
      </c>
      <c r="B72" s="37" t="str">
        <f>IF(B60="Yes",IF(OR(B21="Westbound",B21="Southbound"), B24-B25-B71-B63,B24+B25+B71+B63),"N.A.")</f>
        <v>N.A.</v>
      </c>
    </row>
    <row r="73" spans="1:8" ht="18" customHeight="1" x14ac:dyDescent="0.3">
      <c r="A73" s="67"/>
      <c r="B73" s="71"/>
    </row>
    <row r="74" spans="1:8" ht="14.4" hidden="1" x14ac:dyDescent="0.3">
      <c r="A74" s="16" t="s">
        <v>68</v>
      </c>
      <c r="B74" s="20">
        <f>IF(B82="-",ABS(B72-B35),ABS(B36-B35))</f>
        <v>211.78571428571422</v>
      </c>
      <c r="C74" s="22"/>
    </row>
    <row r="75" spans="1:8" ht="14.4" hidden="1" x14ac:dyDescent="0.3">
      <c r="A75" s="16" t="s">
        <v>67</v>
      </c>
      <c r="B75" s="20">
        <f>ROUNDUP(B74/6.25, 0)*6.25</f>
        <v>212.5</v>
      </c>
      <c r="C75" s="22"/>
    </row>
    <row r="76" spans="1:8" ht="27" hidden="1" customHeight="1" x14ac:dyDescent="0.3">
      <c r="A76" s="16" t="s">
        <v>69</v>
      </c>
      <c r="B76" s="20">
        <f>IF(B82="-", (B75-B74)/2, (B75-B74))</f>
        <v>0.71428571428577925</v>
      </c>
      <c r="C76" s="32" t="s">
        <v>70</v>
      </c>
    </row>
    <row r="77" spans="1:8" ht="29.95" hidden="1" customHeight="1" x14ac:dyDescent="0.3">
      <c r="A77" s="69" t="s">
        <v>71</v>
      </c>
      <c r="B77" s="70">
        <f>IF(B82="-",ABS(C80-C84),ABS(C80-C82))</f>
        <v>212.5</v>
      </c>
      <c r="C77" s="72" t="s">
        <v>72</v>
      </c>
    </row>
    <row r="78" spans="1:8" ht="34.549999999999997" customHeight="1" x14ac:dyDescent="0.45">
      <c r="A78" s="103" t="s">
        <v>120</v>
      </c>
      <c r="B78" s="103"/>
      <c r="C78" s="103"/>
      <c r="D78" s="103"/>
    </row>
    <row r="79" spans="1:8" ht="19.5" customHeight="1" x14ac:dyDescent="0.45">
      <c r="B79" s="38" t="s">
        <v>74</v>
      </c>
      <c r="C79" s="38" t="s">
        <v>2</v>
      </c>
      <c r="D79" s="25"/>
      <c r="E79" s="25"/>
      <c r="F79" s="25"/>
      <c r="G79" s="25"/>
    </row>
    <row r="80" spans="1:8" ht="47.95" customHeight="1" x14ac:dyDescent="0.45">
      <c r="A80" s="16" t="s">
        <v>79</v>
      </c>
      <c r="B80" s="76" t="str">
        <f>IF(OR(B21="Eastbound",B21="Northbound"),"≤", "≥")</f>
        <v>≥</v>
      </c>
      <c r="C80" s="77">
        <f>IF(B80="≤",B35-B76,B35+B76)</f>
        <v>1177.5</v>
      </c>
      <c r="D80" s="100" t="s">
        <v>88</v>
      </c>
      <c r="E80" s="25"/>
      <c r="F80" s="25"/>
      <c r="G80" s="25"/>
      <c r="H80" s="79"/>
    </row>
    <row r="81" spans="1:7" ht="20.3" customHeight="1" x14ac:dyDescent="0.45">
      <c r="A81" s="99" t="s">
        <v>86</v>
      </c>
      <c r="B81" s="99"/>
      <c r="C81" s="74">
        <f>B27+B29</f>
        <v>10</v>
      </c>
      <c r="D81" s="100"/>
      <c r="E81" s="25"/>
      <c r="F81" s="25"/>
      <c r="G81" s="25"/>
    </row>
    <row r="82" spans="1:7" ht="47.95" customHeight="1" x14ac:dyDescent="0.3">
      <c r="A82" s="33" t="s">
        <v>143</v>
      </c>
      <c r="B82" s="76" t="str">
        <f>IF(B36="N.A.","-",IF(OR(B21="Eastbound",B21="Northbound"),"≥", "≤"))</f>
        <v>≤</v>
      </c>
      <c r="C82" s="78">
        <f>B36</f>
        <v>965</v>
      </c>
      <c r="D82" s="100"/>
    </row>
    <row r="83" spans="1:7" ht="20.3" customHeight="1" x14ac:dyDescent="0.3">
      <c r="A83" s="99" t="s">
        <v>86</v>
      </c>
      <c r="B83" s="99"/>
      <c r="C83" s="74">
        <f>IF(C82="N.A.", "N.A.",B27)</f>
        <v>10</v>
      </c>
      <c r="D83" s="100"/>
    </row>
    <row r="84" spans="1:7" ht="47.95" customHeight="1" x14ac:dyDescent="0.3">
      <c r="A84" s="34" t="s">
        <v>78</v>
      </c>
      <c r="B84" s="76" t="str">
        <f>IF(B72="N.A.","-",IF(OR(B21="Eastbound",B21="Northbound"),"≥", "≤"))</f>
        <v>-</v>
      </c>
      <c r="C84" s="78" t="str">
        <f>IF(B84="≥",B72+B76,IF(B84= "≤", B72-B76, "N.A."))</f>
        <v>N.A.</v>
      </c>
      <c r="D84" s="100"/>
    </row>
    <row r="85" spans="1:7" ht="20.3" customHeight="1" x14ac:dyDescent="0.3">
      <c r="A85" s="99" t="s">
        <v>86</v>
      </c>
      <c r="B85" s="99"/>
      <c r="C85" s="74" t="str">
        <f>IF(C84="N.A.", "N.A.",B27+B64)</f>
        <v>N.A.</v>
      </c>
      <c r="D85" s="100"/>
    </row>
    <row r="86" spans="1:7" ht="23.25" customHeight="1" x14ac:dyDescent="0.3">
      <c r="A86" s="68"/>
      <c r="B86" s="68"/>
    </row>
  </sheetData>
  <sheetProtection sheet="1" objects="1" scenarios="1" selectLockedCells="1"/>
  <mergeCells count="7">
    <mergeCell ref="A85:B85"/>
    <mergeCell ref="D80:D85"/>
    <mergeCell ref="A40:F40"/>
    <mergeCell ref="A38:B38"/>
    <mergeCell ref="A78:D78"/>
    <mergeCell ref="A81:B81"/>
    <mergeCell ref="A83:B83"/>
  </mergeCells>
  <pageMargins left="0.7" right="0.7" top="0.75" bottom="0.75" header="0.3" footer="0.3"/>
  <pageSetup scale="37"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'RDG Data'!$A$19:$A$22</xm:f>
          </x14:formula1>
          <xm:sqref>B21</xm:sqref>
        </x14:dataValidation>
        <x14:dataValidation type="list" allowBlank="1" showInputMessage="1" showErrorMessage="1" xr:uid="{00000000-0002-0000-0000-000001000000}">
          <x14:formula1>
            <xm:f>'RDG Data'!$A$24:$A$25</xm:f>
          </x14:formula1>
          <xm:sqref>B60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9"/>
  <sheetViews>
    <sheetView zoomScaleNormal="100" workbookViewId="0">
      <selection activeCell="D2" sqref="D2"/>
    </sheetView>
  </sheetViews>
  <sheetFormatPr defaultRowHeight="15.05" x14ac:dyDescent="0.3"/>
  <cols>
    <col min="1" max="1" width="38.33203125" customWidth="1"/>
    <col min="2" max="2" width="19" customWidth="1"/>
    <col min="3" max="3" width="53.88671875" customWidth="1"/>
    <col min="4" max="4" width="27" customWidth="1"/>
  </cols>
  <sheetData>
    <row r="1" spans="1:8" ht="28.8" x14ac:dyDescent="0.55000000000000004">
      <c r="A1" s="23" t="s">
        <v>146</v>
      </c>
    </row>
    <row r="2" spans="1:8" ht="21.8" customHeight="1" x14ac:dyDescent="0.3">
      <c r="A2" s="104" t="s">
        <v>136</v>
      </c>
      <c r="C2" s="36" t="s">
        <v>90</v>
      </c>
      <c r="D2" s="62"/>
    </row>
    <row r="3" spans="1:8" ht="21.8" customHeight="1" x14ac:dyDescent="0.3">
      <c r="A3" s="104"/>
      <c r="C3" s="36" t="s">
        <v>91</v>
      </c>
      <c r="D3" s="62"/>
    </row>
    <row r="4" spans="1:8" ht="21.8" customHeight="1" x14ac:dyDescent="0.3">
      <c r="C4" s="36" t="s">
        <v>31</v>
      </c>
      <c r="D4" s="62"/>
    </row>
    <row r="5" spans="1:8" ht="56.95" customHeight="1" x14ac:dyDescent="0.3">
      <c r="A5" s="108" t="s">
        <v>96</v>
      </c>
      <c r="B5" s="108"/>
      <c r="C5" s="108"/>
      <c r="D5" s="108"/>
    </row>
    <row r="6" spans="1:8" ht="27.85" customHeight="1" x14ac:dyDescent="0.3"/>
    <row r="15" spans="1:8" x14ac:dyDescent="0.3">
      <c r="H15" s="39"/>
    </row>
    <row r="16" spans="1:8" x14ac:dyDescent="0.3">
      <c r="H16" s="39"/>
    </row>
    <row r="17" spans="1:11" x14ac:dyDescent="0.3">
      <c r="H17" s="39"/>
    </row>
    <row r="18" spans="1:11" x14ac:dyDescent="0.3">
      <c r="H18" s="39"/>
    </row>
    <row r="19" spans="1:11" ht="21.6" customHeight="1" x14ac:dyDescent="0.3">
      <c r="H19" s="39"/>
    </row>
    <row r="20" spans="1:11" ht="20.45" customHeight="1" x14ac:dyDescent="0.35">
      <c r="B20" s="45" t="s">
        <v>1</v>
      </c>
      <c r="C20" s="45" t="s">
        <v>16</v>
      </c>
      <c r="E20" s="2"/>
      <c r="H20" s="39"/>
      <c r="K20" s="1"/>
    </row>
    <row r="21" spans="1:11" ht="18" customHeight="1" x14ac:dyDescent="0.35">
      <c r="A21" s="13" t="s">
        <v>15</v>
      </c>
      <c r="B21" s="48" t="s">
        <v>13</v>
      </c>
      <c r="C21" s="12" t="s">
        <v>23</v>
      </c>
      <c r="E21" s="2"/>
      <c r="J21" s="39"/>
      <c r="K21" s="1"/>
    </row>
    <row r="22" spans="1:11" ht="18" customHeight="1" x14ac:dyDescent="0.3">
      <c r="A22" s="13" t="s">
        <v>101</v>
      </c>
      <c r="B22" s="49">
        <v>10000</v>
      </c>
      <c r="C22" s="28"/>
    </row>
    <row r="23" spans="1:11" ht="18" customHeight="1" x14ac:dyDescent="0.3">
      <c r="A23" s="15" t="s">
        <v>0</v>
      </c>
      <c r="B23" s="54">
        <v>50</v>
      </c>
      <c r="C23" s="28"/>
    </row>
    <row r="24" spans="1:11" ht="29.95" customHeight="1" x14ac:dyDescent="0.35">
      <c r="A24" s="14" t="s">
        <v>124</v>
      </c>
      <c r="B24" s="51">
        <f>9900+7.25/12</f>
        <v>9900.6041666666661</v>
      </c>
      <c r="C24" s="12" t="s">
        <v>48</v>
      </c>
      <c r="E24" s="7"/>
      <c r="K24" s="1"/>
    </row>
    <row r="25" spans="1:11" ht="46.5" customHeight="1" x14ac:dyDescent="0.3">
      <c r="A25" s="15" t="s">
        <v>10</v>
      </c>
      <c r="B25" s="49">
        <v>6</v>
      </c>
      <c r="C25" s="12" t="s">
        <v>49</v>
      </c>
    </row>
    <row r="26" spans="1:11" ht="46.5" customHeight="1" x14ac:dyDescent="0.3">
      <c r="A26" s="15" t="s">
        <v>7</v>
      </c>
      <c r="B26" s="49">
        <v>30</v>
      </c>
      <c r="C26" s="12" t="s">
        <v>50</v>
      </c>
    </row>
    <row r="27" spans="1:11" ht="74.95" customHeight="1" x14ac:dyDescent="0.35">
      <c r="A27" s="14" t="s">
        <v>57</v>
      </c>
      <c r="B27" s="55">
        <f>12+6/12+6+3/12+9+4.5/12-7.25/12</f>
        <v>27.520833333333332</v>
      </c>
      <c r="C27" s="12" t="s">
        <v>141</v>
      </c>
      <c r="E27" s="7"/>
      <c r="K27" s="1"/>
    </row>
    <row r="28" spans="1:11" ht="46.5" customHeight="1" x14ac:dyDescent="0.35">
      <c r="A28" s="14" t="s">
        <v>149</v>
      </c>
      <c r="B28" s="55">
        <f>18+9/12+3+1.5/12</f>
        <v>21.875</v>
      </c>
      <c r="C28" s="12" t="s">
        <v>154</v>
      </c>
      <c r="E28" s="7"/>
      <c r="K28" s="1"/>
    </row>
    <row r="29" spans="1:11" ht="46.5" customHeight="1" x14ac:dyDescent="0.35">
      <c r="A29" s="14" t="s">
        <v>59</v>
      </c>
      <c r="B29" s="56">
        <v>15</v>
      </c>
      <c r="C29" s="12" t="s">
        <v>46</v>
      </c>
      <c r="E29" s="7"/>
      <c r="K29" s="1"/>
    </row>
    <row r="30" spans="1:11" ht="60.75" customHeight="1" x14ac:dyDescent="0.35">
      <c r="A30" s="40" t="s">
        <v>33</v>
      </c>
      <c r="B30" s="57">
        <v>10</v>
      </c>
      <c r="C30" s="41" t="s">
        <v>83</v>
      </c>
      <c r="E30" s="7"/>
      <c r="K30" s="1"/>
    </row>
    <row r="31" spans="1:11" ht="20.3" hidden="1" customHeight="1" x14ac:dyDescent="0.35">
      <c r="A31" s="65" t="s">
        <v>66</v>
      </c>
      <c r="B31" s="64">
        <f>B27+B28</f>
        <v>49.395833333333329</v>
      </c>
      <c r="C31" s="63"/>
      <c r="E31" s="7"/>
      <c r="K31" s="1"/>
    </row>
    <row r="32" spans="1:11" ht="18.850000000000001" hidden="1" customHeight="1" x14ac:dyDescent="0.3">
      <c r="A32" s="35" t="s">
        <v>37</v>
      </c>
      <c r="B32" s="21">
        <f xml:space="preserve"> (B29*B30*B26-B43*(B29*B25-B29*B26-B31))/(B43+B29*B26)</f>
        <v>145.08976715686273</v>
      </c>
      <c r="C32" s="9"/>
    </row>
    <row r="33" spans="1:8" ht="18.850000000000001" hidden="1" customHeight="1" x14ac:dyDescent="0.3">
      <c r="A33" s="35" t="s">
        <v>38</v>
      </c>
      <c r="B33" s="21">
        <f>(B32-(B27+B28))/B29+B25</f>
        <v>12.379595588235293</v>
      </c>
      <c r="C33" s="9"/>
    </row>
    <row r="34" spans="1:8" ht="18.850000000000001" hidden="1" customHeight="1" x14ac:dyDescent="0.3">
      <c r="A34" s="35" t="s">
        <v>42</v>
      </c>
      <c r="B34" s="21">
        <f>B32-B27-B28</f>
        <v>95.693933823529406</v>
      </c>
      <c r="C34" s="9"/>
    </row>
    <row r="35" spans="1:8" ht="18.850000000000001" hidden="1" customHeight="1" x14ac:dyDescent="0.3">
      <c r="A35" s="35" t="s">
        <v>36</v>
      </c>
      <c r="B35" s="42">
        <f>SQRT((B34)^2+(B33-B25)^2)</f>
        <v>95.90635125210143</v>
      </c>
      <c r="C35" s="9"/>
    </row>
    <row r="36" spans="1:8" ht="18.850000000000001" hidden="1" customHeight="1" x14ac:dyDescent="0.3">
      <c r="A36" s="35" t="s">
        <v>35</v>
      </c>
      <c r="B36" s="42">
        <f>ROUNDUP(B35/6.25,0)*6.25</f>
        <v>100</v>
      </c>
    </row>
    <row r="37" spans="1:8" ht="18.850000000000001" hidden="1" customHeight="1" x14ac:dyDescent="0.3">
      <c r="A37" s="35" t="s">
        <v>41</v>
      </c>
      <c r="B37" s="42">
        <f>ATAN(1/B29)*180/3.14</f>
        <v>3.8160093884230211</v>
      </c>
      <c r="C37" s="9"/>
    </row>
    <row r="38" spans="1:8" ht="18.850000000000001" hidden="1" customHeight="1" x14ac:dyDescent="0.3">
      <c r="A38" s="35" t="s">
        <v>39</v>
      </c>
      <c r="B38" s="42">
        <f>COS(B37*3.14/180)*B36</f>
        <v>99.778515785660886</v>
      </c>
      <c r="C38" s="9"/>
    </row>
    <row r="39" spans="1:8" ht="18.850000000000001" hidden="1" customHeight="1" x14ac:dyDescent="0.3">
      <c r="A39" s="35" t="s">
        <v>40</v>
      </c>
      <c r="B39" s="42">
        <f>SIN(B37*3.14/180)*B36+B25</f>
        <v>12.651901052377394</v>
      </c>
      <c r="C39" s="9"/>
    </row>
    <row r="40" spans="1:8" ht="23.25" hidden="1" customHeight="1" x14ac:dyDescent="0.3">
      <c r="A40" s="35" t="s">
        <v>45</v>
      </c>
      <c r="B40" s="42">
        <f>B38+B27+B28</f>
        <v>149.1743491189942</v>
      </c>
      <c r="C40" s="9"/>
    </row>
    <row r="41" spans="1:8" ht="33.049999999999997" customHeight="1" x14ac:dyDescent="0.45">
      <c r="A41" s="107" t="s">
        <v>32</v>
      </c>
      <c r="B41" s="107"/>
      <c r="C41" s="107"/>
    </row>
    <row r="42" spans="1:8" ht="18.850000000000001" customHeight="1" x14ac:dyDescent="0.3">
      <c r="A42" s="16" t="s">
        <v>8</v>
      </c>
      <c r="B42" s="30">
        <f>B39</f>
        <v>12.651901052377394</v>
      </c>
      <c r="C42" s="109" t="s">
        <v>148</v>
      </c>
      <c r="D42" s="27"/>
      <c r="G42" s="26"/>
      <c r="H42" s="27"/>
    </row>
    <row r="43" spans="1:8" ht="18.850000000000001" customHeight="1" x14ac:dyDescent="0.3">
      <c r="A43" s="10" t="s">
        <v>6</v>
      </c>
      <c r="B43" s="11">
        <f>INDEX(value,MATCH(B23,row,-1),MATCH(B22,col,1))</f>
        <v>230</v>
      </c>
      <c r="C43" s="110"/>
      <c r="D43" s="27"/>
    </row>
    <row r="44" spans="1:8" ht="18.850000000000001" customHeight="1" x14ac:dyDescent="0.3">
      <c r="A44" s="8" t="s">
        <v>34</v>
      </c>
      <c r="B44" s="83">
        <f>B40</f>
        <v>149.1743491189942</v>
      </c>
      <c r="C44" s="110"/>
      <c r="D44" s="27"/>
    </row>
    <row r="45" spans="1:8" ht="33.049999999999997" customHeight="1" x14ac:dyDescent="0.3">
      <c r="A45" s="81" t="s">
        <v>43</v>
      </c>
      <c r="B45" s="44">
        <f>IF(OR(B21="Westbound",B21="Southbound"),(B24-7.25/12),(B24+7.25/12))</f>
        <v>9900</v>
      </c>
      <c r="C45" s="110"/>
      <c r="D45" s="27"/>
    </row>
    <row r="46" spans="1:8" ht="16.55" customHeight="1" x14ac:dyDescent="0.3">
      <c r="A46" s="82" t="s">
        <v>82</v>
      </c>
      <c r="B46" s="75">
        <f>B25</f>
        <v>6</v>
      </c>
      <c r="C46" s="110"/>
      <c r="D46" s="27"/>
    </row>
    <row r="47" spans="1:8" ht="33.049999999999997" customHeight="1" x14ac:dyDescent="0.3">
      <c r="A47" s="81" t="s">
        <v>44</v>
      </c>
      <c r="B47" s="44">
        <f>IF(OR(B21="Westbound",B21="Southbound"),(B24+B27),(B24-B27))</f>
        <v>9928.125</v>
      </c>
      <c r="C47" s="110"/>
      <c r="D47" s="27"/>
    </row>
    <row r="48" spans="1:8" ht="16.55" customHeight="1" x14ac:dyDescent="0.3">
      <c r="A48" s="82" t="s">
        <v>82</v>
      </c>
      <c r="B48" s="75">
        <f>B25</f>
        <v>6</v>
      </c>
      <c r="C48" s="110"/>
      <c r="D48" s="27"/>
    </row>
    <row r="49" spans="1:7" ht="33.049999999999997" customHeight="1" x14ac:dyDescent="0.3">
      <c r="A49" s="81" t="s">
        <v>44</v>
      </c>
      <c r="B49" s="44">
        <f>IF(OR(B21="Westbound",B21="Southbound"),(B24+B27+B38),(B24-B27-B38))</f>
        <v>10027.903515785662</v>
      </c>
      <c r="C49" s="110"/>
      <c r="D49" s="27"/>
    </row>
    <row r="50" spans="1:7" ht="16.55" customHeight="1" x14ac:dyDescent="0.3">
      <c r="A50" s="82" t="s">
        <v>82</v>
      </c>
      <c r="B50" s="75">
        <f>B42</f>
        <v>12.651901052377394</v>
      </c>
      <c r="C50" s="110"/>
      <c r="D50" s="27"/>
      <c r="G50" s="80"/>
    </row>
    <row r="51" spans="1:7" ht="33.049999999999997" customHeight="1" x14ac:dyDescent="0.3">
      <c r="A51" s="81" t="s">
        <v>81</v>
      </c>
      <c r="B51" s="44">
        <f>IF(OR(B21="Westbound",B21="Southbound"),(B24+B44),(B24-B44))</f>
        <v>10049.77851578566</v>
      </c>
      <c r="C51" s="110"/>
      <c r="D51" s="27"/>
    </row>
    <row r="52" spans="1:7" ht="18" customHeight="1" x14ac:dyDescent="0.3">
      <c r="A52" s="82" t="s">
        <v>82</v>
      </c>
      <c r="B52" s="84">
        <f>B42</f>
        <v>12.651901052377394</v>
      </c>
      <c r="C52" s="111"/>
    </row>
    <row r="53" spans="1:7" ht="18.850000000000001" customHeight="1" x14ac:dyDescent="0.3">
      <c r="A53" s="112"/>
      <c r="B53" s="112"/>
      <c r="C53" s="85"/>
    </row>
    <row r="54" spans="1:7" ht="18.850000000000001" customHeight="1" x14ac:dyDescent="0.3">
      <c r="A54" s="106"/>
      <c r="B54" s="106"/>
    </row>
    <row r="55" spans="1:7" ht="36" customHeight="1" x14ac:dyDescent="0.45">
      <c r="A55" s="105" t="s">
        <v>75</v>
      </c>
      <c r="B55" s="105"/>
      <c r="D55" s="25"/>
      <c r="E55" s="25"/>
      <c r="F55" s="25"/>
      <c r="G55" s="25"/>
    </row>
    <row r="56" spans="1:7" ht="58.6" customHeight="1" x14ac:dyDescent="0.3">
      <c r="A56" s="106"/>
      <c r="B56" s="106"/>
    </row>
    <row r="57" spans="1:7" ht="36" customHeight="1" x14ac:dyDescent="0.3">
      <c r="A57" s="105" t="s">
        <v>65</v>
      </c>
      <c r="B57" s="105"/>
    </row>
    <row r="58" spans="1:7" ht="28.5" customHeight="1" x14ac:dyDescent="0.45">
      <c r="D58" s="25"/>
      <c r="E58" s="25"/>
      <c r="F58" s="25"/>
      <c r="G58" s="25"/>
    </row>
    <row r="59" spans="1:7" ht="15.75" hidden="1" customHeight="1" x14ac:dyDescent="0.3"/>
    <row r="78" spans="1:3" ht="31.6" customHeight="1" x14ac:dyDescent="0.3">
      <c r="A78" s="17"/>
      <c r="B78" s="4"/>
      <c r="C78" s="4"/>
    </row>
    <row r="79" spans="1:3" ht="29.3" customHeight="1" x14ac:dyDescent="0.3"/>
  </sheetData>
  <sheetProtection sheet="1" objects="1" scenarios="1" selectLockedCells="1"/>
  <mergeCells count="9">
    <mergeCell ref="A2:A3"/>
    <mergeCell ref="A57:B57"/>
    <mergeCell ref="A54:B54"/>
    <mergeCell ref="A41:C41"/>
    <mergeCell ref="A5:D5"/>
    <mergeCell ref="A55:B55"/>
    <mergeCell ref="A56:B56"/>
    <mergeCell ref="C42:C52"/>
    <mergeCell ref="A53:B53"/>
  </mergeCells>
  <pageMargins left="0.7" right="0.7" top="0.75" bottom="0.75" header="0.3" footer="0.3"/>
  <pageSetup scale="61" fitToHeight="2" orientation="portrait" r:id="rId1"/>
  <headerFooter>
    <oddFooter>&amp;L&amp;D&amp;C&amp;F&amp;A&amp;RPage &amp;P of &amp;N</oddFooter>
  </headerFooter>
  <ignoredErrors>
    <ignoredError sqref="B27:B28 B24"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'RDG Data'!$A$19:$A$22</xm:f>
          </x14:formula1>
          <xm:sqref>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6"/>
  <sheetViews>
    <sheetView zoomScaleNormal="100" workbookViewId="0">
      <selection activeCell="D2" sqref="D2"/>
    </sheetView>
  </sheetViews>
  <sheetFormatPr defaultRowHeight="15.05" x14ac:dyDescent="0.3"/>
  <cols>
    <col min="1" max="1" width="38.33203125" customWidth="1"/>
    <col min="2" max="2" width="19" customWidth="1"/>
    <col min="3" max="3" width="53.88671875" customWidth="1"/>
    <col min="4" max="4" width="26.88671875" customWidth="1"/>
  </cols>
  <sheetData>
    <row r="1" spans="1:8" ht="28.8" x14ac:dyDescent="0.55000000000000004">
      <c r="A1" s="23" t="s">
        <v>146</v>
      </c>
    </row>
    <row r="2" spans="1:8" ht="21.8" customHeight="1" x14ac:dyDescent="0.3">
      <c r="A2" s="104" t="s">
        <v>136</v>
      </c>
      <c r="C2" s="36" t="s">
        <v>90</v>
      </c>
      <c r="D2" s="62"/>
    </row>
    <row r="3" spans="1:8" ht="21.8" customHeight="1" x14ac:dyDescent="0.3">
      <c r="A3" s="104"/>
      <c r="C3" s="36" t="s">
        <v>91</v>
      </c>
      <c r="D3" s="62"/>
    </row>
    <row r="4" spans="1:8" ht="21.8" customHeight="1" x14ac:dyDescent="0.3">
      <c r="C4" s="36" t="s">
        <v>31</v>
      </c>
      <c r="D4" s="62"/>
    </row>
    <row r="5" spans="1:8" ht="51.75" customHeight="1" x14ac:dyDescent="0.3">
      <c r="A5" s="108" t="s">
        <v>95</v>
      </c>
      <c r="B5" s="108"/>
      <c r="C5" s="108"/>
      <c r="D5" s="108"/>
    </row>
    <row r="6" spans="1:8" ht="27.85" customHeight="1" x14ac:dyDescent="0.3"/>
    <row r="13" spans="1:8" x14ac:dyDescent="0.3">
      <c r="H13" s="39"/>
    </row>
    <row r="14" spans="1:8" x14ac:dyDescent="0.3">
      <c r="H14" s="39"/>
    </row>
    <row r="15" spans="1:8" x14ac:dyDescent="0.3">
      <c r="H15" s="39"/>
    </row>
    <row r="16" spans="1:8" x14ac:dyDescent="0.3">
      <c r="H16" s="39"/>
    </row>
    <row r="17" spans="1:12" x14ac:dyDescent="0.3">
      <c r="H17" s="39"/>
    </row>
    <row r="18" spans="1:12" ht="10.5" customHeight="1" x14ac:dyDescent="0.3">
      <c r="H18" s="39"/>
    </row>
    <row r="19" spans="1:12" ht="27" customHeight="1" x14ac:dyDescent="0.3">
      <c r="H19" s="39"/>
    </row>
    <row r="20" spans="1:12" ht="24.55" customHeight="1" x14ac:dyDescent="0.35">
      <c r="B20" s="45" t="s">
        <v>1</v>
      </c>
      <c r="C20" s="45" t="s">
        <v>16</v>
      </c>
      <c r="E20" s="2"/>
      <c r="H20" s="39"/>
      <c r="K20" s="1"/>
      <c r="L20" s="9"/>
    </row>
    <row r="21" spans="1:12" ht="18" customHeight="1" x14ac:dyDescent="0.35">
      <c r="A21" s="13" t="s">
        <v>15</v>
      </c>
      <c r="B21" s="48" t="s">
        <v>13</v>
      </c>
      <c r="C21" s="12" t="s">
        <v>23</v>
      </c>
      <c r="E21" s="2"/>
      <c r="J21" s="39"/>
      <c r="K21" s="1"/>
    </row>
    <row r="22" spans="1:12" ht="18" customHeight="1" x14ac:dyDescent="0.3">
      <c r="A22" s="13" t="s">
        <v>101</v>
      </c>
      <c r="B22" s="49">
        <v>10000</v>
      </c>
      <c r="C22" s="28"/>
    </row>
    <row r="23" spans="1:12" ht="18" customHeight="1" x14ac:dyDescent="0.3">
      <c r="A23" s="15" t="s">
        <v>0</v>
      </c>
      <c r="B23" s="54">
        <v>50</v>
      </c>
      <c r="C23" s="28"/>
    </row>
    <row r="24" spans="1:12" ht="29.95" customHeight="1" x14ac:dyDescent="0.35">
      <c r="A24" s="14" t="s">
        <v>124</v>
      </c>
      <c r="B24" s="51">
        <v>9000.6</v>
      </c>
      <c r="C24" s="12" t="s">
        <v>48</v>
      </c>
      <c r="E24" s="7"/>
      <c r="K24" s="1"/>
    </row>
    <row r="25" spans="1:12" ht="46.5" customHeight="1" x14ac:dyDescent="0.3">
      <c r="A25" s="15" t="s">
        <v>10</v>
      </c>
      <c r="B25" s="49">
        <v>6</v>
      </c>
      <c r="C25" s="12" t="s">
        <v>49</v>
      </c>
    </row>
    <row r="26" spans="1:12" ht="46.5" customHeight="1" x14ac:dyDescent="0.3">
      <c r="A26" s="15" t="s">
        <v>7</v>
      </c>
      <c r="B26" s="49">
        <v>30</v>
      </c>
      <c r="C26" s="12" t="s">
        <v>50</v>
      </c>
    </row>
    <row r="27" spans="1:12" ht="74.95" customHeight="1" x14ac:dyDescent="0.35">
      <c r="A27" s="14" t="s">
        <v>57</v>
      </c>
      <c r="B27" s="55">
        <f>12+6/12+6+3/12+9+4.5/12-7.25/12</f>
        <v>27.520833333333332</v>
      </c>
      <c r="C27" s="12" t="s">
        <v>141</v>
      </c>
      <c r="E27" s="7"/>
      <c r="K27" s="1"/>
    </row>
    <row r="28" spans="1:12" ht="29.95" customHeight="1" x14ac:dyDescent="0.35">
      <c r="A28" s="14" t="s">
        <v>58</v>
      </c>
      <c r="B28" s="55">
        <v>56.25</v>
      </c>
      <c r="C28" s="12" t="s">
        <v>103</v>
      </c>
      <c r="E28" s="7"/>
      <c r="K28" s="1"/>
    </row>
    <row r="29" spans="1:12" ht="46.5" customHeight="1" x14ac:dyDescent="0.35">
      <c r="A29" s="14" t="s">
        <v>30</v>
      </c>
      <c r="B29" s="55">
        <v>12.5</v>
      </c>
      <c r="C29" s="12" t="s">
        <v>56</v>
      </c>
      <c r="E29" s="7"/>
      <c r="K29" s="1"/>
    </row>
    <row r="30" spans="1:12" ht="47.3" customHeight="1" x14ac:dyDescent="0.35">
      <c r="A30" s="14" t="s">
        <v>59</v>
      </c>
      <c r="B30" s="56">
        <v>15</v>
      </c>
      <c r="C30" s="12" t="s">
        <v>46</v>
      </c>
      <c r="E30" s="7"/>
      <c r="K30" s="1"/>
    </row>
    <row r="31" spans="1:12" ht="60.75" customHeight="1" x14ac:dyDescent="0.35">
      <c r="A31" s="40" t="s">
        <v>33</v>
      </c>
      <c r="B31" s="57">
        <v>10</v>
      </c>
      <c r="C31" s="41" t="s">
        <v>84</v>
      </c>
      <c r="E31" s="7"/>
      <c r="K31" s="1"/>
    </row>
    <row r="32" spans="1:12" ht="20.95" hidden="1" customHeight="1" x14ac:dyDescent="0.35">
      <c r="A32" s="65" t="s">
        <v>66</v>
      </c>
      <c r="B32" s="64">
        <f>B27+B28-B29</f>
        <v>71.270833333333329</v>
      </c>
      <c r="C32" s="63"/>
      <c r="E32" s="7"/>
      <c r="K32" s="1"/>
    </row>
    <row r="33" spans="1:8" ht="18.850000000000001" hidden="1" customHeight="1" x14ac:dyDescent="0.3">
      <c r="A33" s="66" t="s">
        <v>37</v>
      </c>
      <c r="B33" s="21">
        <f xml:space="preserve"> (B30*B31*B26-B44*(B30*B25-B30*B26-B32))/(B44+B30*B26)</f>
        <v>152.48866421568627</v>
      </c>
      <c r="C33" s="9"/>
    </row>
    <row r="34" spans="1:8" ht="18.850000000000001" hidden="1" customHeight="1" x14ac:dyDescent="0.3">
      <c r="A34" s="35" t="s">
        <v>38</v>
      </c>
      <c r="B34" s="21">
        <f>(B33-(B27+B28-B29))/B30+B25</f>
        <v>11.414522058823529</v>
      </c>
      <c r="C34" s="9"/>
    </row>
    <row r="35" spans="1:8" ht="18.850000000000001" hidden="1" customHeight="1" x14ac:dyDescent="0.3">
      <c r="A35" s="35" t="s">
        <v>42</v>
      </c>
      <c r="B35" s="21">
        <f>B33-B27-(B28-B29)</f>
        <v>81.217830882352942</v>
      </c>
      <c r="C35" s="9"/>
    </row>
    <row r="36" spans="1:8" ht="18.850000000000001" hidden="1" customHeight="1" x14ac:dyDescent="0.3">
      <c r="A36" s="35" t="s">
        <v>36</v>
      </c>
      <c r="B36" s="42">
        <f>SQRT((B35)^2+(B34-B25)^2)</f>
        <v>81.398114857531993</v>
      </c>
      <c r="C36" s="9"/>
    </row>
    <row r="37" spans="1:8" ht="18.850000000000001" hidden="1" customHeight="1" x14ac:dyDescent="0.3">
      <c r="A37" s="35" t="s">
        <v>35</v>
      </c>
      <c r="B37" s="42">
        <f>ROUNDUP(B36/6.25,0)*6.25</f>
        <v>87.5</v>
      </c>
      <c r="C37" s="9"/>
    </row>
    <row r="38" spans="1:8" ht="18.850000000000001" hidden="1" customHeight="1" x14ac:dyDescent="0.3">
      <c r="A38" s="35" t="s">
        <v>41</v>
      </c>
      <c r="B38" s="42">
        <f>ATAN(1/B30)*180/3.14</f>
        <v>3.8160093884230211</v>
      </c>
      <c r="C38" s="9"/>
    </row>
    <row r="39" spans="1:8" ht="18.850000000000001" hidden="1" customHeight="1" x14ac:dyDescent="0.3">
      <c r="A39" s="35" t="s">
        <v>39</v>
      </c>
      <c r="B39" s="42">
        <f>COS(B38*3.14/180)*B37</f>
        <v>87.306201312453283</v>
      </c>
      <c r="C39" s="9"/>
    </row>
    <row r="40" spans="1:8" ht="18.850000000000001" hidden="1" customHeight="1" x14ac:dyDescent="0.3">
      <c r="A40" s="35" t="s">
        <v>40</v>
      </c>
      <c r="B40" s="42">
        <f>SIN(B38*3.14/180)*B37+B25</f>
        <v>11.820413420830219</v>
      </c>
      <c r="C40" s="9"/>
    </row>
    <row r="41" spans="1:8" ht="22.6" hidden="1" customHeight="1" x14ac:dyDescent="0.3">
      <c r="A41" s="35" t="s">
        <v>45</v>
      </c>
      <c r="B41" s="42">
        <f>B39+B27+(B28-B29)</f>
        <v>158.57703464578663</v>
      </c>
      <c r="C41" s="9"/>
    </row>
    <row r="42" spans="1:8" ht="33.049999999999997" customHeight="1" x14ac:dyDescent="0.45">
      <c r="A42" s="107" t="s">
        <v>60</v>
      </c>
      <c r="B42" s="107"/>
      <c r="C42" s="107"/>
    </row>
    <row r="43" spans="1:8" ht="18.850000000000001" customHeight="1" x14ac:dyDescent="0.3">
      <c r="A43" s="16" t="s">
        <v>8</v>
      </c>
      <c r="B43" s="30">
        <f>B40</f>
        <v>11.820413420830219</v>
      </c>
      <c r="C43" s="113" t="s">
        <v>80</v>
      </c>
      <c r="G43" s="26"/>
      <c r="H43" s="27"/>
    </row>
    <row r="44" spans="1:8" ht="18.850000000000001" customHeight="1" x14ac:dyDescent="0.3">
      <c r="A44" s="10" t="s">
        <v>6</v>
      </c>
      <c r="B44" s="11">
        <f>INDEX(value,MATCH(B23,row,-1),MATCH(B22,col,1))</f>
        <v>230</v>
      </c>
      <c r="C44" s="114"/>
    </row>
    <row r="45" spans="1:8" ht="18.850000000000001" customHeight="1" x14ac:dyDescent="0.3">
      <c r="A45" s="8" t="s">
        <v>34</v>
      </c>
      <c r="B45" s="83">
        <f>B41</f>
        <v>158.57703464578663</v>
      </c>
      <c r="C45" s="114"/>
    </row>
    <row r="46" spans="1:8" ht="33.049999999999997" customHeight="1" x14ac:dyDescent="0.3">
      <c r="A46" s="81" t="s">
        <v>43</v>
      </c>
      <c r="B46" s="44">
        <f>IF(OR(B21="Westbound",B21="Southbound"),(B24-7.25/12),(B24+7.25/12))</f>
        <v>8999.9958333333343</v>
      </c>
      <c r="C46" s="114"/>
    </row>
    <row r="47" spans="1:8" ht="16.55" customHeight="1" x14ac:dyDescent="0.3">
      <c r="A47" s="82" t="s">
        <v>82</v>
      </c>
      <c r="B47" s="75">
        <f>B25</f>
        <v>6</v>
      </c>
      <c r="C47" s="114"/>
    </row>
    <row r="48" spans="1:8" ht="33.049999999999997" customHeight="1" x14ac:dyDescent="0.3">
      <c r="A48" s="81" t="s">
        <v>44</v>
      </c>
      <c r="B48" s="44">
        <f>IF(OR(B21="Westbound",B21="Southbound"),(B24+B27),(B24-B27))</f>
        <v>9028.1208333333343</v>
      </c>
      <c r="C48" s="114"/>
    </row>
    <row r="49" spans="1:7" ht="16.55" customHeight="1" x14ac:dyDescent="0.3">
      <c r="A49" s="82" t="s">
        <v>82</v>
      </c>
      <c r="B49" s="75">
        <f>B25</f>
        <v>6</v>
      </c>
      <c r="C49" s="114"/>
    </row>
    <row r="50" spans="1:7" ht="33.049999999999997" customHeight="1" x14ac:dyDescent="0.3">
      <c r="A50" s="81" t="s">
        <v>44</v>
      </c>
      <c r="B50" s="44">
        <f>IF(OR(B21="Westbound",B21="Southbound"),(B24+B27+B39),(B24-B27-B39))</f>
        <v>9115.427034645787</v>
      </c>
      <c r="C50" s="114"/>
    </row>
    <row r="51" spans="1:7" ht="16.55" customHeight="1" x14ac:dyDescent="0.3">
      <c r="A51" s="82" t="s">
        <v>82</v>
      </c>
      <c r="B51" s="75">
        <f>B43</f>
        <v>11.820413420830219</v>
      </c>
      <c r="C51" s="114"/>
    </row>
    <row r="52" spans="1:7" ht="33.049999999999997" customHeight="1" x14ac:dyDescent="0.3">
      <c r="A52" s="81" t="s">
        <v>85</v>
      </c>
      <c r="B52" s="44">
        <f>IF(OR(B21="Westbound",B21="Southbound"),(B24+B45+B29),(B24-B45-B29))</f>
        <v>9171.677034645787</v>
      </c>
      <c r="C52" s="114"/>
    </row>
    <row r="53" spans="1:7" ht="16.55" customHeight="1" x14ac:dyDescent="0.3">
      <c r="A53" s="82" t="s">
        <v>82</v>
      </c>
      <c r="B53" s="75">
        <f>B43</f>
        <v>11.820413420830219</v>
      </c>
      <c r="C53" s="115"/>
    </row>
    <row r="54" spans="1:7" ht="18.850000000000001" customHeight="1" x14ac:dyDescent="0.3">
      <c r="A54" s="106"/>
      <c r="B54" s="106"/>
    </row>
    <row r="55" spans="1:7" ht="18.850000000000001" customHeight="1" x14ac:dyDescent="0.3">
      <c r="A55" s="106"/>
      <c r="B55" s="106"/>
    </row>
    <row r="56" spans="1:7" ht="36" customHeight="1" x14ac:dyDescent="0.45">
      <c r="A56" s="105" t="s">
        <v>75</v>
      </c>
      <c r="B56" s="105"/>
      <c r="D56" s="25"/>
      <c r="E56" s="25"/>
      <c r="F56" s="25"/>
      <c r="G56" s="25"/>
    </row>
    <row r="57" spans="1:7" ht="58.6" customHeight="1" x14ac:dyDescent="0.3">
      <c r="A57" s="106"/>
      <c r="B57" s="106"/>
    </row>
    <row r="58" spans="1:7" ht="36" customHeight="1" x14ac:dyDescent="0.3">
      <c r="A58" s="105" t="s">
        <v>65</v>
      </c>
      <c r="B58" s="105"/>
    </row>
    <row r="75" spans="1:3" ht="31.6" customHeight="1" x14ac:dyDescent="0.3">
      <c r="A75" s="17"/>
      <c r="B75" s="4"/>
      <c r="C75" s="4"/>
    </row>
    <row r="76" spans="1:3" ht="29.3" customHeight="1" x14ac:dyDescent="0.3"/>
  </sheetData>
  <sheetProtection sheet="1" objects="1" scenarios="1" selectLockedCells="1"/>
  <mergeCells count="9">
    <mergeCell ref="A2:A3"/>
    <mergeCell ref="A57:B57"/>
    <mergeCell ref="A58:B58"/>
    <mergeCell ref="A54:B54"/>
    <mergeCell ref="A5:D5"/>
    <mergeCell ref="A42:C42"/>
    <mergeCell ref="A56:B56"/>
    <mergeCell ref="C43:C53"/>
    <mergeCell ref="A55:B55"/>
  </mergeCells>
  <pageMargins left="0.7" right="0.7" top="0.75" bottom="0.75" header="0.3" footer="0.3"/>
  <pageSetup scale="61" fitToHeight="2" orientation="portrait" r:id="rId1"/>
  <headerFooter>
    <oddFooter>&amp;L&amp;D&amp;C&amp;F&amp;A&amp;RPage &amp;P of &amp;N</oddFooter>
  </headerFooter>
  <ignoredErrors>
    <ignoredError sqref="B32 B27"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'RDG Data'!$A$19:$A$22</xm:f>
          </x14:formula1>
          <xm:sqref>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6"/>
  <sheetViews>
    <sheetView zoomScaleNormal="100" workbookViewId="0">
      <selection activeCell="D2" sqref="D2"/>
    </sheetView>
  </sheetViews>
  <sheetFormatPr defaultRowHeight="15.05" x14ac:dyDescent="0.3"/>
  <cols>
    <col min="1" max="1" width="36.6640625" customWidth="1"/>
    <col min="2" max="2" width="19" customWidth="1"/>
    <col min="3" max="3" width="52.5546875" customWidth="1"/>
    <col min="4" max="4" width="33.5546875" customWidth="1"/>
  </cols>
  <sheetData>
    <row r="1" spans="1:4" ht="28.5" customHeight="1" x14ac:dyDescent="0.55000000000000004">
      <c r="A1" s="23" t="s">
        <v>147</v>
      </c>
    </row>
    <row r="2" spans="1:4" ht="21.8" customHeight="1" x14ac:dyDescent="0.3">
      <c r="A2" s="104" t="s">
        <v>136</v>
      </c>
      <c r="C2" s="36" t="s">
        <v>90</v>
      </c>
      <c r="D2" s="62"/>
    </row>
    <row r="3" spans="1:4" ht="21.8" customHeight="1" x14ac:dyDescent="0.3">
      <c r="A3" s="104"/>
      <c r="C3" s="36" t="s">
        <v>91</v>
      </c>
      <c r="D3" s="62"/>
    </row>
    <row r="4" spans="1:4" ht="21.8" customHeight="1" x14ac:dyDescent="0.3">
      <c r="C4" s="36" t="s">
        <v>31</v>
      </c>
      <c r="D4" s="62"/>
    </row>
    <row r="5" spans="1:4" ht="43.55" customHeight="1" x14ac:dyDescent="0.3">
      <c r="A5" s="101" t="s">
        <v>151</v>
      </c>
      <c r="B5" s="101"/>
      <c r="C5" s="101"/>
      <c r="D5" s="101"/>
    </row>
    <row r="19" spans="1:11" ht="19.5" customHeight="1" x14ac:dyDescent="0.3"/>
    <row r="20" spans="1:11" ht="47.95" customHeight="1" x14ac:dyDescent="0.35">
      <c r="B20" s="45" t="s">
        <v>1</v>
      </c>
      <c r="C20" s="45" t="s">
        <v>16</v>
      </c>
      <c r="E20" s="86"/>
      <c r="K20" s="1"/>
    </row>
    <row r="21" spans="1:11" ht="17.2" customHeight="1" x14ac:dyDescent="0.35">
      <c r="A21" s="13" t="s">
        <v>15</v>
      </c>
      <c r="B21" s="48" t="s">
        <v>13</v>
      </c>
      <c r="C21" s="12" t="s">
        <v>23</v>
      </c>
      <c r="E21" s="86"/>
      <c r="K21" s="1"/>
    </row>
    <row r="22" spans="1:11" ht="17.2" customHeight="1" x14ac:dyDescent="0.3">
      <c r="A22" s="13" t="s">
        <v>101</v>
      </c>
      <c r="B22" s="49">
        <v>10000</v>
      </c>
      <c r="C22" s="28"/>
    </row>
    <row r="23" spans="1:11" ht="17.2" customHeight="1" x14ac:dyDescent="0.3">
      <c r="A23" s="15" t="s">
        <v>0</v>
      </c>
      <c r="B23" s="50">
        <v>55</v>
      </c>
      <c r="C23" s="28"/>
    </row>
    <row r="24" spans="1:11" ht="17.2" customHeight="1" x14ac:dyDescent="0.3">
      <c r="A24" s="15" t="s">
        <v>113</v>
      </c>
      <c r="B24" s="48" t="s">
        <v>115</v>
      </c>
      <c r="C24" s="28" t="s">
        <v>142</v>
      </c>
    </row>
    <row r="25" spans="1:11" ht="30.15" x14ac:dyDescent="0.3">
      <c r="A25" s="15" t="s">
        <v>122</v>
      </c>
      <c r="B25" s="51">
        <v>10000.6</v>
      </c>
      <c r="C25" s="12" t="s">
        <v>48</v>
      </c>
    </row>
    <row r="26" spans="1:11" ht="17.2" customHeight="1" x14ac:dyDescent="0.35">
      <c r="A26" s="14" t="s">
        <v>152</v>
      </c>
      <c r="B26" s="51">
        <v>9980</v>
      </c>
      <c r="C26" s="12" t="s">
        <v>17</v>
      </c>
      <c r="E26" s="7"/>
      <c r="K26" s="1"/>
    </row>
    <row r="27" spans="1:11" ht="17.2" customHeight="1" x14ac:dyDescent="0.35">
      <c r="A27" s="14" t="s">
        <v>22</v>
      </c>
      <c r="B27" s="52">
        <v>10</v>
      </c>
      <c r="C27" s="12"/>
      <c r="E27" s="7"/>
      <c r="K27" s="1"/>
    </row>
    <row r="28" spans="1:11" ht="29.95" customHeight="1" x14ac:dyDescent="0.3">
      <c r="A28" s="15" t="s">
        <v>7</v>
      </c>
      <c r="B28" s="49">
        <v>35</v>
      </c>
      <c r="C28" s="12" t="s">
        <v>127</v>
      </c>
    </row>
    <row r="29" spans="1:11" ht="51.05" customHeight="1" x14ac:dyDescent="0.3">
      <c r="A29" s="15" t="s">
        <v>10</v>
      </c>
      <c r="B29" s="49">
        <v>10</v>
      </c>
      <c r="C29" s="12" t="s">
        <v>128</v>
      </c>
    </row>
    <row r="30" spans="1:11" ht="51.05" customHeight="1" x14ac:dyDescent="0.3">
      <c r="A30" s="15" t="s">
        <v>117</v>
      </c>
      <c r="B30" s="49">
        <v>53.1</v>
      </c>
      <c r="C30" s="12" t="s">
        <v>153</v>
      </c>
    </row>
    <row r="31" spans="1:11" ht="77.900000000000006" x14ac:dyDescent="0.3">
      <c r="A31" s="15" t="s">
        <v>30</v>
      </c>
      <c r="B31" s="57">
        <v>12.5</v>
      </c>
      <c r="C31" s="12" t="s">
        <v>51</v>
      </c>
    </row>
    <row r="32" spans="1:11" ht="29.95" customHeight="1" x14ac:dyDescent="0.3">
      <c r="A32" s="15" t="s">
        <v>76</v>
      </c>
      <c r="B32" s="49">
        <v>0</v>
      </c>
      <c r="C32" s="12" t="s">
        <v>139</v>
      </c>
    </row>
    <row r="33" spans="1:8" ht="29.95" customHeight="1" x14ac:dyDescent="0.3">
      <c r="A33" s="29" t="s">
        <v>102</v>
      </c>
      <c r="B33" s="49">
        <v>35</v>
      </c>
      <c r="C33" s="12" t="s">
        <v>77</v>
      </c>
    </row>
    <row r="34" spans="1:8" ht="29.95" hidden="1" customHeight="1" x14ac:dyDescent="0.3">
      <c r="A34" s="67" t="s">
        <v>107</v>
      </c>
      <c r="B34" s="88">
        <f>IF(OR(B21="Westbound",B21="Southbound"),(B26-B25),(B25-B26))</f>
        <v>-20.600000000000364</v>
      </c>
      <c r="C34" s="27"/>
    </row>
    <row r="35" spans="1:8" ht="29.95" hidden="1" customHeight="1" x14ac:dyDescent="0.3">
      <c r="A35" s="67" t="s">
        <v>116</v>
      </c>
      <c r="B35" s="88">
        <f>IF(B24="TL-2",21.875,31.25)</f>
        <v>31.25</v>
      </c>
      <c r="C35" s="27"/>
    </row>
    <row r="36" spans="1:8" ht="29.95" hidden="1" customHeight="1" x14ac:dyDescent="0.3">
      <c r="A36" s="67" t="s">
        <v>130</v>
      </c>
      <c r="B36" s="91">
        <f>B43+B34+B31</f>
        <v>181.18571428571391</v>
      </c>
      <c r="C36" s="27"/>
    </row>
    <row r="37" spans="1:8" ht="15.55" hidden="1" x14ac:dyDescent="0.3">
      <c r="A37" s="67" t="s">
        <v>131</v>
      </c>
      <c r="B37" s="87">
        <f>ROUNDUP((B36-B35-B30)/6.25,0)*6.25+B35+B30</f>
        <v>184.35</v>
      </c>
      <c r="D37" s="92" t="s">
        <v>114</v>
      </c>
    </row>
    <row r="38" spans="1:8" ht="15.55" hidden="1" x14ac:dyDescent="0.3">
      <c r="A38" s="67" t="s">
        <v>132</v>
      </c>
      <c r="B38" s="87">
        <f>IF(B36&lt;(B35+B30),(B30+B35),B37)</f>
        <v>184.35</v>
      </c>
      <c r="D38" s="92" t="s">
        <v>115</v>
      </c>
    </row>
    <row r="39" spans="1:8" ht="18.850000000000001" customHeight="1" x14ac:dyDescent="0.3">
      <c r="A39" s="9"/>
      <c r="B39" s="47" t="s">
        <v>2</v>
      </c>
      <c r="C39" s="9"/>
    </row>
    <row r="40" spans="1:8" ht="18.850000000000001" customHeight="1" x14ac:dyDescent="0.3">
      <c r="A40" s="8" t="s">
        <v>119</v>
      </c>
      <c r="B40" s="30">
        <f>B35</f>
        <v>31.25</v>
      </c>
      <c r="C40" s="9"/>
    </row>
    <row r="41" spans="1:8" ht="18" customHeight="1" x14ac:dyDescent="0.3">
      <c r="A41" s="16" t="s">
        <v>8</v>
      </c>
      <c r="B41" s="30">
        <f>IF(B33&lt;B31,B29,B29+B32-(B31/IF(B33=0,1,B33))*B32)</f>
        <v>10</v>
      </c>
      <c r="C41" s="31"/>
      <c r="D41" s="90"/>
      <c r="G41" s="26"/>
      <c r="H41" s="27"/>
    </row>
    <row r="42" spans="1:8" ht="16.399999999999999" x14ac:dyDescent="0.3">
      <c r="A42" s="10" t="s">
        <v>6</v>
      </c>
      <c r="B42" s="11">
        <f>INDEX(value,MATCH(B23,row,-1),MATCH(B22,col,1))</f>
        <v>265</v>
      </c>
      <c r="C42" s="9"/>
    </row>
    <row r="43" spans="1:8" ht="17.2" customHeight="1" x14ac:dyDescent="0.3">
      <c r="A43" s="8" t="s">
        <v>9</v>
      </c>
      <c r="B43" s="60">
        <f>(B28-B41)/(B28/B42)</f>
        <v>189.28571428571428</v>
      </c>
      <c r="C43" s="36" t="s">
        <v>61</v>
      </c>
    </row>
    <row r="44" spans="1:8" ht="17.2" customHeight="1" x14ac:dyDescent="0.3">
      <c r="A44" s="8" t="s">
        <v>106</v>
      </c>
      <c r="B44" s="60">
        <f>B43+B34</f>
        <v>168.68571428571391</v>
      </c>
      <c r="C44" s="59"/>
    </row>
    <row r="45" spans="1:8" ht="33.049999999999997" customHeight="1" x14ac:dyDescent="0.3">
      <c r="A45" s="13" t="s">
        <v>108</v>
      </c>
      <c r="B45" s="37">
        <f>IF(OR(B21="Westbound",B21="Southbound"),(B25-7.25/12),(B25+7.25/12))</f>
        <v>9999.9958333333343</v>
      </c>
      <c r="C45" s="9"/>
    </row>
    <row r="46" spans="1:8" ht="33.049999999999997" customHeight="1" x14ac:dyDescent="0.3">
      <c r="A46" s="13" t="s">
        <v>109</v>
      </c>
      <c r="B46" s="37">
        <f>IF(OR(B21="Westbound",B21="Southbound"),(B45+B44+B31),(B45-B44-B31))</f>
        <v>10181.181547619048</v>
      </c>
      <c r="C46" s="9"/>
    </row>
    <row r="47" spans="1:8" ht="21.8" customHeight="1" x14ac:dyDescent="0.3"/>
    <row r="48" spans="1:8" ht="26.2" x14ac:dyDescent="0.45">
      <c r="A48" s="58" t="s">
        <v>112</v>
      </c>
    </row>
    <row r="49" spans="1:8" ht="19.5" customHeight="1" x14ac:dyDescent="0.45">
      <c r="B49" s="38" t="s">
        <v>74</v>
      </c>
      <c r="C49" s="38" t="s">
        <v>2</v>
      </c>
      <c r="D49" s="25"/>
      <c r="E49" s="25"/>
      <c r="F49" s="25"/>
      <c r="G49" s="25"/>
    </row>
    <row r="50" spans="1:8" ht="47.95" customHeight="1" x14ac:dyDescent="0.45">
      <c r="A50" s="16" t="s">
        <v>123</v>
      </c>
      <c r="B50" s="89" t="s">
        <v>110</v>
      </c>
      <c r="C50" s="77">
        <f>B45</f>
        <v>9999.9958333333343</v>
      </c>
      <c r="D50" s="100" t="s">
        <v>125</v>
      </c>
      <c r="E50" s="25"/>
      <c r="F50" s="25"/>
      <c r="G50" s="25"/>
      <c r="H50" s="79"/>
    </row>
    <row r="51" spans="1:8" ht="47.95" customHeight="1" x14ac:dyDescent="0.3">
      <c r="A51" s="16" t="s">
        <v>121</v>
      </c>
      <c r="B51" s="76" t="str">
        <f>IF(OR(B21="Eastbound",B21="Northbound"),"≤", "≥")</f>
        <v>≥</v>
      </c>
      <c r="C51" s="78">
        <f>IF(OR(B21="Westbound",B21="Southbound"),(B45+B38),(B45-B38))</f>
        <v>10184.345833333335</v>
      </c>
      <c r="D51" s="100"/>
    </row>
    <row r="52" spans="1:8" ht="38.950000000000003" customHeight="1" x14ac:dyDescent="0.3">
      <c r="A52" s="99" t="s">
        <v>118</v>
      </c>
      <c r="B52" s="99"/>
      <c r="C52" s="74">
        <f>B29+B32</f>
        <v>10</v>
      </c>
      <c r="D52" s="100"/>
    </row>
    <row r="54" spans="1:8" ht="15.05" customHeight="1" x14ac:dyDescent="0.3">
      <c r="A54" s="116" t="s">
        <v>126</v>
      </c>
      <c r="B54" s="116"/>
      <c r="C54" s="116"/>
    </row>
    <row r="55" spans="1:8" x14ac:dyDescent="0.3">
      <c r="A55" s="116"/>
      <c r="B55" s="116"/>
      <c r="C55" s="116"/>
    </row>
    <row r="56" spans="1:8" ht="33.75" customHeight="1" x14ac:dyDescent="0.3">
      <c r="A56" s="116"/>
      <c r="B56" s="116"/>
      <c r="C56" s="116"/>
    </row>
  </sheetData>
  <sheetProtection sheet="1" objects="1" scenarios="1" selectLockedCells="1"/>
  <mergeCells count="5">
    <mergeCell ref="A54:C56"/>
    <mergeCell ref="D50:D52"/>
    <mergeCell ref="A52:B52"/>
    <mergeCell ref="A5:D5"/>
    <mergeCell ref="A2:A3"/>
  </mergeCells>
  <dataValidations count="1">
    <dataValidation type="list" allowBlank="1" showInputMessage="1" showErrorMessage="1" sqref="B24" xr:uid="{00000000-0002-0000-0300-000000000000}">
      <formula1>$D$37:$D$38</formula1>
    </dataValidation>
  </dataValidations>
  <pageMargins left="0.7" right="0.7" top="0.75" bottom="0.75" header="0.3" footer="0.3"/>
  <pageSetup scale="60"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'RDG Data'!$A$19:$A$22</xm:f>
          </x14:formula1>
          <xm:sqref>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5"/>
  <sheetViews>
    <sheetView zoomScaleNormal="100" workbookViewId="0">
      <selection sqref="A1:E1"/>
    </sheetView>
  </sheetViews>
  <sheetFormatPr defaultRowHeight="15.05" x14ac:dyDescent="0.3"/>
  <sheetData>
    <row r="1" spans="1:5" ht="20.45" x14ac:dyDescent="0.3">
      <c r="A1" s="120" t="s">
        <v>4</v>
      </c>
      <c r="B1" s="121"/>
      <c r="C1" s="121"/>
      <c r="D1" s="121"/>
      <c r="E1" s="122"/>
    </row>
    <row r="2" spans="1:5" ht="18.350000000000001" x14ac:dyDescent="0.35">
      <c r="A2" s="123" t="s">
        <v>3</v>
      </c>
      <c r="B2" s="117" t="s">
        <v>5</v>
      </c>
      <c r="C2" s="118"/>
      <c r="D2" s="118"/>
      <c r="E2" s="119"/>
    </row>
    <row r="3" spans="1:5" ht="18.350000000000001" x14ac:dyDescent="0.3">
      <c r="A3" s="124"/>
      <c r="B3" s="6">
        <v>0</v>
      </c>
      <c r="C3" s="6">
        <v>1000</v>
      </c>
      <c r="D3" s="6">
        <v>5000</v>
      </c>
      <c r="E3" s="6">
        <v>10000</v>
      </c>
    </row>
    <row r="4" spans="1:5" ht="18" x14ac:dyDescent="0.35">
      <c r="A4" s="5">
        <v>80</v>
      </c>
      <c r="B4" s="3">
        <v>330</v>
      </c>
      <c r="C4" s="3">
        <v>380</v>
      </c>
      <c r="D4" s="3">
        <v>430</v>
      </c>
      <c r="E4" s="3">
        <v>470</v>
      </c>
    </row>
    <row r="5" spans="1:5" ht="18" x14ac:dyDescent="0.35">
      <c r="A5" s="5">
        <v>75</v>
      </c>
      <c r="B5" s="3">
        <f>(B4+B6)/2</f>
        <v>290</v>
      </c>
      <c r="C5" s="3">
        <f>(C4+C6)/2</f>
        <v>335</v>
      </c>
      <c r="D5" s="3">
        <f>(D4+D6)/2</f>
        <v>380</v>
      </c>
      <c r="E5" s="3">
        <f>(E4+E6)/2</f>
        <v>415</v>
      </c>
    </row>
    <row r="6" spans="1:5" ht="18" x14ac:dyDescent="0.35">
      <c r="A6" s="5">
        <v>70</v>
      </c>
      <c r="B6" s="3">
        <v>250</v>
      </c>
      <c r="C6" s="3">
        <v>290</v>
      </c>
      <c r="D6" s="3">
        <v>330</v>
      </c>
      <c r="E6" s="3">
        <v>360</v>
      </c>
    </row>
    <row r="7" spans="1:5" ht="18" x14ac:dyDescent="0.35">
      <c r="A7" s="5">
        <v>65</v>
      </c>
      <c r="B7" s="3">
        <f>(B6+B8)/2</f>
        <v>225</v>
      </c>
      <c r="C7" s="3">
        <f>(C6+C8)/2</f>
        <v>250</v>
      </c>
      <c r="D7" s="3">
        <f>(D6+D8)/2</f>
        <v>290</v>
      </c>
      <c r="E7" s="3">
        <f>(E6+E8)/2</f>
        <v>330</v>
      </c>
    </row>
    <row r="8" spans="1:5" ht="18" x14ac:dyDescent="0.35">
      <c r="A8" s="5">
        <v>60</v>
      </c>
      <c r="B8" s="3">
        <v>200</v>
      </c>
      <c r="C8" s="3">
        <v>210</v>
      </c>
      <c r="D8" s="3">
        <v>250</v>
      </c>
      <c r="E8" s="3">
        <v>300</v>
      </c>
    </row>
    <row r="9" spans="1:5" ht="18" x14ac:dyDescent="0.35">
      <c r="A9" s="5">
        <v>55</v>
      </c>
      <c r="B9" s="3">
        <f>(B8+B10)/2</f>
        <v>175</v>
      </c>
      <c r="C9" s="3">
        <f>(C8+C10)/2</f>
        <v>185</v>
      </c>
      <c r="D9" s="3">
        <f>(D8+D10)/2</f>
        <v>220</v>
      </c>
      <c r="E9" s="3">
        <f>(E8+E10)/2</f>
        <v>265</v>
      </c>
    </row>
    <row r="10" spans="1:5" ht="18" x14ac:dyDescent="0.35">
      <c r="A10" s="5">
        <v>50</v>
      </c>
      <c r="B10" s="3">
        <v>150</v>
      </c>
      <c r="C10" s="3">
        <v>160</v>
      </c>
      <c r="D10" s="3">
        <v>190</v>
      </c>
      <c r="E10" s="3">
        <v>230</v>
      </c>
    </row>
    <row r="11" spans="1:5" ht="18" x14ac:dyDescent="0.35">
      <c r="A11" s="5">
        <v>45</v>
      </c>
      <c r="B11" s="3">
        <f>(B10+B12)/2</f>
        <v>125</v>
      </c>
      <c r="C11" s="3">
        <f>(C10+C12)/2</f>
        <v>135</v>
      </c>
      <c r="D11" s="3">
        <f>(D10+D12)/2</f>
        <v>160</v>
      </c>
      <c r="E11" s="3">
        <f>(E10+E12)/2</f>
        <v>195</v>
      </c>
    </row>
    <row r="12" spans="1:5" ht="18" x14ac:dyDescent="0.35">
      <c r="A12" s="5">
        <v>40</v>
      </c>
      <c r="B12" s="3">
        <v>100</v>
      </c>
      <c r="C12" s="3">
        <v>110</v>
      </c>
      <c r="D12" s="3">
        <v>130</v>
      </c>
      <c r="E12" s="3">
        <v>160</v>
      </c>
    </row>
    <row r="13" spans="1:5" ht="18.350000000000001" x14ac:dyDescent="0.35">
      <c r="A13" s="5">
        <v>35</v>
      </c>
      <c r="B13" s="3">
        <f>(B14+B12)/2</f>
        <v>85</v>
      </c>
      <c r="C13" s="3">
        <f>(C14+C12)/2</f>
        <v>95</v>
      </c>
      <c r="D13" s="3">
        <f>(D14+D12)/2</f>
        <v>110</v>
      </c>
      <c r="E13" s="3">
        <f>(E14+E12)/2</f>
        <v>135</v>
      </c>
    </row>
    <row r="14" spans="1:5" ht="18.350000000000001" x14ac:dyDescent="0.35">
      <c r="A14" s="5">
        <v>30</v>
      </c>
      <c r="B14" s="3">
        <v>70</v>
      </c>
      <c r="C14" s="3">
        <v>80</v>
      </c>
      <c r="D14" s="3">
        <v>90</v>
      </c>
      <c r="E14" s="3">
        <v>110</v>
      </c>
    </row>
    <row r="16" spans="1:5" ht="29.3" customHeight="1" x14ac:dyDescent="0.3">
      <c r="A16" s="125" t="s">
        <v>62</v>
      </c>
      <c r="B16" s="125"/>
      <c r="C16" s="125"/>
      <c r="D16" s="125"/>
      <c r="E16" s="125"/>
    </row>
    <row r="19" spans="1:1" ht="14.4" hidden="1" x14ac:dyDescent="0.3">
      <c r="A19" t="s">
        <v>11</v>
      </c>
    </row>
    <row r="20" spans="1:1" ht="14.4" hidden="1" x14ac:dyDescent="0.3">
      <c r="A20" t="s">
        <v>12</v>
      </c>
    </row>
    <row r="21" spans="1:1" ht="14.4" hidden="1" x14ac:dyDescent="0.3">
      <c r="A21" t="s">
        <v>13</v>
      </c>
    </row>
    <row r="22" spans="1:1" ht="14.4" hidden="1" x14ac:dyDescent="0.3">
      <c r="A22" t="s">
        <v>14</v>
      </c>
    </row>
    <row r="23" spans="1:1" ht="14.4" hidden="1" x14ac:dyDescent="0.3"/>
    <row r="24" spans="1:1" ht="14.4" hidden="1" x14ac:dyDescent="0.3">
      <c r="A24" t="s">
        <v>20</v>
      </c>
    </row>
    <row r="25" spans="1:1" ht="14.4" hidden="1" x14ac:dyDescent="0.3">
      <c r="A25" t="s">
        <v>21</v>
      </c>
    </row>
  </sheetData>
  <sheetProtection sheet="1" objects="1" scenarios="1" selectLockedCells="1"/>
  <mergeCells count="4">
    <mergeCell ref="B2:E2"/>
    <mergeCell ref="A1:E1"/>
    <mergeCell ref="A2:A3"/>
    <mergeCell ref="A16:E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
  <sheetViews>
    <sheetView zoomScaleNormal="100" workbookViewId="0">
      <selection sqref="A1:H1"/>
    </sheetView>
  </sheetViews>
  <sheetFormatPr defaultRowHeight="15.05" x14ac:dyDescent="0.3"/>
  <cols>
    <col min="1" max="12" width="8.33203125" customWidth="1"/>
  </cols>
  <sheetData>
    <row r="1" spans="1:9" ht="58.6" customHeight="1" x14ac:dyDescent="0.3">
      <c r="A1" s="127" t="s">
        <v>63</v>
      </c>
      <c r="B1" s="127"/>
      <c r="C1" s="127"/>
      <c r="D1" s="127"/>
      <c r="E1" s="127"/>
      <c r="F1" s="127"/>
      <c r="G1" s="127"/>
      <c r="H1" s="127"/>
    </row>
    <row r="2" spans="1:9" ht="11.95" customHeight="1" x14ac:dyDescent="0.3"/>
    <row r="4" spans="1:9" ht="16.55" customHeight="1" x14ac:dyDescent="0.5">
      <c r="A4" s="58"/>
    </row>
    <row r="5" spans="1:9" ht="113.25" customHeight="1" x14ac:dyDescent="0.3">
      <c r="A5" s="126" t="s">
        <v>64</v>
      </c>
      <c r="B5" s="126"/>
      <c r="C5" s="126"/>
      <c r="D5" s="126"/>
      <c r="E5" s="126"/>
      <c r="F5" s="126"/>
      <c r="G5" s="126"/>
      <c r="H5" s="126"/>
      <c r="I5" s="126"/>
    </row>
  </sheetData>
  <sheetProtection sheet="1" objects="1" scenarios="1" selectLockedCells="1"/>
  <mergeCells count="2">
    <mergeCell ref="A5:I5"/>
    <mergeCell ref="A1:H1"/>
  </mergeCells>
  <pageMargins left="0.7" right="0.7" top="0.75" bottom="0.75" header="0.3" footer="0.3"/>
  <pageSetup fitToHeight="2" orientation="portrait" r:id="rId1"/>
  <headerFooter>
    <oddFooter>&amp;L&amp;D&amp;C&amp;F&amp;A&amp;RPage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7"/>
  <sheetViews>
    <sheetView zoomScaleNormal="100" workbookViewId="0">
      <selection activeCell="A7" sqref="A7"/>
    </sheetView>
  </sheetViews>
  <sheetFormatPr defaultRowHeight="15.05" x14ac:dyDescent="0.3"/>
  <cols>
    <col min="1" max="1" width="13.109375" customWidth="1"/>
    <col min="2" max="2" width="15" customWidth="1"/>
    <col min="3" max="3" width="84.44140625" customWidth="1"/>
  </cols>
  <sheetData>
    <row r="1" spans="1:3" ht="14.4" x14ac:dyDescent="0.3">
      <c r="A1" s="80" t="s">
        <v>98</v>
      </c>
      <c r="B1" s="80" t="s">
        <v>99</v>
      </c>
      <c r="C1" s="80" t="s">
        <v>100</v>
      </c>
    </row>
    <row r="2" spans="1:3" ht="14.4" x14ac:dyDescent="0.3">
      <c r="A2" s="94" t="s">
        <v>94</v>
      </c>
      <c r="B2" s="95">
        <v>42409</v>
      </c>
      <c r="C2" s="94" t="s">
        <v>97</v>
      </c>
    </row>
    <row r="3" spans="1:3" ht="15.55" x14ac:dyDescent="0.3">
      <c r="A3" s="94" t="s">
        <v>104</v>
      </c>
      <c r="B3" s="95">
        <v>42430</v>
      </c>
      <c r="C3" s="94" t="s">
        <v>105</v>
      </c>
    </row>
    <row r="4" spans="1:3" ht="14.4" x14ac:dyDescent="0.3">
      <c r="A4" s="9" t="s">
        <v>111</v>
      </c>
      <c r="B4" s="95">
        <v>42436</v>
      </c>
      <c r="C4" s="9" t="s">
        <v>129</v>
      </c>
    </row>
    <row r="5" spans="1:3" ht="15.55" x14ac:dyDescent="0.3">
      <c r="A5" s="9" t="s">
        <v>133</v>
      </c>
      <c r="B5" s="95">
        <v>42500</v>
      </c>
      <c r="C5" s="9" t="s">
        <v>134</v>
      </c>
    </row>
    <row r="6" spans="1:3" ht="14.4" x14ac:dyDescent="0.3">
      <c r="A6" s="9" t="s">
        <v>137</v>
      </c>
      <c r="B6" s="95">
        <v>43039</v>
      </c>
      <c r="C6" s="9" t="s">
        <v>138</v>
      </c>
    </row>
    <row r="7" spans="1:3" ht="27.65" customHeight="1" x14ac:dyDescent="0.3">
      <c r="A7" s="97" t="s">
        <v>144</v>
      </c>
      <c r="B7" s="98">
        <v>43405</v>
      </c>
      <c r="C7" s="96" t="s">
        <v>150</v>
      </c>
    </row>
  </sheetData>
  <sheetProtection sheet="1" objects="1" scenarios="1" selectLockedCells="1"/>
  <pageMargins left="0.7" right="0.7" top="0.75" bottom="0.75" header="0.3" footer="0.3"/>
  <pageSetup fitToHeight="2" orientation="portrait" r:id="rId1"/>
  <headerFooter>
    <oddFooter>&amp;L&amp;D&amp;C&amp;F&amp;A&amp;RPage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9CC03A-D6A1-4D8E-BB90-ED6DC75536C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946A1A6-F06B-4FBE-900E-D658FDEF3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EB81F7-B937-4A4C-92D6-11D61A8B06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Roadside Hazard</vt:lpstr>
      <vt:lpstr>Bridge Approach with C.C.</vt:lpstr>
      <vt:lpstr>Bridge Approach with Terminal</vt:lpstr>
      <vt:lpstr>Rigid Barrier Approach</vt:lpstr>
      <vt:lpstr>RDG Data</vt:lpstr>
      <vt:lpstr>Policy</vt:lpstr>
      <vt:lpstr>Version History</vt:lpstr>
      <vt:lpstr>col</vt:lpstr>
      <vt:lpstr>row</vt:lpstr>
      <vt:lpstr>'Bridge Approach with C.C.'!Type</vt:lpstr>
      <vt:lpstr>'Bridge Approach with Terminal'!Type</vt:lpstr>
      <vt:lpstr>'Rigid Barrier Approach'!Type</vt:lpstr>
      <vt:lpstr>Type</vt:lpstr>
      <vt:lpstr>value</vt:lpstr>
      <vt:lpstr>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Stepp, Richard</dc:creator>
  <cp:lastModifiedBy>Stepp, Richard</cp:lastModifiedBy>
  <cp:lastPrinted>2018-10-16T14:02:41Z</cp:lastPrinted>
  <dcterms:created xsi:type="dcterms:W3CDTF">2015-07-08T18:37:36Z</dcterms:created>
  <dcterms:modified xsi:type="dcterms:W3CDTF">2018-11-28T18:03:16Z</dcterms:modified>
</cp:coreProperties>
</file>