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28800" windowHeight="9465" tabRatio="805" activeTab="0"/>
  </bookViews>
  <sheets>
    <sheet name="Preliminary Information" sheetId="1" r:id="rId1"/>
    <sheet name="Comprehensive Budget" sheetId="2" r:id="rId2"/>
    <sheet name="Rate Base Adjustment" sheetId="3" state="hidden" r:id="rId3"/>
    <sheet name="Budgeted Rate Base" sheetId="4" r:id="rId4"/>
    <sheet name="Program-wide Rates" sheetId="5" r:id="rId5"/>
    <sheet name="Multiple Service Rates" sheetId="6" r:id="rId6"/>
    <sheet name="Version Notes" sheetId="7" state="hidden" r:id="rId7"/>
    <sheet name="adj" sheetId="8" state="hidden" r:id="rId8"/>
    <sheet name="Sheet1" sheetId="9" state="hidden" r:id="rId9"/>
  </sheets>
  <definedNames>
    <definedName name="_xlnm.Print_Area" localSheetId="3">'Budgeted Rate Base'!$B$2:$X$191</definedName>
    <definedName name="_xlnm.Print_Area" localSheetId="1">'Comprehensive Budget'!$B$2:$M$192</definedName>
    <definedName name="_xlnm.Print_Area" localSheetId="5">'Multiple Service Rates'!$A$1:$T$138</definedName>
    <definedName name="_xlnm.Print_Area" localSheetId="0">'Preliminary Information'!$C$2:$L$25</definedName>
    <definedName name="_xlnm.Print_Area" localSheetId="4">'Program-wide Rates'!$B$2:$S$52</definedName>
    <definedName name="_xlnm.Print_Area" localSheetId="2">'Rate Base Adjustment'!$B$2:$X$170</definedName>
    <definedName name="_xlnm.Print_Titles" localSheetId="7">'adj'!$2:$4</definedName>
    <definedName name="_xlnm.Print_Titles" localSheetId="3">'Budgeted Rate Base'!$2:$17</definedName>
    <definedName name="_xlnm.Print_Titles" localSheetId="1">'Comprehensive Budget'!$2:$17</definedName>
    <definedName name="_xlnm.Print_Titles" localSheetId="5">'Multiple Service Rates'!$2:$7</definedName>
    <definedName name="_xlnm.Print_Titles" localSheetId="4">'Program-wide Rates'!$2:$7</definedName>
    <definedName name="_xlnm.Print_Titles" localSheetId="2">'Rate Base Adjustment'!$2:$19</definedName>
    <definedName name="Z_2D11F152_E029_4679_BE4D_DB174D33B191_.wvu.Cols" localSheetId="7" hidden="1">'adj'!$U:$U</definedName>
    <definedName name="Z_2D11F152_E029_4679_BE4D_DB174D33B191_.wvu.Cols" localSheetId="0" hidden="1">'Preliminary Information'!$A:$A,'Preliminary Information'!$M:$P</definedName>
    <definedName name="Z_2D11F152_E029_4679_BE4D_DB174D33B191_.wvu.PrintArea" localSheetId="3" hidden="1">'Budgeted Rate Base'!$B$2:$X$191</definedName>
    <definedName name="Z_2D11F152_E029_4679_BE4D_DB174D33B191_.wvu.PrintArea" localSheetId="1" hidden="1">'Comprehensive Budget'!$B$2:$M$187</definedName>
    <definedName name="Z_2D11F152_E029_4679_BE4D_DB174D33B191_.wvu.PrintArea" localSheetId="5" hidden="1">'Multiple Service Rates'!$A$1:$T$138</definedName>
    <definedName name="Z_2D11F152_E029_4679_BE4D_DB174D33B191_.wvu.PrintArea" localSheetId="0" hidden="1">'Preliminary Information'!$C$2:$L$25</definedName>
    <definedName name="Z_2D11F152_E029_4679_BE4D_DB174D33B191_.wvu.PrintArea" localSheetId="4" hidden="1">'Program-wide Rates'!$B$2:$Q$37</definedName>
    <definedName name="Z_2D11F152_E029_4679_BE4D_DB174D33B191_.wvu.PrintArea" localSheetId="2" hidden="1">'Rate Base Adjustment'!$B$2:$X$170</definedName>
    <definedName name="Z_2D11F152_E029_4679_BE4D_DB174D33B191_.wvu.PrintTitles" localSheetId="7" hidden="1">'adj'!$2:$4</definedName>
    <definedName name="Z_2D11F152_E029_4679_BE4D_DB174D33B191_.wvu.PrintTitles" localSheetId="3" hidden="1">'Budgeted Rate Base'!$2:$17</definedName>
    <definedName name="Z_2D11F152_E029_4679_BE4D_DB174D33B191_.wvu.PrintTitles" localSheetId="1" hidden="1">'Comprehensive Budget'!$2:$17</definedName>
    <definedName name="Z_2D11F152_E029_4679_BE4D_DB174D33B191_.wvu.PrintTitles" localSheetId="5" hidden="1">'Multiple Service Rates'!$2:$7</definedName>
    <definedName name="Z_2D11F152_E029_4679_BE4D_DB174D33B191_.wvu.PrintTitles" localSheetId="4" hidden="1">'Program-wide Rates'!$2:$7</definedName>
    <definedName name="Z_2D11F152_E029_4679_BE4D_DB174D33B191_.wvu.PrintTitles" localSheetId="2" hidden="1">'Rate Base Adjustment'!$2:$19</definedName>
    <definedName name="Z_2D11F152_E029_4679_BE4D_DB174D33B191_.wvu.Rows" localSheetId="7" hidden="1">'adj'!$66:$93</definedName>
    <definedName name="Z_2D11F152_E029_4679_BE4D_DB174D33B191_.wvu.Rows" localSheetId="3" hidden="1">'Budgeted Rate Base'!$29:$29,'Budgeted Rate Base'!$42:$42</definedName>
    <definedName name="Z_2D11F152_E029_4679_BE4D_DB174D33B191_.wvu.Rows" localSheetId="1" hidden="1">'Comprehensive Budget'!$29:$29,'Comprehensive Budget'!$42:$42</definedName>
    <definedName name="Z_2D11F152_E029_4679_BE4D_DB174D33B191_.wvu.Rows" localSheetId="5" hidden="1">'Multiple Service Rates'!$66:$91</definedName>
    <definedName name="Z_2D11F152_E029_4679_BE4D_DB174D33B191_.wvu.Rows" localSheetId="2" hidden="1">'Rate Base Adjustment'!$30:$30,'Rate Base Adjustment'!$43:$43</definedName>
  </definedNames>
  <calcPr fullCalcOnLoad="1"/>
</workbook>
</file>

<file path=xl/comments1.xml><?xml version="1.0" encoding="utf-8"?>
<comments xmlns="http://schemas.openxmlformats.org/spreadsheetml/2006/main">
  <authors>
    <author>Floyd Webb</author>
  </authors>
  <commentList>
    <comment ref="F8" authorId="0">
      <text>
        <r>
          <rPr>
            <sz val="11"/>
            <rFont val="Tahoma"/>
            <family val="2"/>
          </rPr>
          <t xml:space="preserve">
Provide the name and phone number of the contact person knowledgeable about the CTC’s services and financial data used in this Rate Calculation Model.
</t>
        </r>
      </text>
    </comment>
    <comment ref="G8" authorId="0">
      <text>
        <r>
          <rPr>
            <b/>
            <sz val="8"/>
            <rFont val="Tahoma"/>
            <family val="2"/>
          </rPr>
          <t>Throughout this version you will see red triangles that include explanatory comments for your review.  Please hover your cursor over the triangle to see the comment.</t>
        </r>
      </text>
    </comment>
  </commentList>
</comments>
</file>

<file path=xl/comments2.xml><?xml version="1.0" encoding="utf-8"?>
<comments xmlns="http://schemas.openxmlformats.org/spreadsheetml/2006/main">
  <authors>
    <author>Floyd Webb</author>
  </authors>
  <commentList>
    <comment ref="E34" authorId="0">
      <text>
        <r>
          <rPr>
            <sz val="11"/>
            <rFont val="Tahoma"/>
            <family val="2"/>
          </rPr>
          <t xml:space="preserve">
If you are pricing School Board services using the rates in this spreadsheet, confirm so in the explanation.  Also, in the Program-Wide Rates sheet, INCLUDE the trip and passenger miles on the respective sheets IF you are using the rate model to price your School Board services.</t>
        </r>
      </text>
    </comment>
    <comment ref="E57" authorId="0">
      <text>
        <r>
          <rPr>
            <b/>
            <sz val="10"/>
            <rFont val="Tahoma"/>
            <family val="2"/>
          </rPr>
          <t xml:space="preserve">
</t>
        </r>
        <r>
          <rPr>
            <sz val="11"/>
            <rFont val="Tahoma"/>
            <family val="2"/>
          </rPr>
          <t xml:space="preserve">EXPLAIN whether the 5311 operating revenue is generated as an overall system operating expense subsidy OR being paid at the per unit trip or mile rates generated by this or prior spreadsheets.  This will determine where to place the revenue in the following Budgeted Rate Base sheet.
</t>
        </r>
      </text>
    </comment>
    <comment ref="E171" authorId="0">
      <text>
        <r>
          <rPr>
            <b/>
            <sz val="10"/>
            <rFont val="Tahoma"/>
            <family val="2"/>
          </rPr>
          <t xml:space="preserve">
</t>
        </r>
        <r>
          <rPr>
            <sz val="11"/>
            <rFont val="Tahoma"/>
            <family val="2"/>
          </rPr>
          <t>Monies Contributed to Capital Equipment Replacement Fund annually based on a depreciation schedule for existing equipment are treated as operating expenditures.  When replacement equipment is actually purchased from this Fund, it should NOT appear again as a capital expenditure on this worksheet.  That would be double counting.</t>
        </r>
      </text>
    </comment>
    <comment ref="E174" authorId="0">
      <text>
        <r>
          <rPr>
            <b/>
            <sz val="10"/>
            <rFont val="Tahoma"/>
            <family val="2"/>
          </rPr>
          <t xml:space="preserve">
</t>
        </r>
        <r>
          <rPr>
            <sz val="11"/>
            <rFont val="Tahoma"/>
            <family val="2"/>
          </rPr>
          <t>Includes capital equipment purchased with grant funds, or local or rate-generated revenues, or with Debt Service Payments (principal and interest) – but NOT with revenues from the Contrib. to Capital Equipment Replacement Fund.</t>
        </r>
        <r>
          <rPr>
            <b/>
            <sz val="10"/>
            <rFont val="Tahoma"/>
            <family val="2"/>
          </rPr>
          <t xml:space="preserve">
</t>
        </r>
      </text>
    </comment>
    <comment ref="F8" authorId="0">
      <text>
        <r>
          <rPr>
            <sz val="11"/>
            <rFont val="Tahoma"/>
            <family val="2"/>
          </rPr>
          <t xml:space="preserve">
Figures in this column should be auditable; related to the transportation services priced by the rate model; and supported by a documented cost allocation plan in multi-functional organizations.</t>
        </r>
      </text>
    </comment>
    <comment ref="E8" authorId="0">
      <text>
        <r>
          <rPr>
            <sz val="11"/>
            <rFont val="Tahoma"/>
            <family val="2"/>
          </rPr>
          <t xml:space="preserve">
This spreadsheet has the ability to accurately calculate both a "subsidized" &amp; "unsubsidized" price for services.  However, in certain situations it can NOT do both perfectly IF you have included Expense, Revenue, and trip/mile projections related to services that are priced different than what is calculated by this spreadsheet.
Ideally, you should have a "documented" cost/revenue allocation plan that relates to each functional activity or differently priced service; and each differently priced service would have its own rate model spreadsheet.  In reality it is not uncommon to have certain purchased transportation services priced minutely different than what this rate model has calculated.  It is important to know, in these situations the calculated rate will be subsidizing the transportation services which have a special price, OR vice versa.
The prelude to putting any expense and revenue information into this pricing spreadsheet is to determine the portion of such expense and revenues attributable to the services being priced, and to do so in accordance with your documented cost/revenue allocation plan.  Your cost/revenue allocation plan should be available for review by auditing agencies.
</t>
        </r>
        <r>
          <rPr>
            <sz val="10"/>
            <rFont val="Tahoma"/>
            <family val="2"/>
          </rPr>
          <t xml:space="preserve">
</t>
        </r>
      </text>
    </comment>
  </commentList>
</comments>
</file>

<file path=xl/comments3.xml><?xml version="1.0" encoding="utf-8"?>
<comments xmlns="http://schemas.openxmlformats.org/spreadsheetml/2006/main">
  <authors>
    <author>Floyd Webb</author>
  </authors>
  <commentList>
    <comment ref="J25" authorId="0">
      <text>
        <r>
          <rPr>
            <sz val="8"/>
            <rFont val="Tahoma"/>
            <family val="2"/>
          </rPr>
          <t>If the Farebox Revenues are used as a source of Local Match Dollars, then identify the appropriate amount of Farebox Revenue that represents the portion of Local Match required on any state or federal grants.  This does not mean that Farebox is the only source for Local Match.  Please review all Grant Applications and Agreements containing State and Federal funds for the proper Match Requirement levels and allowed sources.</t>
        </r>
      </text>
    </comment>
    <comment ref="J26" authorId="0">
      <text>
        <r>
          <rPr>
            <sz val="8"/>
            <rFont val="Tahoma"/>
            <family val="2"/>
          </rPr>
          <t>What amount of these funds are earmarked as local match on a transportation service grant?  See GREEN CELL notes on the right.</t>
        </r>
      </text>
    </comment>
    <comment ref="J27" authorId="0">
      <text>
        <r>
          <rPr>
            <sz val="8"/>
            <rFont val="Tahoma"/>
            <family val="2"/>
          </rPr>
          <t>What amount of these funds are earmarked as local match on a transportation service grant?  See GREEN CELL notes on the right.</t>
        </r>
      </text>
    </comment>
    <comment ref="J29" authorId="0">
      <text>
        <r>
          <rPr>
            <sz val="8"/>
            <rFont val="Tahoma"/>
            <family val="2"/>
          </rPr>
          <t>What amount of these funds are earmarked as local match on a transportation service grant?  See GREEN CELL notes on the right.</t>
        </r>
      </text>
    </comment>
    <comment ref="J37" authorId="0">
      <text>
        <r>
          <rPr>
            <sz val="8"/>
            <rFont val="Tahoma"/>
            <family val="2"/>
          </rPr>
          <t xml:space="preserve">Show only the amount of revenue that is generated by billing the funding source for transportation services provided at the approved rate per unit.  Also, include the amount of funds that are earmarked for local match for </t>
        </r>
        <r>
          <rPr>
            <b/>
            <sz val="8"/>
            <rFont val="Tahoma"/>
            <family val="2"/>
          </rPr>
          <t>Transportation Services</t>
        </r>
        <r>
          <rPr>
            <sz val="8"/>
            <rFont val="Tahoma"/>
            <family val="2"/>
          </rPr>
          <t xml:space="preserve"> and </t>
        </r>
        <r>
          <rPr>
            <b/>
            <sz val="8"/>
            <rFont val="Tahoma"/>
            <family val="2"/>
          </rPr>
          <t>not</t>
        </r>
        <r>
          <rPr>
            <sz val="8"/>
            <rFont val="Tahoma"/>
            <family val="2"/>
          </rPr>
          <t xml:space="preserve"> Capital Equipment purchases.</t>
        </r>
      </text>
    </comment>
    <comment ref="J39" authorId="0">
      <text>
        <r>
          <rPr>
            <sz val="8"/>
            <rFont val="Tahoma"/>
            <family val="2"/>
          </rPr>
          <t xml:space="preserve">Show only the amount of revenue that is generated by billing the funding source for Transportation Services provided at the approved rate per unit.  Also, include the amount of funds that are earmarked for local match for </t>
        </r>
        <r>
          <rPr>
            <b/>
            <sz val="8"/>
            <rFont val="Tahoma"/>
            <family val="2"/>
          </rPr>
          <t>Transportation Services</t>
        </r>
        <r>
          <rPr>
            <sz val="8"/>
            <rFont val="Tahoma"/>
            <family val="2"/>
          </rPr>
          <t xml:space="preserve"> and </t>
        </r>
        <r>
          <rPr>
            <b/>
            <sz val="8"/>
            <rFont val="Tahoma"/>
            <family val="2"/>
          </rPr>
          <t>not</t>
        </r>
        <r>
          <rPr>
            <sz val="8"/>
            <rFont val="Tahoma"/>
            <family val="2"/>
          </rPr>
          <t xml:space="preserve"> Capital Equipment purchases.</t>
        </r>
      </text>
    </comment>
    <comment ref="O150" authorId="0">
      <text>
        <r>
          <rPr>
            <b/>
            <sz val="8"/>
            <rFont val="Tahoma"/>
            <family val="2"/>
          </rPr>
          <t>This RED cell displays the difference between the totals for col. 4 and col. 5.  It is the Operating Subsidy portion of revenue that is removed from the rate base.</t>
        </r>
      </text>
    </comment>
    <comment ref="L164" authorId="0">
      <text>
        <r>
          <rPr>
            <b/>
            <sz val="10"/>
            <rFont val="Tahoma"/>
            <family val="2"/>
          </rPr>
          <t>If the actual operating rate subsidy revenues were less than the budgeted amount used 2 years earlier, it means the rates were set too high back then.  In this case, a downward adjustment will made to the revenue amounts expected to be generated from applying service rates in the upcoming budget year, thereby lowering the proposed  rates below what they would otherwise need to be.  Conversely, if the actual operating rate subsidy revenues were more than the budgeted amount, an upward adjustment will be made to the revenue amounts expected to be generated from applying rates in the upcoming budget year, thereby increasing the proposed rates above what they would otherwise need to be.
If you have already adjusted for Actual Prior year differences in subsequent years and do not wish to make this correction, enter NA and the worksheet will show $0 rate base adjustment.</t>
        </r>
      </text>
    </comment>
    <comment ref="G3" authorId="0">
      <text>
        <r>
          <rPr>
            <b/>
            <sz val="8"/>
            <rFont val="Tahoma"/>
            <family val="2"/>
          </rPr>
          <t xml:space="preserve">PURPOSE: </t>
        </r>
        <r>
          <rPr>
            <sz val="8"/>
            <rFont val="Tahoma"/>
            <family val="2"/>
          </rPr>
          <t xml:space="preserve"> Because the Rate Calculation Model relies on projected passenger trips and passenger miles and service differential factors, it will never be perfect.  Sometimes the rates will be slightly high; other times they will be slightly low.  The Rate Base Adjustment worksheet is designed to correct for this imprecision by calculating and applying an adjustment 2 years later, if needed.
The Rate Base Adjustment worksheet determines whether the actual revenues received from sources other than agencies purchasing paratransit services for transportation disadvantaged passengers and grants earmarked by grantors for capital equipment or required deliverables were greater or less than the budgeted amounts used 2 years earlier when the rates were determined by the Rate Calculation Model.
IMPORTANT:  This worksheet should not be completed until the 3rd year of using the Rate Calculation Model.  This is the first time actual revenues will be available that relate to a proposed budget used by the Rate Calculation Model to determine service rates per passenger trip/passenger mile. 
</t>
        </r>
      </text>
    </comment>
    <comment ref="K162" authorId="0">
      <text>
        <r>
          <rPr>
            <b/>
            <sz val="8"/>
            <rFont val="Tahoma"/>
            <family val="2"/>
          </rPr>
          <t>Make sure you read the RED cell to the right in completing this cell.</t>
        </r>
      </text>
    </comment>
    <comment ref="D164" authorId="0">
      <text>
        <r>
          <rPr>
            <b/>
            <sz val="8"/>
            <rFont val="Tahoma"/>
            <family val="2"/>
          </rPr>
          <t xml:space="preserve">An increases in the rate base adjustment raises the proposed rates &amp; the unsubsidized cost.   A decrease in the rate base adjustment lowers the proposed rates &amp; lowers the unsubsidized cost.
</t>
        </r>
      </text>
    </comment>
  </commentList>
</comments>
</file>

<file path=xl/comments4.xml><?xml version="1.0" encoding="utf-8"?>
<comments xmlns="http://schemas.openxmlformats.org/spreadsheetml/2006/main">
  <authors>
    <author>Transportation Disadvantaged</author>
    <author>Floyd Webb</author>
  </authors>
  <commentList>
    <comment ref="J24" authorId="0">
      <text>
        <r>
          <rPr>
            <sz val="8"/>
            <rFont val="Tahoma"/>
            <family val="2"/>
          </rPr>
          <t xml:space="preserve">
</t>
        </r>
        <r>
          <rPr>
            <sz val="10"/>
            <rFont val="Tahoma"/>
            <family val="2"/>
          </rPr>
          <t>If the Farebox Revenues are used as a source of Local Match Dollars, then identify the appropriate amount of Farebox Revenue that represents the portion of Local Match required on any state or federal grants.  This does not mean that Farebox is the only source for Local Match, nor that all farebox revenue is applied as match.  Please review all Grant Applications and Agreements containing State and Federal funds for the proper Match Requirement levels and allowed sources.  Farebox revenues beyond that needed for match is typically applied as system subsidy in column 4.</t>
        </r>
      </text>
    </comment>
    <comment ref="J25" authorId="0">
      <text>
        <r>
          <rPr>
            <sz val="8"/>
            <rFont val="Tahoma"/>
            <family val="2"/>
          </rPr>
          <t xml:space="preserve">
</t>
        </r>
        <r>
          <rPr>
            <sz val="10"/>
            <rFont val="Tahoma"/>
            <family val="2"/>
          </rPr>
          <t>What amount of these funds are earmarked as local match on a transportation service grant?  See GREEN CELL notes on the right.  Revenues beyond that needed for match is typically applied as system subsidy in column 4.</t>
        </r>
      </text>
    </comment>
    <comment ref="J26" authorId="0">
      <text>
        <r>
          <rPr>
            <sz val="8"/>
            <rFont val="Tahoma"/>
            <family val="2"/>
          </rPr>
          <t xml:space="preserve">
</t>
        </r>
        <r>
          <rPr>
            <sz val="10"/>
            <rFont val="Tahoma"/>
            <family val="2"/>
          </rPr>
          <t>What amount of these funds are earmarked as local match on a transportation service grant?  See GREEN CELL notes on the right. Revenues beyond that needed for match is typically applied as system subsidy in column 4.</t>
        </r>
      </text>
    </comment>
    <comment ref="J28" authorId="0">
      <text>
        <r>
          <rPr>
            <sz val="10"/>
            <rFont val="Tahoma"/>
            <family val="2"/>
          </rPr>
          <t xml:space="preserve">
What amount of these funds are earmarked as local match on a transportation service grant?  See GREEN CELL notes on the right.  Revenues beyond that needed for match is typically applied as system subsidy in column 4, unless they are being generated by the purchase of services at the rates calculated by this spreadsheet.</t>
        </r>
      </text>
    </comment>
    <comment ref="J36" authorId="0">
      <text>
        <r>
          <rPr>
            <sz val="8"/>
            <rFont val="Tahoma"/>
            <family val="2"/>
          </rPr>
          <t xml:space="preserve">
</t>
        </r>
        <r>
          <rPr>
            <sz val="10"/>
            <rFont val="Tahoma"/>
            <family val="2"/>
          </rPr>
          <t xml:space="preserve">Show only the amount of revenue that is generated by billing the funding source for transportation services provided at the approved rate per unit.  Also, include the amount of funds that are earmarked for local match for </t>
        </r>
        <r>
          <rPr>
            <b/>
            <u val="single"/>
            <sz val="10"/>
            <rFont val="Tahoma"/>
            <family val="2"/>
          </rPr>
          <t>Transportation Services</t>
        </r>
        <r>
          <rPr>
            <sz val="10"/>
            <rFont val="Tahoma"/>
            <family val="2"/>
          </rPr>
          <t xml:space="preserve"> and </t>
        </r>
        <r>
          <rPr>
            <b/>
            <sz val="10"/>
            <rFont val="Tahoma"/>
            <family val="2"/>
          </rPr>
          <t>not</t>
        </r>
        <r>
          <rPr>
            <sz val="10"/>
            <rFont val="Tahoma"/>
            <family val="2"/>
          </rPr>
          <t xml:space="preserve"> Capital Equipment purchases.</t>
        </r>
      </text>
    </comment>
    <comment ref="J38" authorId="0">
      <text>
        <r>
          <rPr>
            <sz val="8"/>
            <rFont val="Tahoma"/>
            <family val="2"/>
          </rPr>
          <t xml:space="preserve">
</t>
        </r>
        <r>
          <rPr>
            <sz val="10"/>
            <rFont val="Tahoma"/>
            <family val="2"/>
          </rPr>
          <t xml:space="preserve">Show only the amount of revenue that is generated by billing the funding source for Transportation Services provided at the approved rate per unit.  Also, include the amount of funds that are earmarked for local match for </t>
        </r>
        <r>
          <rPr>
            <b/>
            <u val="single"/>
            <sz val="10"/>
            <rFont val="Tahoma"/>
            <family val="2"/>
          </rPr>
          <t>Transportation Services</t>
        </r>
        <r>
          <rPr>
            <sz val="10"/>
            <rFont val="Tahoma"/>
            <family val="2"/>
          </rPr>
          <t xml:space="preserve"> and </t>
        </r>
        <r>
          <rPr>
            <b/>
            <sz val="10"/>
            <rFont val="Tahoma"/>
            <family val="2"/>
          </rPr>
          <t>not</t>
        </r>
        <r>
          <rPr>
            <sz val="10"/>
            <rFont val="Tahoma"/>
            <family val="2"/>
          </rPr>
          <t xml:space="preserve"> Capital Equipment purchases.</t>
        </r>
      </text>
    </comment>
    <comment ref="G3" authorId="1">
      <text>
        <r>
          <rPr>
            <b/>
            <sz val="10"/>
            <rFont val="Tahoma"/>
            <family val="2"/>
          </rPr>
          <t xml:space="preserve">
</t>
        </r>
        <r>
          <rPr>
            <b/>
            <sz val="11"/>
            <rFont val="Tahoma"/>
            <family val="2"/>
          </rPr>
          <t>Purpose:</t>
        </r>
        <r>
          <rPr>
            <sz val="11"/>
            <rFont val="Tahoma"/>
            <family val="2"/>
          </rPr>
          <t xml:space="preserve">  The Budgeted Rate Base worksheet determines the BASE funding amount that will be divided by the upcoming fiscal year's projected passenger miles and trips.  The initial rate base is the amount of expenditures that must be funded with rate-generated revenues.
Revenues EXcluded from the rate base will fund the remaining proposed expenditures.  EXcluded revenues include operating system subsidies and grants (including their match) that have been included in the proposed budget.
In this worksheet projected revenues are further differentiated between being generated: through the purchase of service at the unit price calculated in this spreadsheet (rate base); or as a system operating subsidy; or for purchasing capital equipment. 
Unless otherwise reconciled, the initial rate base may be adjusted upward or downward starting in the 3rd year of using the Rate Calculation Model.  If necessary, appropriate and justified, the adjustment amount is based on program income (including unapproved profit) or losses from the prior year's "actual" and auditable figures.</t>
        </r>
      </text>
    </comment>
    <comment ref="N152" authorId="1">
      <text>
        <r>
          <rPr>
            <b/>
            <sz val="8"/>
            <rFont val="Tahoma"/>
            <family val="2"/>
          </rPr>
          <t>This RED cell displays the difference between the totals for col. 4 and col. 5.  Both Operating and Capital subsidy revenues are removed from the rate base calculations.</t>
        </r>
      </text>
    </comment>
    <comment ref="J15" authorId="1">
      <text>
        <r>
          <rPr>
            <sz val="11"/>
            <rFont val="Tahoma"/>
            <family val="2"/>
          </rPr>
          <t xml:space="preserve">
A shift of Budgeted Rate Subsidy Revenue from column 4 to this column RAISES your rate.</t>
        </r>
      </text>
    </comment>
    <comment ref="J32" authorId="1">
      <text>
        <r>
          <rPr>
            <b/>
            <sz val="8"/>
            <rFont val="Tahoma"/>
            <family val="2"/>
          </rPr>
          <t xml:space="preserve">
</t>
        </r>
        <r>
          <rPr>
            <sz val="10"/>
            <rFont val="Tahoma"/>
            <family val="2"/>
          </rPr>
          <t>A shift of Actual Rate subsidy revenue from column 4 to this column RAISES your rate.</t>
        </r>
      </text>
    </comment>
  </commentList>
</comments>
</file>

<file path=xl/comments5.xml><?xml version="1.0" encoding="utf-8"?>
<comments xmlns="http://schemas.openxmlformats.org/spreadsheetml/2006/main">
  <authors>
    <author>Floyd Webb</author>
  </authors>
  <commentList>
    <comment ref="J15" authorId="0">
      <text>
        <r>
          <rPr>
            <sz val="10"/>
            <rFont val="Tahoma"/>
            <family val="2"/>
          </rPr>
          <t xml:space="preserve">
</t>
        </r>
        <r>
          <rPr>
            <sz val="11"/>
            <rFont val="Tahoma"/>
            <family val="2"/>
          </rPr>
          <t>This worksheet inputs the CTC’s total projected passenger miles and total projected passenger trips related to the projected expenses &amp; revenues entered into this spreadsheet.  A program-wide rate per passenger mile and rate per passenger trip will be computed for comparison purposes only.  The total projected passenger miles and passenger trips on this worksheet are automatically carried over and used in the following worksheet (Multiple Service Rates) where the rates are further differentiated by ambulatory, wheelchair, stretcher, and group services.
In addition to displaying the program-wide rates, the worksheet also calculates what those program-wide rates would need to be in order to generate enough revenue to balance the CTC’s proposed budget if all grants and operating subsidies were eliminated. 
This spreadsheet calculates both a "subsidized" &amp; "unsubsidized" price for services.  However, in certain situations it can NOT do both perfectly IF you have included Expense, Revenue, and trip/mile projections related to services that are priced different than what is calculated by this spreadsheet.
Ideally, you should have a "documented" and consistantly applied cost/revenue allocation plan that relates to each functional activity or differently priced service; and each differently priced service would have its own rate model spreadsheet.  In reality it is not uncommon to have certain purchased transportation services priced minutely different than what this rate model has calculated.  It is important to know, in these situations the calculated rate will be subsidizing the transportation services which have a special price, OR vice versa.
The prelude to putting any expense and revenue information into this pricing spreadsheet is to determine the portion of such expense and revenues attributable to the services being priced, and to do so in accordance with your documented cost/revenue allocation plan.  Your cost/revenue allocation plan should be available for review by auditing agencies.</t>
        </r>
        <r>
          <rPr>
            <sz val="10"/>
            <rFont val="Tahoma"/>
            <family val="2"/>
          </rPr>
          <t xml:space="preserve">
</t>
        </r>
      </text>
    </comment>
    <comment ref="J7" authorId="0">
      <text>
        <r>
          <rPr>
            <b/>
            <sz val="10"/>
            <rFont val="Tahoma"/>
            <family val="2"/>
          </rPr>
          <t xml:space="preserve">
</t>
        </r>
        <r>
          <rPr>
            <sz val="11"/>
            <rFont val="Tahoma"/>
            <family val="2"/>
          </rPr>
          <t>UNLESS, you are pricing their services with this spreadsheet and you have included their respective revenue and expenses in the comprehensive budget.</t>
        </r>
      </text>
    </comment>
    <comment ref="N9" authorId="0">
      <text>
        <r>
          <rPr>
            <b/>
            <sz val="10"/>
            <rFont val="Tahoma"/>
            <family val="2"/>
          </rPr>
          <t xml:space="preserve">
</t>
        </r>
        <r>
          <rPr>
            <sz val="11"/>
            <rFont val="Tahoma"/>
            <family val="2"/>
          </rPr>
          <t>UNLESS, you are pricing their services with this spreadsheet and you have included their respective revenue and expenses in the comprehensive budget!    If so, you must enter their revenue as LOCAL NON-GOVT "OTHER" or "OTHER REVENUES", and explain in the respective section.</t>
        </r>
      </text>
    </comment>
  </commentList>
</comments>
</file>

<file path=xl/sharedStrings.xml><?xml version="1.0" encoding="utf-8"?>
<sst xmlns="http://schemas.openxmlformats.org/spreadsheetml/2006/main" count="878" uniqueCount="441">
  <si>
    <r>
      <t xml:space="preserve">Current Year's </t>
    </r>
    <r>
      <rPr>
        <b/>
        <sz val="10"/>
        <rFont val="Arial"/>
        <family val="2"/>
      </rPr>
      <t xml:space="preserve">APPROVED </t>
    </r>
    <r>
      <rPr>
        <sz val="10"/>
        <rFont val="Arial"/>
        <family val="2"/>
      </rPr>
      <t>Budget,</t>
    </r>
    <r>
      <rPr>
        <b/>
        <sz val="10"/>
        <rFont val="Arial"/>
        <family val="2"/>
      </rPr>
      <t xml:space="preserve"> as amended</t>
    </r>
  </si>
  <si>
    <t>Combination Trip and Mile Rate</t>
  </si>
  <si>
    <t>Service Differentiation for Factor 1 (Ambulatory = 1.00)</t>
  </si>
  <si>
    <t>Service Differentiation for All Factors, with APPLIED factor weighting =</t>
  </si>
  <si>
    <t>Service Differentiation for Factor 2 (Inverse; Ambulatory = 1.00)</t>
  </si>
  <si>
    <t>per passenger</t>
  </si>
  <si>
    <t>per group</t>
  </si>
  <si>
    <t xml:space="preserve">Relative Differentiation = </t>
  </si>
  <si>
    <t>Materials and Supplies</t>
  </si>
  <si>
    <t>Utilities</t>
  </si>
  <si>
    <t>Casualty and Liability</t>
  </si>
  <si>
    <t>Taxes</t>
  </si>
  <si>
    <t>Other Cash</t>
  </si>
  <si>
    <t>CTD</t>
  </si>
  <si>
    <t>Rate Base Adjustment</t>
  </si>
  <si>
    <t>Miscellaneous</t>
  </si>
  <si>
    <t>Leases and Rentals</t>
  </si>
  <si>
    <t>Allocated Indirect</t>
  </si>
  <si>
    <t>Group</t>
  </si>
  <si>
    <t>Average Wait Time in Hours =</t>
  </si>
  <si>
    <t>Average # of minutes for pick-up per stop</t>
  </si>
  <si>
    <t>Average # of minutes for drop-off per stop</t>
  </si>
  <si>
    <t>Factor % Weight</t>
  </si>
  <si>
    <t>1.</t>
  </si>
  <si>
    <t>2.</t>
  </si>
  <si>
    <t>3.</t>
  </si>
  <si>
    <t>4.</t>
  </si>
  <si>
    <t>Sept 30th of</t>
  </si>
  <si>
    <r>
      <t xml:space="preserve">Upcoming Year's </t>
    </r>
    <r>
      <rPr>
        <b/>
        <sz val="10"/>
        <rFont val="Arial"/>
        <family val="2"/>
      </rPr>
      <t>PROPOSED</t>
    </r>
    <r>
      <rPr>
        <sz val="10"/>
        <rFont val="Arial"/>
        <family val="2"/>
      </rPr>
      <t xml:space="preserve"> Budget</t>
    </r>
  </si>
  <si>
    <t>Computations:</t>
  </si>
  <si>
    <t>USDOT &amp; FDOT</t>
  </si>
  <si>
    <t>Block Grant</t>
  </si>
  <si>
    <t>Service Development</t>
  </si>
  <si>
    <t>Commuter Assistance</t>
  </si>
  <si>
    <t>Other DOT</t>
  </si>
  <si>
    <t>AHCA</t>
  </si>
  <si>
    <t>Medicaid</t>
  </si>
  <si>
    <t>DCF</t>
  </si>
  <si>
    <t>Other</t>
  </si>
  <si>
    <t>DOH</t>
  </si>
  <si>
    <t>County Public Health</t>
  </si>
  <si>
    <t>DOE (state)</t>
  </si>
  <si>
    <t>Carl Perkins</t>
  </si>
  <si>
    <t>Day Care Programs</t>
  </si>
  <si>
    <t>DOEA</t>
  </si>
  <si>
    <t>DCA</t>
  </si>
  <si>
    <t>DJJ</t>
  </si>
  <si>
    <t>Other Fed or State</t>
  </si>
  <si>
    <t>Local Non-Govt</t>
  </si>
  <si>
    <t>xxxx</t>
  </si>
  <si>
    <t>Labor</t>
  </si>
  <si>
    <t>Fringe Benefits</t>
  </si>
  <si>
    <t>Services</t>
  </si>
  <si>
    <t>Adjusted Expenditures Included in Rate Base =</t>
  </si>
  <si>
    <t xml:space="preserve">Group </t>
  </si>
  <si>
    <t>Aggregate Wght</t>
  </si>
  <si>
    <t>Wheel Chair</t>
  </si>
  <si>
    <t>(Ambulatory = 1.00)</t>
  </si>
  <si>
    <t>Ambul</t>
  </si>
  <si>
    <t>Ambulatory</t>
  </si>
  <si>
    <t>Stretcher</t>
  </si>
  <si>
    <t>Farebox</t>
  </si>
  <si>
    <t xml:space="preserve">Other </t>
  </si>
  <si>
    <t>Local Government</t>
  </si>
  <si>
    <t>County Cash</t>
  </si>
  <si>
    <t>City Cash</t>
  </si>
  <si>
    <r>
      <t>Rate Base Adjustment</t>
    </r>
    <r>
      <rPr>
        <vertAlign val="superscript"/>
        <sz val="10"/>
        <rFont val="Arial"/>
        <family val="2"/>
      </rPr>
      <t>1</t>
    </r>
    <r>
      <rPr>
        <sz val="10"/>
        <rFont val="Arial"/>
        <family val="2"/>
      </rPr>
      <t xml:space="preserve"> =</t>
    </r>
  </si>
  <si>
    <t>Contracted Transportation Services</t>
  </si>
  <si>
    <t>Projected total Group PASSENGER Revenue Miles =</t>
  </si>
  <si>
    <t>Oct 1st of</t>
  </si>
  <si>
    <t>July 1st of</t>
  </si>
  <si>
    <t>June 30th of</t>
  </si>
  <si>
    <t>Jan 1st of</t>
  </si>
  <si>
    <t>Dec 31st of</t>
  </si>
  <si>
    <t>Projected total Group ROUTE Miles =</t>
  </si>
  <si>
    <t>Average # of Group Passenger Rev. Miles per Group Route Mile =</t>
  </si>
  <si>
    <t>Differentiation Method:  Wait Time &amp; Grouping</t>
  </si>
  <si>
    <t>Preliminary Information Worksheet</t>
  </si>
  <si>
    <t>Contact Person:</t>
  </si>
  <si>
    <t>Check Applicable Characteristic:</t>
  </si>
  <si>
    <t xml:space="preserve"> Governmental</t>
  </si>
  <si>
    <t xml:space="preserve"> Partially Brokered</t>
  </si>
  <si>
    <t>Phone #</t>
  </si>
  <si>
    <t>CTC Name:</t>
  </si>
  <si>
    <t>Comprehensive Budget Worksheet</t>
  </si>
  <si>
    <t>to</t>
  </si>
  <si>
    <t>from</t>
  </si>
  <si>
    <t>Other DCF</t>
  </si>
  <si>
    <t>Other DOEA</t>
  </si>
  <si>
    <t>Other DOH</t>
  </si>
  <si>
    <r>
      <t xml:space="preserve">EXPENDITURES </t>
    </r>
    <r>
      <rPr>
        <sz val="12"/>
        <color indexed="9"/>
        <rFont val="Arial"/>
        <family val="2"/>
      </rPr>
      <t>(CTC/Operators ONLY)</t>
    </r>
  </si>
  <si>
    <r>
      <t xml:space="preserve">REVENUES </t>
    </r>
    <r>
      <rPr>
        <sz val="12"/>
        <color indexed="9"/>
        <rFont val="Arial"/>
        <family val="2"/>
      </rPr>
      <t>(CTC/Operators ONLY)</t>
    </r>
  </si>
  <si>
    <t xml:space="preserve">Total Revenues = </t>
  </si>
  <si>
    <t>Bus Pass Admin. Revenue</t>
  </si>
  <si>
    <t xml:space="preserve">Total Expenditures = </t>
  </si>
  <si>
    <t>=</t>
  </si>
  <si>
    <t>Budgeted Rate Base Worksheet</t>
  </si>
  <si>
    <t>Rate Base Adjustment Worksheet</t>
  </si>
  <si>
    <t>GREEN cells</t>
  </si>
  <si>
    <t>BLUE cells</t>
  </si>
  <si>
    <t>YELLOW cells</t>
  </si>
  <si>
    <r>
      <t xml:space="preserve">Upcoming Year's </t>
    </r>
    <r>
      <rPr>
        <b/>
        <sz val="10"/>
        <rFont val="Arial"/>
        <family val="2"/>
      </rPr>
      <t>BUDGETED</t>
    </r>
    <r>
      <rPr>
        <sz val="10"/>
        <rFont val="Arial"/>
        <family val="2"/>
      </rPr>
      <t xml:space="preserve"> Revenues</t>
    </r>
  </si>
  <si>
    <r>
      <t>minus</t>
    </r>
    <r>
      <rPr>
        <sz val="10"/>
        <rFont val="Arial"/>
        <family val="2"/>
      </rPr>
      <t xml:space="preserve"> </t>
    </r>
    <r>
      <rPr>
        <b/>
        <sz val="10"/>
        <rFont val="Arial"/>
        <family val="2"/>
      </rPr>
      <t>EXCLUDED</t>
    </r>
    <r>
      <rPr>
        <sz val="10"/>
        <rFont val="Arial"/>
        <family val="2"/>
      </rPr>
      <t xml:space="preserve"> Subsidy Revenue =</t>
    </r>
  </si>
  <si>
    <r>
      <t xml:space="preserve">Budgeted Total Expenditures </t>
    </r>
    <r>
      <rPr>
        <b/>
        <sz val="10"/>
        <rFont val="Arial"/>
        <family val="2"/>
      </rPr>
      <t>INCLUDED</t>
    </r>
    <r>
      <rPr>
        <sz val="10"/>
        <rFont val="Arial"/>
        <family val="2"/>
      </rPr>
      <t xml:space="preserve"> in Rate Base = </t>
    </r>
  </si>
  <si>
    <t>Total Expenditures =</t>
  </si>
  <si>
    <t>Authorized Rate per Mile/Trip Charges</t>
  </si>
  <si>
    <r>
      <t>are</t>
    </r>
    <r>
      <rPr>
        <b/>
        <u val="single"/>
        <sz val="12"/>
        <color indexed="63"/>
        <rFont val="Arial"/>
        <family val="2"/>
      </rPr>
      <t xml:space="preserve"> NEVER</t>
    </r>
    <r>
      <rPr>
        <b/>
        <sz val="12"/>
        <color indexed="63"/>
        <rFont val="Arial"/>
        <family val="2"/>
      </rPr>
      <t xml:space="preserve"> Generated by Applying Authorized Rates</t>
    </r>
  </si>
  <si>
    <t>Worksheet for Multiple Service Rates</t>
  </si>
  <si>
    <r>
      <t xml:space="preserve">Complete applicable </t>
    </r>
    <r>
      <rPr>
        <b/>
        <i/>
        <sz val="12"/>
        <rFont val="Arial"/>
        <family val="2"/>
      </rPr>
      <t>GREEN</t>
    </r>
    <r>
      <rPr>
        <i/>
        <sz val="12"/>
        <rFont val="Arial"/>
        <family val="2"/>
      </rPr>
      <t xml:space="preserve"> cells in columns 2, 3, 4, and 7</t>
    </r>
  </si>
  <si>
    <r>
      <t>Once completed, proceed to the Worksheet entitled</t>
    </r>
    <r>
      <rPr>
        <b/>
        <i/>
        <sz val="12"/>
        <color indexed="12"/>
        <rFont val="Arial"/>
        <family val="2"/>
      </rPr>
      <t xml:space="preserve"> </t>
    </r>
    <r>
      <rPr>
        <b/>
        <i/>
        <sz val="12"/>
        <color indexed="63"/>
        <rFont val="Arial"/>
        <family val="2"/>
      </rPr>
      <t>"Comprehensive Budget"</t>
    </r>
  </si>
  <si>
    <r>
      <t>Once Completed, Proceed to the Worksheet entitled</t>
    </r>
    <r>
      <rPr>
        <i/>
        <sz val="12"/>
        <color indexed="12"/>
        <rFont val="Arial"/>
        <family val="2"/>
      </rPr>
      <t xml:space="preserve"> </t>
    </r>
    <r>
      <rPr>
        <b/>
        <i/>
        <sz val="12"/>
        <color indexed="63"/>
        <rFont val="Arial"/>
        <family val="2"/>
      </rPr>
      <t xml:space="preserve">"Budgeted Rate Base" </t>
    </r>
  </si>
  <si>
    <r>
      <t>Once Completed, Proceed to the Worksheet entitled</t>
    </r>
    <r>
      <rPr>
        <b/>
        <i/>
        <sz val="12"/>
        <rFont val="Arial"/>
        <family val="2"/>
      </rPr>
      <t xml:space="preserve"> "Multiple Service Rates"</t>
    </r>
  </si>
  <si>
    <r>
      <t xml:space="preserve">Prior Year's </t>
    </r>
    <r>
      <rPr>
        <b/>
        <sz val="10"/>
        <rFont val="Arial"/>
        <family val="2"/>
      </rPr>
      <t>ACTUALS</t>
    </r>
  </si>
  <si>
    <t>AWI</t>
  </si>
  <si>
    <t>Other Revenues</t>
  </si>
  <si>
    <t>Other AHCA</t>
  </si>
  <si>
    <t>Other DOE</t>
  </si>
  <si>
    <t>Other DCA</t>
  </si>
  <si>
    <t>Other AWI</t>
  </si>
  <si>
    <r>
      <t xml:space="preserve">REVENUES   </t>
    </r>
    <r>
      <rPr>
        <sz val="12"/>
        <color indexed="9"/>
        <rFont val="Arial"/>
        <family val="2"/>
      </rPr>
      <t xml:space="preserve">(CTC/Operators ONLY / Do </t>
    </r>
    <r>
      <rPr>
        <b/>
        <sz val="12"/>
        <color indexed="9"/>
        <rFont val="Arial"/>
        <family val="2"/>
      </rPr>
      <t>NOT</t>
    </r>
    <r>
      <rPr>
        <sz val="12"/>
        <color indexed="9"/>
        <rFont val="Arial"/>
        <family val="2"/>
      </rPr>
      <t xml:space="preserve"> include coordination contractors!)</t>
    </r>
  </si>
  <si>
    <t>Other DOH (specify in explanation)</t>
  </si>
  <si>
    <t>Other DCF (specify in explanation)</t>
  </si>
  <si>
    <t>Other AHCA (specify in explanation)</t>
  </si>
  <si>
    <t>Other DOE (specify in explanation)</t>
  </si>
  <si>
    <t>Other DOT (specify in explanation)</t>
  </si>
  <si>
    <t>Other DOEA (specify in explanation)</t>
  </si>
  <si>
    <t>Other DCA (specify in explanation)</t>
  </si>
  <si>
    <t>Other AWI (specify in explanation)</t>
  </si>
  <si>
    <t>Wheelchair</t>
  </si>
  <si>
    <t xml:space="preserve">Yes    </t>
  </si>
  <si>
    <t>Combination Rate</t>
  </si>
  <si>
    <t xml:space="preserve">Yes      </t>
  </si>
  <si>
    <t xml:space="preserve">No       </t>
  </si>
  <si>
    <t xml:space="preserve">No         </t>
  </si>
  <si>
    <t xml:space="preserve">No        </t>
  </si>
  <si>
    <t xml:space="preserve">Yes     </t>
  </si>
  <si>
    <t xml:space="preserve">Yes       </t>
  </si>
  <si>
    <t>Final Service Differentiation:</t>
  </si>
  <si>
    <t xml:space="preserve">  Factor 1:  Wait Time</t>
  </si>
  <si>
    <t xml:space="preserve">  Factor 2:  Grouping</t>
  </si>
  <si>
    <t xml:space="preserve"> Capital Expenditures</t>
  </si>
  <si>
    <t xml:space="preserve">  Operating Expenditures</t>
  </si>
  <si>
    <t xml:space="preserve"> Operating Expenditures</t>
  </si>
  <si>
    <t xml:space="preserve">  Capital Expenditures</t>
  </si>
  <si>
    <r>
      <t xml:space="preserve">Actual Rate </t>
    </r>
    <r>
      <rPr>
        <u val="single"/>
        <sz val="11"/>
        <rFont val="Arial"/>
        <family val="2"/>
      </rPr>
      <t>Subsidy Revenue</t>
    </r>
    <r>
      <rPr>
        <sz val="11"/>
        <rFont val="Arial"/>
        <family val="2"/>
      </rPr>
      <t xml:space="preserve"> </t>
    </r>
    <r>
      <rPr>
        <b/>
        <sz val="11"/>
        <rFont val="Arial"/>
        <family val="2"/>
      </rPr>
      <t>EX</t>
    </r>
    <r>
      <rPr>
        <sz val="11"/>
        <rFont val="Arial"/>
        <family val="2"/>
      </rPr>
      <t>cluded from the Rate Base</t>
    </r>
  </si>
  <si>
    <r>
      <t>Actual</t>
    </r>
    <r>
      <rPr>
        <sz val="10"/>
        <rFont val="Arial"/>
        <family val="2"/>
      </rPr>
      <t xml:space="preserve"> Operating Rate </t>
    </r>
    <r>
      <rPr>
        <u val="single"/>
        <sz val="10"/>
        <rFont val="Arial"/>
        <family val="2"/>
      </rPr>
      <t>Subsidy</t>
    </r>
    <r>
      <rPr>
        <sz val="10"/>
        <rFont val="Arial"/>
        <family val="2"/>
      </rPr>
      <t xml:space="preserve"> Revenue</t>
    </r>
  </si>
  <si>
    <r>
      <t xml:space="preserve">Amount of </t>
    </r>
    <r>
      <rPr>
        <u val="single"/>
        <sz val="10"/>
        <rFont val="Arial"/>
        <family val="2"/>
      </rPr>
      <t>Budgeted</t>
    </r>
    <r>
      <rPr>
        <sz val="10"/>
        <rFont val="Arial"/>
        <family val="2"/>
      </rPr>
      <t xml:space="preserve"> Operating Rate Subsidy Revenue</t>
    </r>
  </si>
  <si>
    <r>
      <t>Actual</t>
    </r>
    <r>
      <rPr>
        <b/>
        <sz val="10"/>
        <rFont val="Arial"/>
        <family val="2"/>
      </rPr>
      <t xml:space="preserve"> </t>
    </r>
    <r>
      <rPr>
        <sz val="10"/>
        <rFont val="Arial"/>
        <family val="2"/>
      </rPr>
      <t>Operating</t>
    </r>
    <r>
      <rPr>
        <b/>
        <sz val="10"/>
        <rFont val="Arial"/>
        <family val="2"/>
      </rPr>
      <t xml:space="preserve"> </t>
    </r>
    <r>
      <rPr>
        <sz val="10"/>
        <rFont val="Arial"/>
        <family val="2"/>
      </rPr>
      <t>Rate Subsidy Revenue</t>
    </r>
    <r>
      <rPr>
        <b/>
        <sz val="10"/>
        <rFont val="Arial"/>
        <family val="2"/>
      </rPr>
      <t xml:space="preserve"> Over / </t>
    </r>
    <r>
      <rPr>
        <b/>
        <sz val="10"/>
        <color indexed="10"/>
        <rFont val="Arial"/>
        <family val="2"/>
      </rPr>
      <t xml:space="preserve">(Under) </t>
    </r>
    <r>
      <rPr>
        <b/>
        <u val="single"/>
        <sz val="10"/>
        <rFont val="Arial"/>
        <family val="2"/>
      </rPr>
      <t>Budgeted</t>
    </r>
    <r>
      <rPr>
        <b/>
        <sz val="10"/>
        <rFont val="Arial"/>
        <family val="2"/>
      </rPr>
      <t xml:space="preserve"> </t>
    </r>
    <r>
      <rPr>
        <sz val="10"/>
        <rFont val="Arial"/>
        <family val="2"/>
      </rPr>
      <t>Operating</t>
    </r>
    <r>
      <rPr>
        <b/>
        <sz val="10"/>
        <rFont val="Arial"/>
        <family val="2"/>
      </rPr>
      <t xml:space="preserve"> </t>
    </r>
    <r>
      <rPr>
        <sz val="10"/>
        <rFont val="Arial"/>
        <family val="2"/>
      </rPr>
      <t>Rate Subsidy Revenue</t>
    </r>
  </si>
  <si>
    <r>
      <t>MAY BE</t>
    </r>
    <r>
      <rPr>
        <b/>
        <sz val="12"/>
        <color indexed="63"/>
        <rFont val="Arial"/>
        <family val="2"/>
      </rPr>
      <t xml:space="preserve"> Revenue Generated by Applying</t>
    </r>
  </si>
  <si>
    <t>SECTION I:  SERVICES PROVIDED</t>
  </si>
  <si>
    <t>SECTION II:  Contracted Services</t>
  </si>
  <si>
    <t>Do you provide any of these Services?................................................................................................................................</t>
  </si>
  <si>
    <r>
      <t xml:space="preserve">per </t>
    </r>
    <r>
      <rPr>
        <b/>
        <sz val="11"/>
        <rFont val="Arial"/>
        <family val="2"/>
      </rPr>
      <t>revenue mile</t>
    </r>
  </si>
  <si>
    <r>
      <t xml:space="preserve">per </t>
    </r>
    <r>
      <rPr>
        <b/>
        <sz val="11"/>
        <rFont val="Arial"/>
        <family val="2"/>
      </rPr>
      <t>passenger trip</t>
    </r>
  </si>
  <si>
    <t>SECTION III:  Escort Service</t>
  </si>
  <si>
    <t>SECTION IV:  Group Service</t>
  </si>
  <si>
    <t>SECTION V:  Rate Calculations for Mulitple Services:</t>
  </si>
  <si>
    <r>
      <t xml:space="preserve">Answer the questions by completing the </t>
    </r>
    <r>
      <rPr>
        <b/>
        <i/>
        <sz val="11"/>
        <rFont val="Arial"/>
        <family val="2"/>
      </rPr>
      <t>GREEN</t>
    </r>
    <r>
      <rPr>
        <i/>
        <sz val="11"/>
        <rFont val="Arial"/>
        <family val="2"/>
      </rPr>
      <t xml:space="preserve"> cells starting in </t>
    </r>
    <r>
      <rPr>
        <b/>
        <i/>
        <sz val="11"/>
        <rFont val="Arial"/>
        <family val="2"/>
      </rPr>
      <t>Section I</t>
    </r>
    <r>
      <rPr>
        <i/>
        <sz val="11"/>
        <rFont val="Arial"/>
        <family val="2"/>
      </rPr>
      <t xml:space="preserve"> for all services</t>
    </r>
  </si>
  <si>
    <r>
      <t xml:space="preserve">If you answered </t>
    </r>
    <r>
      <rPr>
        <b/>
        <i/>
        <sz val="11"/>
        <rFont val="Arial"/>
        <family val="2"/>
      </rPr>
      <t>YES to # 1 &amp; # 2 above,</t>
    </r>
    <r>
      <rPr>
        <i/>
        <sz val="11"/>
        <rFont val="Arial"/>
        <family val="2"/>
      </rPr>
      <t xml:space="preserve"> how much is the proposed contract amount for the service?...........</t>
    </r>
  </si>
  <si>
    <r>
      <t xml:space="preserve">Effective Rate for </t>
    </r>
    <r>
      <rPr>
        <b/>
        <sz val="12"/>
        <rFont val="Arial"/>
        <family val="2"/>
      </rPr>
      <t>Contracted Services:</t>
    </r>
  </si>
  <si>
    <t xml:space="preserve">   Pass. Trip   </t>
  </si>
  <si>
    <t xml:space="preserve">   Rev. Mile    </t>
  </si>
  <si>
    <r>
      <t xml:space="preserve">Do you contract out any of these service </t>
    </r>
    <r>
      <rPr>
        <b/>
        <i/>
        <sz val="11"/>
        <rFont val="Arial"/>
        <family val="2"/>
      </rPr>
      <t>TOTALLY</t>
    </r>
    <r>
      <rPr>
        <i/>
        <sz val="11"/>
        <rFont val="Arial"/>
        <family val="2"/>
      </rPr>
      <t>?................................................................................................................................</t>
    </r>
  </si>
  <si>
    <r>
      <t xml:space="preserve">If you answered </t>
    </r>
    <r>
      <rPr>
        <b/>
        <i/>
        <sz val="11"/>
        <rFont val="Arial"/>
        <family val="2"/>
      </rPr>
      <t>YES to #1 above,</t>
    </r>
    <r>
      <rPr>
        <i/>
        <sz val="11"/>
        <rFont val="Arial"/>
        <family val="2"/>
      </rPr>
      <t xml:space="preserve"> do you want to arrive at the billing rate by simply dividing the proposed contract amount by the projected revenue miles / passenger trips?.......................................................................</t>
    </r>
  </si>
  <si>
    <r>
      <t xml:space="preserve">Complete applicable </t>
    </r>
    <r>
      <rPr>
        <b/>
        <i/>
        <sz val="12"/>
        <rFont val="Arial"/>
        <family val="2"/>
      </rPr>
      <t>GOLD</t>
    </r>
    <r>
      <rPr>
        <i/>
        <sz val="12"/>
        <rFont val="Arial"/>
        <family val="2"/>
      </rPr>
      <t xml:space="preserve"> cells in column 5.</t>
    </r>
  </si>
  <si>
    <t>GOLD cells</t>
  </si>
  <si>
    <t>Section II - Actual v. Budgeted Operating Rate Subsidy Revenue</t>
  </si>
  <si>
    <t>Section I - Identification of Actual Subsidy Revenue</t>
  </si>
  <si>
    <r>
      <t xml:space="preserve">Amount of </t>
    </r>
    <r>
      <rPr>
        <b/>
        <sz val="10"/>
        <rFont val="Arial"/>
        <family val="2"/>
      </rPr>
      <t>Actual</t>
    </r>
    <r>
      <rPr>
        <sz val="10"/>
        <rFont val="Arial"/>
        <family val="2"/>
      </rPr>
      <t xml:space="preserve"> Operating Rate </t>
    </r>
    <r>
      <rPr>
        <u val="single"/>
        <sz val="10"/>
        <rFont val="Arial"/>
        <family val="2"/>
      </rPr>
      <t>Subsidy</t>
    </r>
    <r>
      <rPr>
        <sz val="10"/>
        <rFont val="Arial"/>
        <family val="2"/>
      </rPr>
      <t xml:space="preserve"> Revenue</t>
    </r>
  </si>
  <si>
    <r>
      <t xml:space="preserve">Complete applicable </t>
    </r>
    <r>
      <rPr>
        <b/>
        <i/>
        <sz val="12"/>
        <rFont val="Arial"/>
        <family val="2"/>
      </rPr>
      <t>GOLD</t>
    </r>
    <r>
      <rPr>
        <i/>
        <sz val="12"/>
        <rFont val="Arial"/>
        <family val="2"/>
      </rPr>
      <t xml:space="preserve"> cells in column and 5</t>
    </r>
  </si>
  <si>
    <t>Fiscal Year</t>
  </si>
  <si>
    <r>
      <t xml:space="preserve">Follow the </t>
    </r>
    <r>
      <rPr>
        <b/>
        <i/>
        <sz val="11"/>
        <color indexed="16"/>
        <rFont val="Arial"/>
        <family val="2"/>
      </rPr>
      <t>DARK RED</t>
    </r>
    <r>
      <rPr>
        <i/>
        <sz val="11"/>
        <rFont val="Arial"/>
        <family val="2"/>
      </rPr>
      <t xml:space="preserve"> prompts directing you to skip or go to certain questions and sections based on previous answers</t>
    </r>
  </si>
  <si>
    <r>
      <t>How much will you charge each escort?.....................................................................................</t>
    </r>
    <r>
      <rPr>
        <i/>
        <sz val="11"/>
        <rFont val="Arial"/>
        <family val="2"/>
      </rPr>
      <t>.........................................</t>
    </r>
  </si>
  <si>
    <r>
      <t xml:space="preserve">If you answered </t>
    </r>
    <r>
      <rPr>
        <b/>
        <i/>
        <sz val="11"/>
        <rFont val="Arial"/>
        <family val="2"/>
      </rPr>
      <t>Yes to # 1,</t>
    </r>
    <r>
      <rPr>
        <i/>
        <sz val="11"/>
        <rFont val="Arial"/>
        <family val="2"/>
      </rPr>
      <t xml:space="preserve"> do you want to charge per passenger trip </t>
    </r>
    <r>
      <rPr>
        <b/>
        <i/>
        <sz val="11"/>
        <rFont val="Arial"/>
        <family val="2"/>
      </rPr>
      <t>OR</t>
    </r>
    <r>
      <rPr>
        <i/>
        <sz val="11"/>
        <rFont val="Arial"/>
        <family val="2"/>
      </rPr>
      <t xml:space="preserve"> per revenue mile?..........................</t>
    </r>
  </si>
  <si>
    <r>
      <t xml:space="preserve">If you answered </t>
    </r>
    <r>
      <rPr>
        <b/>
        <i/>
        <sz val="11"/>
        <rFont val="Arial"/>
        <family val="2"/>
      </rPr>
      <t>YES in Section I</t>
    </r>
    <r>
      <rPr>
        <i/>
        <sz val="11"/>
        <rFont val="Arial"/>
        <family val="2"/>
      </rPr>
      <t xml:space="preserve"> and </t>
    </r>
    <r>
      <rPr>
        <b/>
        <i/>
        <sz val="11"/>
        <rFont val="Arial"/>
        <family val="2"/>
      </rPr>
      <t>NO to #1 in Section II</t>
    </r>
    <r>
      <rPr>
        <i/>
        <sz val="11"/>
        <rFont val="Arial"/>
        <family val="2"/>
      </rPr>
      <t xml:space="preserve"> for Group Service, what is the projected total </t>
    </r>
  </si>
  <si>
    <t>….will a passenger be accompanied by an escort?.......................................................................................................</t>
  </si>
  <si>
    <t>Do you want to charge all escorts a fee?...............................................................................................................................</t>
  </si>
  <si>
    <r>
      <t xml:space="preserve">If you answered </t>
    </r>
    <r>
      <rPr>
        <b/>
        <i/>
        <sz val="11"/>
        <rFont val="Arial"/>
        <family val="2"/>
      </rPr>
      <t>Yes to # 1</t>
    </r>
    <r>
      <rPr>
        <i/>
        <sz val="11"/>
        <rFont val="Arial"/>
        <family val="2"/>
      </rPr>
      <t xml:space="preserve"> and </t>
    </r>
    <r>
      <rPr>
        <b/>
        <i/>
        <sz val="11"/>
        <rFont val="Arial"/>
        <family val="2"/>
      </rPr>
      <t xml:space="preserve">completed # 2, </t>
    </r>
    <r>
      <rPr>
        <i/>
        <sz val="11"/>
        <rFont val="Arial"/>
        <family val="2"/>
      </rPr>
      <t>for how many of the projected passenger trips / revenue miles…</t>
    </r>
  </si>
  <si>
    <r>
      <t>Rate per Revenue Mile</t>
    </r>
    <r>
      <rPr>
        <sz val="12"/>
        <rFont val="Arial"/>
        <family val="2"/>
      </rPr>
      <t xml:space="preserve"> = </t>
    </r>
  </si>
  <si>
    <r>
      <t>Rate per Passenger Trip</t>
    </r>
    <r>
      <rPr>
        <sz val="12"/>
        <rFont val="Arial"/>
        <family val="2"/>
      </rPr>
      <t xml:space="preserve"> = </t>
    </r>
  </si>
  <si>
    <t>Group Passenger Revenue Miles?.........................................................................................................................................</t>
  </si>
  <si>
    <t>………. And what is the projected total Group Route miles?</t>
  </si>
  <si>
    <r>
      <t xml:space="preserve">How many of the total projected </t>
    </r>
    <r>
      <rPr>
        <b/>
        <i/>
        <sz val="11"/>
        <rFont val="Arial"/>
        <family val="2"/>
      </rPr>
      <t>revenue miles</t>
    </r>
    <r>
      <rPr>
        <i/>
        <sz val="11"/>
        <rFont val="Arial"/>
        <family val="2"/>
      </rPr>
      <t xml:space="preserve"> relate to the contracted service?</t>
    </r>
  </si>
  <si>
    <r>
      <t xml:space="preserve">How many of the total projected </t>
    </r>
    <r>
      <rPr>
        <b/>
        <i/>
        <sz val="11"/>
        <rFont val="Arial"/>
        <family val="2"/>
      </rPr>
      <t>passenger trips</t>
    </r>
    <r>
      <rPr>
        <i/>
        <sz val="11"/>
        <rFont val="Arial"/>
        <family val="2"/>
      </rPr>
      <t xml:space="preserve"> relate to the contracted service? </t>
    </r>
  </si>
  <si>
    <t>Rate If NOT Subsidized</t>
  </si>
  <si>
    <r>
      <t xml:space="preserve">Input Projected Revenue Miles and Passenger Trips </t>
    </r>
    <r>
      <rPr>
        <i/>
        <u val="single"/>
        <sz val="11"/>
        <rFont val="Arial"/>
        <family val="2"/>
      </rPr>
      <t>for each Service</t>
    </r>
    <r>
      <rPr>
        <i/>
        <sz val="11"/>
        <rFont val="Arial"/>
        <family val="2"/>
      </rPr>
      <t xml:space="preserve"> in the </t>
    </r>
    <r>
      <rPr>
        <b/>
        <i/>
        <sz val="11"/>
        <rFont val="Arial"/>
        <family val="2"/>
      </rPr>
      <t>GREEN</t>
    </r>
    <r>
      <rPr>
        <i/>
        <sz val="11"/>
        <rFont val="Arial"/>
        <family val="2"/>
      </rPr>
      <t xml:space="preserve"> cells and the Rates for each Service will be calculated automatically </t>
    </r>
  </si>
  <si>
    <r>
      <t xml:space="preserve">* Miles and Trips you input must sum to the total for all Services entered on the "Single Service Rates" Worksheet, </t>
    </r>
    <r>
      <rPr>
        <b/>
        <i/>
        <sz val="11"/>
        <rFont val="Arial"/>
        <family val="2"/>
      </rPr>
      <t>MINUS</t>
    </r>
    <r>
      <rPr>
        <i/>
        <sz val="11"/>
        <rFont val="Arial"/>
        <family val="2"/>
      </rPr>
      <t xml:space="preserve"> miles and trips for contracted services </t>
    </r>
    <r>
      <rPr>
        <b/>
        <i/>
        <u val="single"/>
        <sz val="11"/>
        <rFont val="Arial"/>
        <family val="2"/>
      </rPr>
      <t>IF</t>
    </r>
    <r>
      <rPr>
        <i/>
        <u val="single"/>
        <sz val="11"/>
        <rFont val="Arial"/>
        <family val="2"/>
      </rPr>
      <t xml:space="preserve"> the rates were calculated in the Section II above</t>
    </r>
  </si>
  <si>
    <t>RATES FOR FY:</t>
  </si>
  <si>
    <r>
      <t xml:space="preserve">* Be sure to leave the service </t>
    </r>
    <r>
      <rPr>
        <b/>
        <i/>
        <u val="single"/>
        <sz val="11"/>
        <rFont val="Arial"/>
        <family val="2"/>
      </rPr>
      <t>BLANK</t>
    </r>
    <r>
      <rPr>
        <i/>
        <sz val="11"/>
        <rFont val="Arial"/>
        <family val="2"/>
      </rPr>
      <t xml:space="preserve"> if you answered </t>
    </r>
    <r>
      <rPr>
        <b/>
        <i/>
        <sz val="11"/>
        <rFont val="Arial"/>
        <family val="2"/>
      </rPr>
      <t>NO in Section I</t>
    </r>
    <r>
      <rPr>
        <i/>
        <sz val="11"/>
        <rFont val="Arial"/>
        <family val="2"/>
      </rPr>
      <t xml:space="preserve"> or </t>
    </r>
    <r>
      <rPr>
        <b/>
        <i/>
        <sz val="11"/>
        <rFont val="Arial"/>
        <family val="2"/>
      </rPr>
      <t>YES to question #2 in Section II</t>
    </r>
  </si>
  <si>
    <t>2</t>
  </si>
  <si>
    <r>
      <t>…</t>
    </r>
    <r>
      <rPr>
        <b/>
        <sz val="11"/>
        <rFont val="Arial"/>
        <family val="2"/>
      </rPr>
      <t>INPUT</t>
    </r>
    <r>
      <rPr>
        <sz val="11"/>
        <rFont val="Arial"/>
        <family val="2"/>
      </rPr>
      <t xml:space="preserve"> the Desired </t>
    </r>
    <r>
      <rPr>
        <b/>
        <sz val="11"/>
        <rFont val="Arial"/>
        <family val="2"/>
      </rPr>
      <t>Rate per Trip</t>
    </r>
    <r>
      <rPr>
        <sz val="11"/>
        <rFont val="Arial"/>
        <family val="2"/>
      </rPr>
      <t xml:space="preserve"> </t>
    </r>
    <r>
      <rPr>
        <i/>
        <sz val="11"/>
        <rFont val="Arial"/>
        <family val="2"/>
      </rPr>
      <t xml:space="preserve">(but must be </t>
    </r>
    <r>
      <rPr>
        <i/>
        <u val="single"/>
        <sz val="11"/>
        <rFont val="Arial"/>
        <family val="2"/>
      </rPr>
      <t>less</t>
    </r>
    <r>
      <rPr>
        <i/>
        <sz val="11"/>
        <rFont val="Arial"/>
        <family val="2"/>
      </rPr>
      <t xml:space="preserve"> than per trip rate above)</t>
    </r>
    <r>
      <rPr>
        <sz val="11"/>
        <rFont val="Arial"/>
        <family val="2"/>
      </rPr>
      <t xml:space="preserve"> =</t>
    </r>
  </si>
  <si>
    <r>
      <t xml:space="preserve">Rate per </t>
    </r>
    <r>
      <rPr>
        <b/>
        <sz val="11"/>
        <rFont val="Arial"/>
        <family val="2"/>
      </rPr>
      <t>Revenue Mile</t>
    </r>
    <r>
      <rPr>
        <sz val="11"/>
        <rFont val="Arial"/>
        <family val="2"/>
      </rPr>
      <t xml:space="preserve"> for Balance =</t>
    </r>
  </si>
  <si>
    <r>
      <t>Rate per Revenue</t>
    </r>
    <r>
      <rPr>
        <b/>
        <sz val="11"/>
        <rFont val="Arial"/>
        <family val="2"/>
      </rPr>
      <t xml:space="preserve"> Mile</t>
    </r>
    <r>
      <rPr>
        <sz val="11"/>
        <rFont val="Arial"/>
        <family val="2"/>
      </rPr>
      <t xml:space="preserve"> for Balance</t>
    </r>
  </si>
  <si>
    <r>
      <t xml:space="preserve">If you  answered # 1 above and want a </t>
    </r>
    <r>
      <rPr>
        <b/>
        <i/>
        <sz val="11"/>
        <rFont val="Arial"/>
        <family val="2"/>
      </rPr>
      <t>COMBINED</t>
    </r>
    <r>
      <rPr>
        <i/>
        <sz val="11"/>
        <rFont val="Arial"/>
        <family val="2"/>
      </rPr>
      <t xml:space="preserve"> </t>
    </r>
    <r>
      <rPr>
        <b/>
        <i/>
        <sz val="11"/>
        <rFont val="Arial"/>
        <family val="2"/>
      </rPr>
      <t>Rate per Trip</t>
    </r>
    <r>
      <rPr>
        <i/>
        <sz val="11"/>
        <rFont val="Arial"/>
        <family val="2"/>
      </rPr>
      <t xml:space="preserve"> PLUS a </t>
    </r>
    <r>
      <rPr>
        <b/>
        <i/>
        <sz val="11"/>
        <rFont val="Arial"/>
        <family val="2"/>
      </rPr>
      <t>per Mile</t>
    </r>
    <r>
      <rPr>
        <i/>
        <sz val="11"/>
        <rFont val="Arial"/>
        <family val="2"/>
      </rPr>
      <t xml:space="preserve"> add-on for 1 or more services,………</t>
    </r>
  </si>
  <si>
    <r>
      <t>If you answered</t>
    </r>
    <r>
      <rPr>
        <b/>
        <i/>
        <sz val="11"/>
        <rFont val="Arial"/>
        <family val="2"/>
      </rPr>
      <t xml:space="preserve"> # 3</t>
    </r>
    <r>
      <rPr>
        <i/>
        <sz val="11"/>
        <rFont val="Arial"/>
        <family val="2"/>
      </rPr>
      <t xml:space="preserve"> &amp; want a </t>
    </r>
    <r>
      <rPr>
        <b/>
        <i/>
        <sz val="11"/>
        <rFont val="Arial"/>
        <family val="2"/>
      </rPr>
      <t>Combined Rate per Trip</t>
    </r>
    <r>
      <rPr>
        <i/>
        <sz val="11"/>
        <rFont val="Arial"/>
        <family val="2"/>
      </rPr>
      <t xml:space="preserve"> </t>
    </r>
    <r>
      <rPr>
        <b/>
        <i/>
        <u val="single"/>
        <sz val="11"/>
        <rFont val="Arial"/>
        <family val="2"/>
      </rPr>
      <t>PLUS</t>
    </r>
    <r>
      <rPr>
        <i/>
        <sz val="11"/>
        <rFont val="Arial"/>
        <family val="2"/>
      </rPr>
      <t xml:space="preserve"> a </t>
    </r>
    <r>
      <rPr>
        <b/>
        <i/>
        <sz val="11"/>
        <rFont val="Arial"/>
        <family val="2"/>
      </rPr>
      <t>per Mile</t>
    </r>
    <r>
      <rPr>
        <i/>
        <sz val="11"/>
        <rFont val="Arial"/>
        <family val="2"/>
      </rPr>
      <t xml:space="preserve"> add-on for 1 or more services,....</t>
    </r>
  </si>
  <si>
    <r>
      <t>….</t>
    </r>
    <r>
      <rPr>
        <b/>
        <i/>
        <sz val="11"/>
        <rFont val="Arial"/>
        <family val="2"/>
      </rPr>
      <t>INPUT</t>
    </r>
    <r>
      <rPr>
        <i/>
        <sz val="11"/>
        <rFont val="Arial"/>
        <family val="2"/>
      </rPr>
      <t xml:space="preserve"> the Desired </t>
    </r>
    <r>
      <rPr>
        <b/>
        <i/>
        <sz val="11"/>
        <rFont val="Arial"/>
        <family val="2"/>
      </rPr>
      <t xml:space="preserve">Rate per Trip </t>
    </r>
    <r>
      <rPr>
        <i/>
        <sz val="11"/>
        <rFont val="Arial"/>
        <family val="2"/>
      </rPr>
      <t xml:space="preserve">(but must be </t>
    </r>
    <r>
      <rPr>
        <i/>
        <u val="single"/>
        <sz val="11"/>
        <rFont val="Arial"/>
        <family val="2"/>
      </rPr>
      <t>less</t>
    </r>
    <r>
      <rPr>
        <i/>
        <sz val="11"/>
        <rFont val="Arial"/>
        <family val="2"/>
      </rPr>
      <t xml:space="preserve"> than per trip rate above)</t>
    </r>
  </si>
  <si>
    <r>
      <t>Projected Revenue Miles</t>
    </r>
    <r>
      <rPr>
        <sz val="10.5"/>
        <rFont val="Arial"/>
        <family val="2"/>
      </rPr>
      <t xml:space="preserve"> (excluding </t>
    </r>
    <r>
      <rPr>
        <u val="single"/>
        <sz val="10.5"/>
        <rFont val="Arial"/>
        <family val="2"/>
      </rPr>
      <t>totally</t>
    </r>
    <r>
      <rPr>
        <sz val="10.5"/>
        <rFont val="Arial"/>
        <family val="2"/>
      </rPr>
      <t xml:space="preserve"> contracted services addressed in Section II) = </t>
    </r>
  </si>
  <si>
    <r>
      <t>Projected Passenger Trips</t>
    </r>
    <r>
      <rPr>
        <sz val="10.5"/>
        <rFont val="Arial"/>
        <family val="2"/>
      </rPr>
      <t xml:space="preserve"> (excluding totally contracted services addressed in Section II) = </t>
    </r>
  </si>
  <si>
    <t>CTC:</t>
  </si>
  <si>
    <t>Interest Earnings</t>
  </si>
  <si>
    <t xml:space="preserve"> Fully Brokered</t>
  </si>
  <si>
    <t xml:space="preserve"> Sole Source</t>
  </si>
  <si>
    <t>ORGANIZATIONAL TYPE:</t>
  </si>
  <si>
    <t>NETWORK TYPE:</t>
  </si>
  <si>
    <t>Office of Disability Determination</t>
  </si>
  <si>
    <t>Developmental Services</t>
  </si>
  <si>
    <t>Children Medical Services</t>
  </si>
  <si>
    <t>Alcoh, Drug &amp; Mental Health</t>
  </si>
  <si>
    <t>Family Safety &amp; Preservation</t>
  </si>
  <si>
    <t>Comm. Care Dis./Aging &amp; Adult Serv.</t>
  </si>
  <si>
    <t>Older Americans Act</t>
  </si>
  <si>
    <t>Community Services</t>
  </si>
  <si>
    <t>Community Care for Elderly</t>
  </si>
  <si>
    <t>Non-Spons. Trip Program</t>
  </si>
  <si>
    <t>Div of Blind Services</t>
  </si>
  <si>
    <t>Vocational Rehabilitation</t>
  </si>
  <si>
    <t xml:space="preserve"> Private Non-Profit</t>
  </si>
  <si>
    <t xml:space="preserve"> Private For Profit</t>
  </si>
  <si>
    <t>County: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</si>
  <si>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</si>
  <si>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</si>
  <si>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</si>
  <si>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</si>
  <si>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</si>
  <si>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</si>
  <si>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</si>
  <si>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</si>
  <si>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</si>
  <si>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</si>
  <si>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</si>
  <si>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</si>
  <si>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</si>
  <si>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</si>
  <si>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</si>
  <si>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</si>
  <si>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</si>
  <si>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</si>
  <si>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</si>
  <si>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</si>
  <si>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</si>
  <si>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</si>
  <si>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</si>
  <si>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</si>
  <si>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</si>
  <si>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</si>
  <si>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</si>
  <si>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</si>
  <si>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</si>
  <si>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</si>
  <si>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</si>
  <si>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</si>
  <si>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</si>
  <si>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</si>
  <si>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</si>
  <si>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</si>
  <si>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</si>
  <si>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</si>
  <si>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</si>
  <si>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</si>
  <si>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</si>
  <si>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</si>
  <si>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</si>
  <si>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</si>
  <si>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</si>
  <si>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</si>
  <si>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</si>
  <si>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</si>
  <si>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</si>
  <si>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</si>
  <si>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</si>
  <si>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</si>
  <si>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</si>
  <si>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</si>
  <si>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</si>
  <si>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</si>
  <si>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</si>
  <si>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</si>
  <si>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</si>
  <si>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</si>
  <si>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</si>
  <si>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</si>
  <si>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</si>
  <si>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</si>
  <si>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</si>
  <si>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</si>
  <si>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</si>
  <si>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r>
      <t xml:space="preserve">County </t>
    </r>
    <r>
      <rPr>
        <sz val="10"/>
        <rFont val="Arial"/>
        <family val="2"/>
      </rPr>
      <t>(Service Area):</t>
    </r>
  </si>
  <si>
    <t xml:space="preserve">County:  </t>
  </si>
  <si>
    <t xml:space="preserve">CTC:  </t>
  </si>
  <si>
    <t>APD</t>
  </si>
  <si>
    <t>Other APD (specify in explanation)</t>
  </si>
  <si>
    <t>(specify in explanation)</t>
  </si>
  <si>
    <t>Other TD</t>
  </si>
  <si>
    <t>Other TD (specify in explanation)</t>
  </si>
  <si>
    <t>Donations/ Contributions</t>
  </si>
  <si>
    <t>In-Kind, Contributed Services</t>
  </si>
  <si>
    <t>City In-kind, Contributed Services</t>
  </si>
  <si>
    <t>County In-Kind, Contributed Services</t>
  </si>
  <si>
    <t>Other In-Kind, Contributed Services</t>
  </si>
  <si>
    <t>Medicaid Co-Pay Received</t>
  </si>
  <si>
    <t>Other APD</t>
  </si>
  <si>
    <t>School Bus Utilization Expenses</t>
  </si>
  <si>
    <t>District School Board</t>
  </si>
  <si>
    <t>Compl. ADA Services</t>
  </si>
  <si>
    <t>Actual or Planned Use of Cash Reserve</t>
  </si>
  <si>
    <t>xxx</t>
  </si>
  <si>
    <t>Balancing Revenue to Prevent Deficit</t>
  </si>
  <si>
    <t>Balancing Revenue is Short By =</t>
  </si>
  <si>
    <t>Capital Debt Service - Principal &amp; Interest</t>
  </si>
  <si>
    <t>Operating Debt Service - Principal &amp; Interest</t>
  </si>
  <si>
    <t>Contrib. to Capital Equip. Replacement Fund</t>
  </si>
  <si>
    <t>Equip. Purchases with Grant Funds</t>
  </si>
  <si>
    <t>Equip. Purchases with Rate Generated Rev.</t>
  </si>
  <si>
    <t>% Change from Prior Year to Current Year</t>
  </si>
  <si>
    <t>Proposed % Change from Current Year to Upcoming Year</t>
  </si>
  <si>
    <t>Purchased Transportation:</t>
  </si>
  <si>
    <t>Equip. Purchases with Local Revenue</t>
  </si>
  <si>
    <r>
      <t xml:space="preserve">Complete applicable </t>
    </r>
    <r>
      <rPr>
        <b/>
        <i/>
        <sz val="12"/>
        <rFont val="Arial"/>
        <family val="2"/>
      </rPr>
      <t>GREEN</t>
    </r>
    <r>
      <rPr>
        <i/>
        <sz val="12"/>
        <rFont val="Arial"/>
        <family val="2"/>
      </rPr>
      <t xml:space="preserve"> cells in column 3; </t>
    </r>
    <r>
      <rPr>
        <b/>
        <i/>
        <sz val="12"/>
        <rFont val="Arial"/>
        <family val="2"/>
      </rPr>
      <t>YELLOW</t>
    </r>
    <r>
      <rPr>
        <i/>
        <sz val="12"/>
        <rFont val="Arial"/>
        <family val="2"/>
      </rPr>
      <t xml:space="preserve"> and </t>
    </r>
    <r>
      <rPr>
        <b/>
        <i/>
        <sz val="12"/>
        <rFont val="Arial"/>
        <family val="2"/>
      </rPr>
      <t>BLUE</t>
    </r>
    <r>
      <rPr>
        <i/>
        <sz val="12"/>
        <rFont val="Arial"/>
        <family val="2"/>
      </rPr>
      <t xml:space="preserve"> cells are automatically completed in column 3</t>
    </r>
  </si>
  <si>
    <r>
      <t xml:space="preserve">Complete applicable </t>
    </r>
    <r>
      <rPr>
        <b/>
        <i/>
        <sz val="12"/>
        <rFont val="Arial"/>
        <family val="2"/>
      </rPr>
      <t>GREEN</t>
    </r>
    <r>
      <rPr>
        <i/>
        <sz val="12"/>
        <rFont val="Arial"/>
        <family val="2"/>
      </rPr>
      <t xml:space="preserve"> cells in column 3; </t>
    </r>
    <r>
      <rPr>
        <b/>
        <i/>
        <sz val="12"/>
        <rFont val="Arial"/>
        <family val="2"/>
      </rPr>
      <t>YELLOW</t>
    </r>
    <r>
      <rPr>
        <i/>
        <sz val="12"/>
        <rFont val="Arial"/>
        <family val="2"/>
      </rPr>
      <t xml:space="preserve"> and </t>
    </r>
    <r>
      <rPr>
        <b/>
        <i/>
        <sz val="12"/>
        <rFont val="Arial"/>
        <family val="2"/>
      </rPr>
      <t>BLUE</t>
    </r>
    <r>
      <rPr>
        <i/>
        <sz val="12"/>
        <rFont val="Arial"/>
        <family val="2"/>
      </rPr>
      <t xml:space="preserve"> cells are automatically completed in column 3</t>
    </r>
  </si>
  <si>
    <t>Rate Per Passenger Trip =</t>
  </si>
  <si>
    <t>SECTION I:  Services Provided</t>
  </si>
  <si>
    <t>+</t>
  </si>
  <si>
    <t>PROGRAM-WIDE RATES</t>
  </si>
  <si>
    <t>Worksheet for Program-wide Rates</t>
  </si>
  <si>
    <t>SECTION IV:  Group Service Loading</t>
  </si>
  <si>
    <r>
      <t xml:space="preserve">EXPENDITURES </t>
    </r>
    <r>
      <rPr>
        <sz val="12"/>
        <color indexed="9"/>
        <rFont val="Arial"/>
        <family val="2"/>
      </rPr>
      <t xml:space="preserve"> (CTC/Operators ONLY / Do </t>
    </r>
    <r>
      <rPr>
        <b/>
        <sz val="12"/>
        <color indexed="9"/>
        <rFont val="Arial"/>
        <family val="2"/>
      </rPr>
      <t>NOT</t>
    </r>
    <r>
      <rPr>
        <sz val="12"/>
        <color indexed="9"/>
        <rFont val="Arial"/>
        <family val="2"/>
      </rPr>
      <t xml:space="preserve"> include Coordination Contractors!)</t>
    </r>
  </si>
  <si>
    <r>
      <t xml:space="preserve">DO </t>
    </r>
    <r>
      <rPr>
        <b/>
        <sz val="12"/>
        <color indexed="10"/>
        <rFont val="Arial"/>
        <family val="2"/>
      </rPr>
      <t>NOT</t>
    </r>
    <r>
      <rPr>
        <sz val="12"/>
        <color indexed="10"/>
        <rFont val="Arial"/>
        <family val="2"/>
      </rPr>
      <t xml:space="preserve"> COMPLETE THIS WORKSHEET UNTIL THE 3rd YEAR OF USING THE RATE CALCULATION MODEL TO COMPUTE RATES FOR SERVICE!</t>
    </r>
  </si>
  <si>
    <r>
      <t xml:space="preserve">In the </t>
    </r>
    <r>
      <rPr>
        <b/>
        <i/>
        <sz val="12"/>
        <rFont val="Arial"/>
        <family val="2"/>
      </rPr>
      <t>GREEN</t>
    </r>
    <r>
      <rPr>
        <i/>
        <sz val="12"/>
        <rFont val="Arial"/>
        <family val="2"/>
      </rPr>
      <t xml:space="preserve"> cell below, input the Total </t>
    </r>
    <r>
      <rPr>
        <i/>
        <u val="single"/>
        <sz val="12"/>
        <rFont val="Arial"/>
        <family val="2"/>
      </rPr>
      <t>Budgeted Operating</t>
    </r>
    <r>
      <rPr>
        <i/>
        <sz val="12"/>
        <rFont val="Arial"/>
        <family val="2"/>
      </rPr>
      <t xml:space="preserve"> Rate Subsidy Revenue from Fiscal Year that appears below:</t>
    </r>
  </si>
  <si>
    <r>
      <t>Same Fiscal Year's</t>
    </r>
    <r>
      <rPr>
        <sz val="10"/>
        <rFont val="Arial"/>
        <family val="2"/>
      </rPr>
      <t xml:space="preserve"> Total </t>
    </r>
    <r>
      <rPr>
        <b/>
        <u val="single"/>
        <sz val="10"/>
        <rFont val="Arial"/>
        <family val="2"/>
      </rPr>
      <t>Budgeted</t>
    </r>
    <r>
      <rPr>
        <sz val="10"/>
        <rFont val="Arial"/>
        <family val="2"/>
      </rPr>
      <t xml:space="preserve"> Operating Rate Subsidy Revenue</t>
    </r>
  </si>
  <si>
    <t>Loading Rate</t>
  </si>
  <si>
    <t>to 1.00</t>
  </si>
  <si>
    <t>Bus Pass Program Revenue</t>
  </si>
  <si>
    <t>Purchased Bus Pass Expenses</t>
  </si>
  <si>
    <t>Purchased Bus Pass  Expenses</t>
  </si>
  <si>
    <t>WAGES/Workforce Board</t>
  </si>
  <si>
    <t>Group (per individual)</t>
  </si>
  <si>
    <r>
      <t>Once Completed, Proceed to the Worksheet entitled</t>
    </r>
    <r>
      <rPr>
        <b/>
        <i/>
        <sz val="12"/>
        <rFont val="Arial"/>
        <family val="2"/>
      </rPr>
      <t xml:space="preserve"> "Program-wide Rates"</t>
    </r>
  </si>
  <si>
    <t>-</t>
  </si>
  <si>
    <t>Non-Spons. Capital Equipment</t>
  </si>
  <si>
    <t>Rural Capital Equipment</t>
  </si>
  <si>
    <t>49 USC 5310</t>
  </si>
  <si>
    <t>49 USC 5307</t>
  </si>
  <si>
    <t>Passenger Miles (PM)</t>
  </si>
  <si>
    <t>The cumulative sum of the distances ridden by each passenger.</t>
  </si>
  <si>
    <t>Vehicle Revenue Miles (VRM)</t>
  </si>
  <si>
    <t>Deadhead</t>
  </si>
  <si>
    <t>Operator training, and</t>
  </si>
  <si>
    <t>Vehicle maintenance testing, as well as</t>
  </si>
  <si>
    <t>School bus and charter services.</t>
  </si>
  <si>
    <t>Vehicle Miles</t>
  </si>
  <si>
    <t>The miles that a vehicle is scheduled to or actually travels from the time it pulls out from its garage to go into revenue service to the time it pulls in from revenue service.</t>
  </si>
  <si>
    <r>
      <t xml:space="preserve">Total </t>
    </r>
    <r>
      <rPr>
        <u val="single"/>
        <sz val="11"/>
        <rFont val="Arial"/>
        <family val="2"/>
      </rPr>
      <t>Projected</t>
    </r>
    <r>
      <rPr>
        <sz val="11"/>
        <rFont val="Arial"/>
        <family val="2"/>
      </rPr>
      <t xml:space="preserve"> </t>
    </r>
    <r>
      <rPr>
        <b/>
        <sz val="11"/>
        <rFont val="Arial"/>
        <family val="2"/>
      </rPr>
      <t>Passenger</t>
    </r>
    <r>
      <rPr>
        <sz val="11"/>
        <rFont val="Arial"/>
        <family val="2"/>
      </rPr>
      <t xml:space="preserve"> Miles = </t>
    </r>
  </si>
  <si>
    <t>Rate Per Passenger Mile =</t>
  </si>
  <si>
    <t>Projected total Group PASSENGER Passenger Miles =</t>
  </si>
  <si>
    <t xml:space="preserve">Input Projected Passenger Miles and Passenger Trips for each Service in the GREEN cells and the Rates for each Service will be calculated automatically </t>
  </si>
  <si>
    <t xml:space="preserve">Projected Passenger Miles (excluding totally contracted services addressed in Section II) = </t>
  </si>
  <si>
    <r>
      <t>Rate per Passenger Mile</t>
    </r>
    <r>
      <rPr>
        <sz val="12"/>
        <rFont val="Arial"/>
        <family val="2"/>
      </rPr>
      <t xml:space="preserve"> = </t>
    </r>
  </si>
  <si>
    <t>Rate per Passenger Mile for Balance</t>
  </si>
  <si>
    <t>Rate per Passenger Mile for Balance =</t>
  </si>
  <si>
    <t xml:space="preserve">Rate per Passenger Mile = </t>
  </si>
  <si>
    <r>
      <t xml:space="preserve">Fill in that portion of budgeted revenue in Column 2 that will be </t>
    </r>
    <r>
      <rPr>
        <b/>
        <u val="single"/>
        <sz val="12"/>
        <color indexed="63"/>
        <rFont val="Arial"/>
        <family val="2"/>
      </rPr>
      <t>GENERATED</t>
    </r>
    <r>
      <rPr>
        <b/>
        <sz val="12"/>
        <color indexed="63"/>
        <rFont val="Arial"/>
        <family val="2"/>
      </rPr>
      <t xml:space="preserve"> through the application of authorized per mile, per trip, or combination per trip plus per mile rates.   Also, include the amount of funds that are Earmarked as local match for Transportation Services and </t>
    </r>
    <r>
      <rPr>
        <b/>
        <u val="single"/>
        <sz val="12"/>
        <color indexed="63"/>
        <rFont val="Arial"/>
        <family val="2"/>
      </rPr>
      <t>NOT</t>
    </r>
    <r>
      <rPr>
        <b/>
        <sz val="12"/>
        <color indexed="63"/>
        <rFont val="Arial"/>
        <family val="2"/>
      </rPr>
      <t xml:space="preserve"> Capital Equipment purchases.  
If the Farebox Revenues are used as a source of Local Match Dollars, then identify the appropriate amount of Farebox Revenue that represents the portion of Local Match required on any state or federal grants.  This does not mean that Farebox is the only source for Local Match.  
Please review all Grant Applications and Agreements containing State and/or Federal funds for the proper Match Requirement levels and allowed sources.</t>
    </r>
  </si>
  <si>
    <t xml:space="preserve">   Pass. Mile    </t>
  </si>
  <si>
    <r>
      <t xml:space="preserve">Total </t>
    </r>
    <r>
      <rPr>
        <u val="single"/>
        <sz val="11"/>
        <rFont val="Arial"/>
        <family val="2"/>
      </rPr>
      <t>Projected</t>
    </r>
    <r>
      <rPr>
        <sz val="11"/>
        <rFont val="Arial"/>
        <family val="2"/>
      </rPr>
      <t xml:space="preserve"> </t>
    </r>
    <r>
      <rPr>
        <b/>
        <sz val="11"/>
        <rFont val="Arial"/>
        <family val="2"/>
      </rPr>
      <t>Passenger</t>
    </r>
    <r>
      <rPr>
        <sz val="11"/>
        <rFont val="Arial"/>
        <family val="2"/>
      </rPr>
      <t xml:space="preserve"> Trips = </t>
    </r>
  </si>
  <si>
    <t>Rates If No Revenue Funds Were Identified As Subsidy Funds</t>
  </si>
  <si>
    <t>………. And what is the projected total number of Group Vehicle Revenue Miles?</t>
  </si>
  <si>
    <r>
      <t xml:space="preserve">Budgeted Rate </t>
    </r>
    <r>
      <rPr>
        <u val="single"/>
        <sz val="11"/>
        <rFont val="Arial"/>
        <family val="2"/>
      </rPr>
      <t>Subsidy Revenue</t>
    </r>
    <r>
      <rPr>
        <sz val="11"/>
        <rFont val="Arial"/>
        <family val="2"/>
      </rPr>
      <t xml:space="preserve"> </t>
    </r>
    <r>
      <rPr>
        <b/>
        <sz val="11"/>
        <rFont val="Arial"/>
        <family val="2"/>
      </rPr>
      <t>EX</t>
    </r>
    <r>
      <rPr>
        <sz val="11"/>
        <rFont val="Arial"/>
        <family val="2"/>
      </rPr>
      <t>cluded from the Rate Base</t>
    </r>
  </si>
  <si>
    <r>
      <t xml:space="preserve">What amount of the </t>
    </r>
    <r>
      <rPr>
        <u val="single"/>
        <sz val="10"/>
        <rFont val="Arial"/>
        <family val="2"/>
      </rPr>
      <t>Subsidy</t>
    </r>
    <r>
      <rPr>
        <sz val="10"/>
        <rFont val="Arial"/>
        <family val="2"/>
      </rPr>
      <t xml:space="preserve"> </t>
    </r>
    <r>
      <rPr>
        <u val="single"/>
        <sz val="10"/>
        <rFont val="Arial"/>
        <family val="2"/>
      </rPr>
      <t>Revenue</t>
    </r>
    <r>
      <rPr>
        <sz val="10"/>
        <rFont val="Arial"/>
        <family val="2"/>
      </rPr>
      <t xml:space="preserve"> in col. 4 will come from </t>
    </r>
    <r>
      <rPr>
        <sz val="10"/>
        <rFont val="Arial"/>
        <family val="2"/>
      </rPr>
      <t>funds</t>
    </r>
    <r>
      <rPr>
        <sz val="10"/>
        <rFont val="Arial"/>
        <family val="2"/>
      </rPr>
      <t xml:space="preserve"> to purchase equipment, OR will be used as match for the purchase of equipment?</t>
    </r>
  </si>
  <si>
    <r>
      <t xml:space="preserve">What amount, if any, of the </t>
    </r>
    <r>
      <rPr>
        <u val="single"/>
        <sz val="10"/>
        <rFont val="Arial"/>
        <family val="2"/>
      </rPr>
      <t>Actual Revenue</t>
    </r>
    <r>
      <rPr>
        <sz val="10"/>
        <rFont val="Arial"/>
        <family val="2"/>
      </rPr>
      <t xml:space="preserve"> in col. 4 came from </t>
    </r>
    <r>
      <rPr>
        <u val="single"/>
        <sz val="10"/>
        <rFont val="Arial"/>
        <family val="2"/>
      </rPr>
      <t>Grant Funds</t>
    </r>
    <r>
      <rPr>
        <sz val="10"/>
        <rFont val="Arial"/>
        <family val="2"/>
      </rPr>
      <t xml:space="preserve"> to purchase equipment, OR was used as match for the purchase of equipment?</t>
    </r>
  </si>
  <si>
    <r>
      <t xml:space="preserve">Fill in that portion of Actual revenue in Column 2 that was </t>
    </r>
    <r>
      <rPr>
        <b/>
        <u val="single"/>
        <sz val="12"/>
        <color indexed="63"/>
        <rFont val="Arial"/>
        <family val="2"/>
      </rPr>
      <t>GENERATED</t>
    </r>
    <r>
      <rPr>
        <b/>
        <sz val="12"/>
        <color indexed="63"/>
        <rFont val="Arial"/>
        <family val="2"/>
      </rPr>
      <t xml:space="preserve"> through the application of the prior year rate spreadsheet's authorized per mile, per trip, or combination per trip plus per mile rates.   Also, include the amount of funds that were used as local match for Transportation Services and </t>
    </r>
    <r>
      <rPr>
        <b/>
        <u val="single"/>
        <sz val="12"/>
        <color indexed="63"/>
        <rFont val="Arial"/>
        <family val="2"/>
      </rPr>
      <t>NOT</t>
    </r>
    <r>
      <rPr>
        <b/>
        <sz val="12"/>
        <color indexed="63"/>
        <rFont val="Arial"/>
        <family val="2"/>
      </rPr>
      <t xml:space="preserve"> Capital Equipment purchases.  
If the Farebox Revenues were used as a source of Local Match Dollars, then identify the appropriate amount of Farebox Revenue that represents the portion of Local Match required on any state or federal grants.  This does not mean that Farebox is the only source for Local Match.  
Please review all Grant Applications and Agreements containing State and/or Federal funds for the proper Match Requirement levels and allowed sources.</t>
    </r>
  </si>
  <si>
    <r>
      <t xml:space="preserve">What amount, if any, of the </t>
    </r>
    <r>
      <rPr>
        <u val="single"/>
        <sz val="10"/>
        <rFont val="Arial"/>
        <family val="2"/>
      </rPr>
      <t>Actual Rev.</t>
    </r>
    <r>
      <rPr>
        <sz val="10"/>
        <rFont val="Arial"/>
        <family val="2"/>
      </rPr>
      <t xml:space="preserve"> in col. 2 was generated at the per unit rate of the prior year's rate spreadsheet, OR used as local match?</t>
    </r>
  </si>
  <si>
    <t>Should be funds generated by rates in this spreadsheet</t>
  </si>
  <si>
    <r>
      <t xml:space="preserve">Do </t>
    </r>
    <r>
      <rPr>
        <b/>
        <u val="single"/>
        <sz val="11"/>
        <color indexed="10"/>
        <rFont val="Arial"/>
        <family val="2"/>
      </rPr>
      <t>NOT</t>
    </r>
    <r>
      <rPr>
        <b/>
        <sz val="11"/>
        <rFont val="Arial"/>
        <family val="2"/>
      </rPr>
      <t xml:space="preserve"> include escort activity as passenger trips or passenger miles unless charged the full rate for service!</t>
    </r>
  </si>
  <si>
    <r>
      <t xml:space="preserve">Do </t>
    </r>
    <r>
      <rPr>
        <b/>
        <u val="single"/>
        <sz val="11"/>
        <color indexed="10"/>
        <rFont val="Arial"/>
        <family val="2"/>
      </rPr>
      <t>NOT</t>
    </r>
    <r>
      <rPr>
        <b/>
        <sz val="11"/>
        <rFont val="Arial"/>
        <family val="2"/>
      </rPr>
      <t xml:space="preserve"> include trips or miles related to Coordination Contractors!</t>
    </r>
  </si>
  <si>
    <r>
      <t xml:space="preserve">Do </t>
    </r>
    <r>
      <rPr>
        <b/>
        <u val="single"/>
        <sz val="11"/>
        <color indexed="10"/>
        <rFont val="Arial"/>
        <family val="2"/>
      </rPr>
      <t>NOT</t>
    </r>
    <r>
      <rPr>
        <b/>
        <sz val="11"/>
        <rFont val="Arial"/>
        <family val="2"/>
      </rPr>
      <t xml:space="preserve"> include School Board trips or miles UNLESS…........</t>
    </r>
  </si>
  <si>
    <r>
      <t xml:space="preserve">Do </t>
    </r>
    <r>
      <rPr>
        <b/>
        <u val="single"/>
        <sz val="11"/>
        <color indexed="10"/>
        <rFont val="Arial"/>
        <family val="2"/>
      </rPr>
      <t>NOT</t>
    </r>
    <r>
      <rPr>
        <b/>
        <sz val="11"/>
        <rFont val="Arial"/>
        <family val="2"/>
      </rPr>
      <t xml:space="preserve"> include fixed route bus program trips or passenger miles!</t>
    </r>
  </si>
  <si>
    <t>local match req.</t>
  </si>
  <si>
    <t>9.  Added comment to Distr Schl Board revenue in Comp Budget sheet with instructions in situations where the calculated rates are used in generating Schl Brd Rev.</t>
  </si>
  <si>
    <t>Miles</t>
  </si>
  <si>
    <t>Avg. Passenger Trip Length =</t>
  </si>
  <si>
    <r>
      <t>Complete Total Projected Passenger Miles and ONE-WAY Passenger Trips (</t>
    </r>
    <r>
      <rPr>
        <b/>
        <i/>
        <sz val="12"/>
        <rFont val="Arial"/>
        <family val="2"/>
      </rPr>
      <t>GREEN</t>
    </r>
    <r>
      <rPr>
        <i/>
        <sz val="12"/>
        <rFont val="Arial"/>
        <family val="2"/>
      </rPr>
      <t xml:space="preserve"> cells) below</t>
    </r>
  </si>
  <si>
    <r>
      <rPr>
        <b/>
        <u val="single"/>
        <sz val="11"/>
        <color indexed="10"/>
        <rFont val="Arial"/>
        <family val="2"/>
      </rPr>
      <t>INCLUDE</t>
    </r>
    <r>
      <rPr>
        <b/>
        <sz val="11"/>
        <rFont val="Arial"/>
        <family val="2"/>
      </rPr>
      <t xml:space="preserve"> all ONE-WAY passenger trips and passenger miles related to services you purchased from your transportation operators!</t>
    </r>
  </si>
  <si>
    <t>The miles that vehicles are scheduled to or actually travel while in revenue service. Vehicle revenue miles exclude:</t>
  </si>
  <si>
    <t>Answer the questions by completing the GREEN cells starting in Section I for all services</t>
  </si>
  <si>
    <r>
      <t xml:space="preserve">Follow the </t>
    </r>
    <r>
      <rPr>
        <sz val="12"/>
        <color indexed="16"/>
        <rFont val="Arial"/>
        <family val="2"/>
      </rPr>
      <t>DARK RED</t>
    </r>
    <r>
      <rPr>
        <sz val="12"/>
        <rFont val="Arial"/>
        <family val="2"/>
      </rPr>
      <t xml:space="preserve"> prompts directing you to skip or go to certain questions and sections based on previous answers</t>
    </r>
  </si>
  <si>
    <t>How many of the total projected Passenger Miles relate to the contracted service?</t>
  </si>
  <si>
    <t xml:space="preserve">How many of the total projected passenger trips relate to the contracted service? </t>
  </si>
  <si>
    <r>
      <t xml:space="preserve">…INPUT the Desired Rate per Trip (but must be </t>
    </r>
    <r>
      <rPr>
        <u val="single"/>
        <sz val="12"/>
        <rFont val="Arial"/>
        <family val="2"/>
      </rPr>
      <t>less</t>
    </r>
    <r>
      <rPr>
        <sz val="12"/>
        <rFont val="Arial"/>
        <family val="2"/>
      </rPr>
      <t xml:space="preserve"> than per trip rate above) =</t>
    </r>
  </si>
  <si>
    <r>
      <t xml:space="preserve">* Be sure to leave the service </t>
    </r>
    <r>
      <rPr>
        <u val="single"/>
        <sz val="12"/>
        <rFont val="Arial"/>
        <family val="2"/>
      </rPr>
      <t>BLANK</t>
    </r>
    <r>
      <rPr>
        <sz val="12"/>
        <rFont val="Arial"/>
        <family val="2"/>
      </rPr>
      <t xml:space="preserve"> if you answered NO in Section I or YES to question #2 in Section II</t>
    </r>
  </si>
  <si>
    <t>Will the CTC be providing any of these Services to transportation disadvantaged passengers in the upcoming budget year?........................................................................................</t>
  </si>
  <si>
    <t>Will the CTC be contracting out any of these Services TOTALLY in the upcoming budget year?....</t>
  </si>
  <si>
    <t>If you answered YES to #1 above, do you want to arrive at the billing rate by simply dividing the proposed contract amount by the projected Passenger Miles / passenger trips?.....</t>
  </si>
  <si>
    <t>If you answered YES to #1 &amp; #2 above, how much is the proposed contract amount for the service?</t>
  </si>
  <si>
    <r>
      <t xml:space="preserve">per </t>
    </r>
    <r>
      <rPr>
        <b/>
        <sz val="12"/>
        <rFont val="Arial"/>
        <family val="2"/>
      </rPr>
      <t>Passenger Mile</t>
    </r>
  </si>
  <si>
    <r>
      <t>per P</t>
    </r>
    <r>
      <rPr>
        <b/>
        <sz val="12"/>
        <rFont val="Arial"/>
        <family val="2"/>
      </rPr>
      <t>assenger Trip</t>
    </r>
  </si>
  <si>
    <r>
      <t xml:space="preserve">If you answered # 3 &amp; want a Combined Rate per Trip </t>
    </r>
    <r>
      <rPr>
        <u val="single"/>
        <sz val="12"/>
        <rFont val="Arial"/>
        <family val="2"/>
      </rPr>
      <t>PLUS</t>
    </r>
    <r>
      <rPr>
        <sz val="12"/>
        <rFont val="Arial"/>
        <family val="2"/>
      </rPr>
      <t xml:space="preserve"> a per Mile add-on for 1 or more</t>
    </r>
  </si>
  <si>
    <r>
      <t xml:space="preserve">services, INPUT the Desired per Trip Rate (but must be </t>
    </r>
    <r>
      <rPr>
        <u val="single"/>
        <sz val="12"/>
        <rFont val="Arial"/>
        <family val="2"/>
      </rPr>
      <t>less</t>
    </r>
    <r>
      <rPr>
        <sz val="12"/>
        <rFont val="Arial"/>
        <family val="2"/>
      </rPr>
      <t xml:space="preserve"> than per trip rate in #3 above</t>
    </r>
  </si>
  <si>
    <t>Do you want to charge all escorts a fee?.................................................................</t>
  </si>
  <si>
    <t>If you answered Yes to #1, do you want to charge the fee per passenger trip OR ………....</t>
  </si>
  <si>
    <t xml:space="preserve">per passenger mile?.........................      </t>
  </si>
  <si>
    <t xml:space="preserve">If you answered Yes to # 1 and completed # 2, for how many of the projected </t>
  </si>
  <si>
    <t>Passenger Trips / Passenger Miles will a passenger be accompanied by an escort?</t>
  </si>
  <si>
    <t>How much will you charge each escort?....................................................................</t>
  </si>
  <si>
    <r>
      <t>If the message "</t>
    </r>
    <r>
      <rPr>
        <sz val="12"/>
        <color indexed="16"/>
        <rFont val="Arial"/>
        <family val="2"/>
      </rPr>
      <t>You Must Complete This Section"</t>
    </r>
    <r>
      <rPr>
        <sz val="12"/>
        <rFont val="Arial"/>
        <family val="2"/>
      </rPr>
      <t xml:space="preserve"> appears to the right, what is the projected total</t>
    </r>
  </si>
  <si>
    <t>number of Group Service Passenger Miles? (otherwise leave blank)............................</t>
  </si>
  <si>
    <t xml:space="preserve">* Miles and Trips you input must sum to the total for all Services entered on the "Program-wide Rates" Worksheet, MINUS miles </t>
  </si>
  <si>
    <t xml:space="preserve">  and trips for contracted services IF the rates were calculated in the Section II above</t>
  </si>
  <si>
    <t xml:space="preserve">Projected Passenger Trips (excluding totally contracted services addressed in Section II) = </t>
  </si>
  <si>
    <r>
      <t xml:space="preserve">If you  answered # 1 above and want a COMBINED Rate per Trip </t>
    </r>
    <r>
      <rPr>
        <u val="single"/>
        <sz val="12"/>
        <rFont val="Arial"/>
        <family val="2"/>
      </rPr>
      <t>PLUS</t>
    </r>
    <r>
      <rPr>
        <sz val="12"/>
        <rFont val="Arial"/>
        <family val="2"/>
      </rPr>
      <t xml:space="preserve"> a per Mile add-on for 1 or more services,…</t>
    </r>
  </si>
  <si>
    <t>are funds generated by rates in the prior year's spreadsheet</t>
  </si>
  <si>
    <r>
      <t xml:space="preserve">Do </t>
    </r>
    <r>
      <rPr>
        <b/>
        <u val="single"/>
        <sz val="11"/>
        <color indexed="10"/>
        <rFont val="Arial"/>
        <family val="2"/>
      </rPr>
      <t>NOT</t>
    </r>
    <r>
      <rPr>
        <b/>
        <sz val="11"/>
        <rFont val="Arial"/>
        <family val="2"/>
      </rPr>
      <t xml:space="preserve"> include trips or miles for services provided to the general public/private pay UNLESS..</t>
    </r>
  </si>
  <si>
    <t>na</t>
  </si>
  <si>
    <t>11. Added comment to "Contr to Cap Equip Repl" Fund on Comp Budg sheet. (cell D170 )</t>
  </si>
  <si>
    <t>12. Added comment to "Capital Expenditures" section on Comp Budg sheet. (cell C173)</t>
  </si>
  <si>
    <t>13. Added formula to note balance error for Actual Prior year in cell F181 of Comp Budg sheet.</t>
  </si>
  <si>
    <t xml:space="preserve">16. Expanded instructions and added comments clarifying which passenger mile and passenger trips should be included on Program-wide Rates sheet. </t>
  </si>
  <si>
    <t>17. Added formula on Program-wide Rates sheet to show Average Passenger Trip Length.</t>
  </si>
  <si>
    <t>Version 1.4</t>
  </si>
  <si>
    <r>
      <t xml:space="preserve">Fill in that portion of Budgeted Rate Subsidy Revenue in Column 4 that will come from Funds Earmarked by the Funding Source for Purchasing Capital Equipment.  Also include the portion of Local Funds earmarked as Match related to the </t>
    </r>
    <r>
      <rPr>
        <b/>
        <u val="single"/>
        <sz val="12"/>
        <color indexed="63"/>
        <rFont val="Arial"/>
        <family val="2"/>
      </rPr>
      <t>Purchase of Capital Equipment</t>
    </r>
    <r>
      <rPr>
        <b/>
        <sz val="12"/>
        <color indexed="63"/>
        <rFont val="Arial"/>
        <family val="2"/>
      </rPr>
      <t xml:space="preserve"> if a match amount is required by the Funding Source.</t>
    </r>
  </si>
  <si>
    <r>
      <t xml:space="preserve">Fill in that portion of Actual Rate Subsidy Revenue in Column 4 that came from Grant Funds Earmarked by the Funding Source for Purchasing Capital Equipment.  Also include the portion of Local Funds used as Match related to the </t>
    </r>
    <r>
      <rPr>
        <b/>
        <u val="single"/>
        <sz val="12"/>
        <color indexed="63"/>
        <rFont val="Arial"/>
        <family val="2"/>
      </rPr>
      <t>Purchase of Capital Equipment</t>
    </r>
    <r>
      <rPr>
        <b/>
        <sz val="12"/>
        <color indexed="63"/>
        <rFont val="Arial"/>
        <family val="2"/>
      </rPr>
      <t xml:space="preserve"> if a match amount was required by the Funding Source.</t>
    </r>
  </si>
  <si>
    <t>49 USC 5311(Capital)</t>
  </si>
  <si>
    <t>49 USC 5311 (Operating)</t>
  </si>
  <si>
    <r>
      <rPr>
        <vertAlign val="superscript"/>
        <sz val="10"/>
        <rFont val="Arial"/>
        <family val="2"/>
      </rPr>
      <t xml:space="preserve">1 </t>
    </r>
    <r>
      <rPr>
        <sz val="10"/>
        <rFont val="Arial"/>
        <family val="2"/>
      </rPr>
      <t>The Difference between Expenses and Revenues for Fiscal Year:</t>
    </r>
  </si>
  <si>
    <r>
      <rPr>
        <b/>
        <i/>
        <sz val="12"/>
        <color indexed="17"/>
        <rFont val="Arial"/>
        <family val="2"/>
      </rPr>
      <t>Once completed, proceed to the Worksheet entitled</t>
    </r>
    <r>
      <rPr>
        <b/>
        <i/>
        <sz val="12"/>
        <color indexed="12"/>
        <rFont val="Arial"/>
        <family val="2"/>
      </rPr>
      <t xml:space="preserve"> </t>
    </r>
    <r>
      <rPr>
        <b/>
        <i/>
        <sz val="12"/>
        <color indexed="63"/>
        <rFont val="Arial"/>
        <family val="2"/>
      </rPr>
      <t>"Budgeted Rate Base"</t>
    </r>
  </si>
  <si>
    <t>Explain Changes in Column 6 That Are &gt; ± 10% and Also &gt; ± $50,000</t>
  </si>
  <si>
    <t>Version 1.4 Notes:</t>
  </si>
  <si>
    <t>1.  Created new sheet -Version Notes.</t>
  </si>
  <si>
    <t>2.  Added Version 1.4 to top of first sheet, and linked the version number to the top of all other sheets.</t>
  </si>
  <si>
    <t>3.  Eliminated Rate Base Adjustment sheet and changed method of adjusting for program income (or unapproved profit) or losses in Actual year.</t>
  </si>
  <si>
    <t xml:space="preserve">4.  Improved the instructions at the top of columns 3,4, and 5 of the Budgeted Rate Base sheet. </t>
  </si>
  <si>
    <t>5.  Added comment box instructions to Budgeted Rate Base sheet.</t>
  </si>
  <si>
    <t>6.  Replaced DOT Revenue 5311(F) row on Comprehensive Budget Sheet to delineate between 5311 Operating vs Capital.</t>
  </si>
  <si>
    <t>7.  Changed the Green and Gold cell instructions on the Budgeted Rate Base sheet.</t>
  </si>
  <si>
    <t>8.  Added 10% match calculating cells for the CTD Trip, CTD Capital, and 5310 5311 capital revenues. Located to the right of the respective rows on Budgeted Rate Base sheets.</t>
  </si>
  <si>
    <t>10. Added comment to "49 USC 5311" rev in Comp Bdgt sheet to identify whether operating rev is generated by rates in this spreadsheet.</t>
  </si>
  <si>
    <t>14. Added explanatory box at bottom of Budgeted Rate Base sheet about Rate Base Adjustments from Actual Prior year.</t>
  </si>
  <si>
    <t>15. Added Rate Base Adjustment cell to Budgeted Rate Base sheet to adjust for program income (or unapproved profit) or losses.</t>
  </si>
  <si>
    <t xml:space="preserve">49 USC 5307 </t>
  </si>
  <si>
    <t xml:space="preserve">Confirm whether revenues are collected as a system subsidy VS </t>
  </si>
  <si>
    <t>a purchase of service at a unit price.</t>
  </si>
  <si>
    <r>
      <t xml:space="preserve">What amount of the </t>
    </r>
    <r>
      <rPr>
        <u val="single"/>
        <sz val="10"/>
        <rFont val="Arial"/>
        <family val="2"/>
      </rPr>
      <t>Budgeted Revenue</t>
    </r>
    <r>
      <rPr>
        <sz val="10"/>
        <rFont val="Arial"/>
        <family val="2"/>
      </rPr>
      <t xml:space="preserve"> in col. 2 will be generated at the rate per unit determined by this spreadsheet, OR used as local match for these type revenues?</t>
    </r>
  </si>
  <si>
    <t xml:space="preserve">           Program These Rates Into Your Medicaid Encounter Data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</si>
</sst>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Red]\(0.00\)"/>
    <numFmt numFmtId="166" formatCode="&quot;$&quot;#,##0"/>
    <numFmt numFmtId="167" formatCode="0_);[Red]\(0\)"/>
    <numFmt numFmtId="168" formatCode="0.0"/>
    <numFmt numFmtId="169" formatCode="#,##0.0_);[Red]\(#,##0.0\)"/>
    <numFmt numFmtId="170" formatCode="#,##0.0"/>
    <numFmt numFmtId="171" formatCode="&quot;$&quot;#,##0.0_);[Red]\(&quot;$&quot;#,##0.0\)"/>
    <numFmt numFmtId="172" formatCode="#,##0.0000_);[Red]\(#,##0.0000\)"/>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h:mm:ss\ AM/PM"/>
    <numFmt numFmtId="180" formatCode="00000"/>
    <numFmt numFmtId="181" formatCode="0.000"/>
    <numFmt numFmtId="182" formatCode="#,##0.0_);\(#,##0.0\)"/>
    <numFmt numFmtId="183" formatCode="&quot;$&quot;#,##0;[Red]&quot;$&quot;#,##0"/>
  </numFmts>
  <fonts count="165">
    <font>
      <sz val="10"/>
      <name val="Verdana"/>
      <family val="0"/>
    </font>
    <font>
      <b/>
      <sz val="10"/>
      <name val="Verdana"/>
      <family val="0"/>
    </font>
    <font>
      <i/>
      <sz val="10"/>
      <name val="Verdana"/>
      <family val="0"/>
    </font>
    <font>
      <b/>
      <i/>
      <sz val="10"/>
      <name val="Verdana"/>
      <family val="0"/>
    </font>
    <font>
      <sz val="8"/>
      <color indexed="12"/>
      <name val="Arial"/>
      <family val="2"/>
    </font>
    <font>
      <sz val="8"/>
      <name val="Verdana"/>
      <family val="2"/>
    </font>
    <font>
      <sz val="8"/>
      <name val="Arial"/>
      <family val="2"/>
    </font>
    <font>
      <sz val="10"/>
      <name val="Arial"/>
      <family val="2"/>
    </font>
    <font>
      <sz val="9"/>
      <name val="Arial"/>
      <family val="2"/>
    </font>
    <font>
      <u val="single"/>
      <sz val="10"/>
      <color indexed="12"/>
      <name val="Verdana"/>
      <family val="2"/>
    </font>
    <font>
      <u val="single"/>
      <sz val="10"/>
      <color indexed="36"/>
      <name val="Verdana"/>
      <family val="2"/>
    </font>
    <font>
      <b/>
      <sz val="10"/>
      <name val="Arial"/>
      <family val="2"/>
    </font>
    <font>
      <b/>
      <sz val="12"/>
      <color indexed="9"/>
      <name val="Arial"/>
      <family val="2"/>
    </font>
    <font>
      <sz val="12"/>
      <color indexed="9"/>
      <name val="Arial"/>
      <family val="2"/>
    </font>
    <font>
      <b/>
      <sz val="12"/>
      <name val="Arial"/>
      <family val="2"/>
    </font>
    <font>
      <sz val="10"/>
      <color indexed="9"/>
      <name val="Arial"/>
      <family val="2"/>
    </font>
    <font>
      <b/>
      <sz val="14"/>
      <name val="Arial"/>
      <family val="2"/>
    </font>
    <font>
      <b/>
      <sz val="11"/>
      <name val="Arial"/>
      <family val="2"/>
    </font>
    <font>
      <sz val="12"/>
      <name val="Arial"/>
      <family val="2"/>
    </font>
    <font>
      <i/>
      <sz val="10"/>
      <name val="Arial"/>
      <family val="2"/>
    </font>
    <font>
      <u val="single"/>
      <sz val="10"/>
      <name val="Arial"/>
      <family val="2"/>
    </font>
    <font>
      <b/>
      <sz val="18"/>
      <name val="Arial"/>
      <family val="2"/>
    </font>
    <font>
      <b/>
      <u val="single"/>
      <sz val="10"/>
      <name val="Arial"/>
      <family val="2"/>
    </font>
    <font>
      <b/>
      <sz val="12"/>
      <color indexed="10"/>
      <name val="Arial"/>
      <family val="2"/>
    </font>
    <font>
      <b/>
      <sz val="10"/>
      <color indexed="10"/>
      <name val="Arial"/>
      <family val="2"/>
    </font>
    <font>
      <i/>
      <sz val="9"/>
      <name val="Arial"/>
      <family val="2"/>
    </font>
    <font>
      <b/>
      <i/>
      <sz val="11"/>
      <name val="Arial"/>
      <family val="2"/>
    </font>
    <font>
      <b/>
      <sz val="8"/>
      <color indexed="10"/>
      <name val="Arial"/>
      <family val="2"/>
    </font>
    <font>
      <vertAlign val="superscript"/>
      <sz val="10"/>
      <name val="Arial"/>
      <family val="2"/>
    </font>
    <font>
      <b/>
      <i/>
      <sz val="10"/>
      <name val="Arial"/>
      <family val="2"/>
    </font>
    <font>
      <sz val="9"/>
      <name val="Verdana"/>
      <family val="2"/>
    </font>
    <font>
      <b/>
      <sz val="10"/>
      <color indexed="10"/>
      <name val="Verdana"/>
      <family val="2"/>
    </font>
    <font>
      <b/>
      <sz val="11"/>
      <name val="Verdana"/>
      <family val="2"/>
    </font>
    <font>
      <b/>
      <sz val="11"/>
      <color indexed="10"/>
      <name val="Arial"/>
      <family val="2"/>
    </font>
    <font>
      <b/>
      <sz val="12"/>
      <color indexed="9"/>
      <name val="Verdana"/>
      <family val="2"/>
    </font>
    <font>
      <b/>
      <u val="single"/>
      <sz val="11"/>
      <name val="Arial"/>
      <family val="2"/>
    </font>
    <font>
      <sz val="8"/>
      <name val="Tahoma"/>
      <family val="2"/>
    </font>
    <font>
      <sz val="10"/>
      <color indexed="9"/>
      <name val="Verdana"/>
      <family val="2"/>
    </font>
    <font>
      <sz val="10"/>
      <color indexed="42"/>
      <name val="Verdana"/>
      <family val="2"/>
    </font>
    <font>
      <sz val="11"/>
      <name val="Arial"/>
      <family val="2"/>
    </font>
    <font>
      <sz val="10"/>
      <color indexed="10"/>
      <name val="Arial"/>
      <family val="2"/>
    </font>
    <font>
      <b/>
      <sz val="11"/>
      <color indexed="10"/>
      <name val="Verdana"/>
      <family val="2"/>
    </font>
    <font>
      <sz val="14"/>
      <name val="Arial"/>
      <family val="2"/>
    </font>
    <font>
      <sz val="12"/>
      <color indexed="47"/>
      <name val="Arial"/>
      <family val="2"/>
    </font>
    <font>
      <sz val="10"/>
      <color indexed="47"/>
      <name val="Verdana"/>
      <family val="2"/>
    </font>
    <font>
      <b/>
      <sz val="16"/>
      <name val="Arial"/>
      <family val="2"/>
    </font>
    <font>
      <sz val="9"/>
      <color indexed="9"/>
      <name val="Arial"/>
      <family val="2"/>
    </font>
    <font>
      <sz val="12"/>
      <name val="Verdana"/>
      <family val="2"/>
    </font>
    <font>
      <sz val="10"/>
      <color indexed="12"/>
      <name val="Arial"/>
      <family val="2"/>
    </font>
    <font>
      <sz val="10"/>
      <color indexed="8"/>
      <name val="Arial"/>
      <family val="2"/>
    </font>
    <font>
      <sz val="11"/>
      <name val="Verdana"/>
      <family val="2"/>
    </font>
    <font>
      <b/>
      <sz val="10"/>
      <color indexed="12"/>
      <name val="Arial"/>
      <family val="2"/>
    </font>
    <font>
      <sz val="12"/>
      <color indexed="63"/>
      <name val="Verdana"/>
      <family val="2"/>
    </font>
    <font>
      <b/>
      <sz val="12"/>
      <color indexed="63"/>
      <name val="Arial"/>
      <family val="2"/>
    </font>
    <font>
      <b/>
      <u val="single"/>
      <sz val="12"/>
      <color indexed="63"/>
      <name val="Arial"/>
      <family val="2"/>
    </font>
    <font>
      <sz val="14"/>
      <color indexed="63"/>
      <name val="Arial"/>
      <family val="2"/>
    </font>
    <font>
      <b/>
      <sz val="11"/>
      <color indexed="63"/>
      <name val="Arial"/>
      <family val="2"/>
    </font>
    <font>
      <b/>
      <sz val="11"/>
      <color indexed="63"/>
      <name val="Verdana"/>
      <family val="2"/>
    </font>
    <font>
      <sz val="12"/>
      <color indexed="62"/>
      <name val="Arial"/>
      <family val="2"/>
    </font>
    <font>
      <sz val="10"/>
      <color indexed="62"/>
      <name val="Verdana"/>
      <family val="2"/>
    </font>
    <font>
      <sz val="10"/>
      <color indexed="62"/>
      <name val="Arial"/>
      <family val="2"/>
    </font>
    <font>
      <i/>
      <sz val="10"/>
      <color indexed="62"/>
      <name val="Arial"/>
      <family val="2"/>
    </font>
    <font>
      <sz val="9"/>
      <color indexed="62"/>
      <name val="Arial"/>
      <family val="2"/>
    </font>
    <font>
      <sz val="10"/>
      <color indexed="16"/>
      <name val="Verdana"/>
      <family val="2"/>
    </font>
    <font>
      <b/>
      <sz val="11"/>
      <color indexed="62"/>
      <name val="Arial"/>
      <family val="2"/>
    </font>
    <font>
      <b/>
      <sz val="10"/>
      <color indexed="16"/>
      <name val="Arial"/>
      <family val="2"/>
    </font>
    <font>
      <sz val="8"/>
      <color indexed="9"/>
      <name val="Arial"/>
      <family val="2"/>
    </font>
    <font>
      <b/>
      <sz val="8"/>
      <color indexed="9"/>
      <name val="Arial"/>
      <family val="2"/>
    </font>
    <font>
      <b/>
      <sz val="10"/>
      <color indexed="9"/>
      <name val="Arial"/>
      <family val="2"/>
    </font>
    <font>
      <i/>
      <sz val="16"/>
      <name val="Arial"/>
      <family val="2"/>
    </font>
    <font>
      <i/>
      <sz val="12"/>
      <name val="Arial"/>
      <family val="2"/>
    </font>
    <font>
      <b/>
      <i/>
      <sz val="12"/>
      <name val="Arial"/>
      <family val="2"/>
    </font>
    <font>
      <b/>
      <i/>
      <sz val="14"/>
      <name val="Arial"/>
      <family val="2"/>
    </font>
    <font>
      <i/>
      <u val="single"/>
      <sz val="12"/>
      <name val="Arial"/>
      <family val="2"/>
    </font>
    <font>
      <b/>
      <i/>
      <sz val="12"/>
      <color indexed="17"/>
      <name val="Arial"/>
      <family val="2"/>
    </font>
    <font>
      <b/>
      <i/>
      <sz val="12"/>
      <color indexed="12"/>
      <name val="Arial"/>
      <family val="2"/>
    </font>
    <font>
      <b/>
      <i/>
      <sz val="12"/>
      <color indexed="63"/>
      <name val="Arial"/>
      <family val="2"/>
    </font>
    <font>
      <b/>
      <i/>
      <sz val="12"/>
      <color indexed="12"/>
      <name val="Verdana"/>
      <family val="2"/>
    </font>
    <font>
      <i/>
      <sz val="12"/>
      <color indexed="12"/>
      <name val="Arial"/>
      <family val="2"/>
    </font>
    <font>
      <sz val="10"/>
      <color indexed="47"/>
      <name val="Arial"/>
      <family val="2"/>
    </font>
    <font>
      <sz val="10"/>
      <color indexed="22"/>
      <name val="Arial"/>
      <family val="2"/>
    </font>
    <font>
      <sz val="10"/>
      <color indexed="22"/>
      <name val="Verdana"/>
      <family val="2"/>
    </font>
    <font>
      <u val="single"/>
      <sz val="11"/>
      <name val="Arial"/>
      <family val="2"/>
    </font>
    <font>
      <sz val="10"/>
      <color indexed="56"/>
      <name val="Arial"/>
      <family val="2"/>
    </font>
    <font>
      <sz val="10"/>
      <color indexed="56"/>
      <name val="Verdana"/>
      <family val="2"/>
    </font>
    <font>
      <b/>
      <i/>
      <sz val="10"/>
      <color indexed="22"/>
      <name val="Arial"/>
      <family val="2"/>
    </font>
    <font>
      <sz val="10.5"/>
      <name val="Arial"/>
      <family val="2"/>
    </font>
    <font>
      <b/>
      <i/>
      <sz val="12"/>
      <color indexed="9"/>
      <name val="Arial"/>
      <family val="2"/>
    </font>
    <font>
      <b/>
      <sz val="10"/>
      <color indexed="55"/>
      <name val="Arial"/>
      <family val="2"/>
    </font>
    <font>
      <b/>
      <sz val="14"/>
      <color indexed="55"/>
      <name val="Arial"/>
      <family val="2"/>
    </font>
    <font>
      <sz val="10"/>
      <color indexed="55"/>
      <name val="Arial"/>
      <family val="2"/>
    </font>
    <font>
      <sz val="10"/>
      <color indexed="55"/>
      <name val="Verdana"/>
      <family val="2"/>
    </font>
    <font>
      <i/>
      <sz val="10.5"/>
      <name val="Arial"/>
      <family val="2"/>
    </font>
    <font>
      <i/>
      <sz val="10.5"/>
      <name val="Verdana"/>
      <family val="2"/>
    </font>
    <font>
      <i/>
      <sz val="11"/>
      <name val="Arial"/>
      <family val="2"/>
    </font>
    <font>
      <b/>
      <sz val="10"/>
      <color indexed="22"/>
      <name val="Arial"/>
      <family val="2"/>
    </font>
    <font>
      <u val="single"/>
      <sz val="10.5"/>
      <name val="Arial"/>
      <family val="2"/>
    </font>
    <font>
      <b/>
      <i/>
      <sz val="10"/>
      <color indexed="16"/>
      <name val="Arial"/>
      <family val="2"/>
    </font>
    <font>
      <i/>
      <u val="single"/>
      <sz val="11"/>
      <name val="Arial"/>
      <family val="2"/>
    </font>
    <font>
      <b/>
      <sz val="12"/>
      <color indexed="42"/>
      <name val="Arial"/>
      <family val="2"/>
    </font>
    <font>
      <b/>
      <i/>
      <sz val="11"/>
      <color indexed="16"/>
      <name val="Arial"/>
      <family val="2"/>
    </font>
    <font>
      <i/>
      <sz val="11"/>
      <name val="Verdana"/>
      <family val="2"/>
    </font>
    <font>
      <b/>
      <sz val="10"/>
      <color indexed="16"/>
      <name val="Verdana"/>
      <family val="2"/>
    </font>
    <font>
      <b/>
      <i/>
      <u val="single"/>
      <sz val="11"/>
      <name val="Arial"/>
      <family val="2"/>
    </font>
    <font>
      <b/>
      <sz val="10.5"/>
      <name val="Arial"/>
      <family val="2"/>
    </font>
    <font>
      <sz val="11"/>
      <color indexed="9"/>
      <name val="Arial"/>
      <family val="2"/>
    </font>
    <font>
      <sz val="9"/>
      <color indexed="10"/>
      <name val="Arial"/>
      <family val="2"/>
    </font>
    <font>
      <sz val="12"/>
      <color indexed="10"/>
      <name val="Arial"/>
      <family val="2"/>
    </font>
    <font>
      <b/>
      <u val="single"/>
      <sz val="11"/>
      <color indexed="10"/>
      <name val="Arial"/>
      <family val="2"/>
    </font>
    <font>
      <sz val="10"/>
      <color indexed="63"/>
      <name val="Arial"/>
      <family val="2"/>
    </font>
    <font>
      <b/>
      <sz val="8"/>
      <name val="Tahoma"/>
      <family val="2"/>
    </font>
    <font>
      <sz val="10"/>
      <name val="Tahoma"/>
      <family val="2"/>
    </font>
    <font>
      <sz val="12"/>
      <color indexed="16"/>
      <name val="Arial"/>
      <family val="2"/>
    </font>
    <font>
      <sz val="12"/>
      <name val="Cambria"/>
      <family val="1"/>
    </font>
    <font>
      <u val="single"/>
      <sz val="12"/>
      <name val="Arial"/>
      <family val="2"/>
    </font>
    <font>
      <b/>
      <sz val="10"/>
      <name val="Tahoma"/>
      <family val="2"/>
    </font>
    <font>
      <sz val="11"/>
      <name val="Tahoma"/>
      <family val="2"/>
    </font>
    <font>
      <b/>
      <sz val="11"/>
      <name val="Tahoma"/>
      <family val="2"/>
    </font>
    <font>
      <b/>
      <u val="single"/>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0"/>
      <name val="Arial"/>
      <family val="2"/>
    </font>
    <font>
      <b/>
      <sz val="11"/>
      <color indexed="47"/>
      <name val="Arial"/>
      <family val="2"/>
    </font>
    <font>
      <sz val="8"/>
      <name val="Segoe UI"/>
      <family val="2"/>
    </font>
    <font>
      <b/>
      <sz val="11"/>
      <color indexed="8"/>
      <name val="Arial"/>
      <family val="2"/>
    </font>
    <font>
      <b/>
      <u val="single"/>
      <sz val="11"/>
      <color indexed="8"/>
      <name val="Arial"/>
      <family val="2"/>
    </font>
    <font>
      <b/>
      <vertAlign val="superscript"/>
      <sz val="12"/>
      <color indexed="8"/>
      <name val="Arial"/>
      <family val="2"/>
    </font>
    <font>
      <b/>
      <sz val="12"/>
      <color indexed="8"/>
      <name val="Arial"/>
      <family val="2"/>
    </font>
    <font>
      <b/>
      <u val="single"/>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Verdana"/>
      <family val="2"/>
    </font>
    <font>
      <sz val="11"/>
      <color rgb="FFC00000"/>
      <name val="Arial"/>
      <family val="2"/>
    </font>
    <font>
      <b/>
      <sz val="11"/>
      <color rgb="FFFFCC99"/>
      <name val="Arial"/>
      <family val="2"/>
    </font>
    <font>
      <b/>
      <sz val="8"/>
      <name val="Verdan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6"/>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
      <patternFill patternType="solid">
        <fgColor indexed="45"/>
        <bgColor indexed="64"/>
      </patternFill>
    </fill>
    <fill>
      <patternFill patternType="solid">
        <fgColor rgb="FFC0C0C0"/>
        <bgColor indexed="64"/>
      </patternFill>
    </fill>
    <fill>
      <patternFill patternType="solid">
        <fgColor rgb="FF66FF66"/>
        <bgColor indexed="64"/>
      </patternFill>
    </fill>
    <fill>
      <patternFill patternType="solid">
        <fgColor theme="0" tint="-0.24993999302387238"/>
        <bgColor indexed="64"/>
      </patternFill>
    </fill>
    <fill>
      <patternFill patternType="solid">
        <fgColor rgb="FFFF0000"/>
        <bgColor indexed="64"/>
      </patternFill>
    </fill>
  </fills>
  <borders count="1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2"/>
      </right>
      <top style="medium">
        <color indexed="23"/>
      </top>
      <bottom>
        <color indexed="63"/>
      </bottom>
    </border>
    <border>
      <left style="medium">
        <color indexed="23"/>
      </left>
      <right>
        <color indexed="63"/>
      </right>
      <top>
        <color indexed="63"/>
      </top>
      <bottom>
        <color indexed="63"/>
      </bottom>
    </border>
    <border>
      <left>
        <color indexed="63"/>
      </left>
      <right style="medium">
        <color indexed="22"/>
      </right>
      <top>
        <color indexed="63"/>
      </top>
      <bottom>
        <color indexed="63"/>
      </bottom>
    </border>
    <border>
      <left style="medium">
        <color indexed="23"/>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color indexed="63"/>
      </left>
      <right>
        <color indexed="63"/>
      </right>
      <top style="hair">
        <color indexed="63"/>
      </top>
      <bottom style="hair">
        <color indexed="63"/>
      </bottom>
    </border>
    <border>
      <left>
        <color indexed="63"/>
      </left>
      <right>
        <color indexed="63"/>
      </right>
      <top>
        <color indexed="63"/>
      </top>
      <bottom style="medium">
        <color indexed="23"/>
      </bottom>
    </border>
    <border>
      <left>
        <color indexed="63"/>
      </left>
      <right>
        <color indexed="63"/>
      </right>
      <top style="medium">
        <color indexed="22"/>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n"/>
      <right style="thin"/>
      <top>
        <color indexed="63"/>
      </top>
      <bottom>
        <color indexed="63"/>
      </bottom>
    </border>
    <border>
      <left>
        <color indexed="63"/>
      </left>
      <right>
        <color indexed="63"/>
      </right>
      <top style="medium">
        <color indexed="9"/>
      </top>
      <bottom>
        <color indexed="63"/>
      </bottom>
    </border>
    <border>
      <left style="thin">
        <color indexed="23"/>
      </left>
      <right>
        <color indexed="63"/>
      </right>
      <top style="thin">
        <color indexed="23"/>
      </top>
      <bottom>
        <color indexed="63"/>
      </bottom>
    </border>
    <border>
      <left style="hair">
        <color indexed="63"/>
      </left>
      <right style="hair">
        <color indexed="63"/>
      </right>
      <top style="thin">
        <color indexed="23"/>
      </top>
      <bottom>
        <color indexed="63"/>
      </bottom>
    </border>
    <border>
      <left>
        <color indexed="63"/>
      </left>
      <right style="medium">
        <color indexed="9"/>
      </right>
      <top style="thin">
        <color indexed="23"/>
      </top>
      <bottom>
        <color indexed="63"/>
      </bottom>
    </border>
    <border>
      <left style="thin">
        <color indexed="23"/>
      </left>
      <right>
        <color indexed="63"/>
      </right>
      <top style="hair">
        <color indexed="63"/>
      </top>
      <bottom style="hair">
        <color indexed="63"/>
      </bottom>
    </border>
    <border>
      <left style="hair">
        <color indexed="63"/>
      </left>
      <right style="hair">
        <color indexed="63"/>
      </right>
      <top style="hair">
        <color indexed="63"/>
      </top>
      <bottom style="hair">
        <color indexed="63"/>
      </bottom>
    </border>
    <border>
      <left>
        <color indexed="63"/>
      </left>
      <right style="medium">
        <color indexed="9"/>
      </right>
      <top style="hair">
        <color indexed="63"/>
      </top>
      <bottom style="hair">
        <color indexed="63"/>
      </bottom>
    </border>
    <border>
      <left style="thin">
        <color indexed="23"/>
      </left>
      <right>
        <color indexed="63"/>
      </right>
      <top>
        <color indexed="63"/>
      </top>
      <bottom style="medium">
        <color indexed="9"/>
      </bottom>
    </border>
    <border>
      <left style="hair">
        <color indexed="63"/>
      </left>
      <right style="hair">
        <color indexed="63"/>
      </right>
      <top>
        <color indexed="63"/>
      </top>
      <bottom style="medium">
        <color indexed="9"/>
      </bottom>
    </border>
    <border>
      <left>
        <color indexed="63"/>
      </left>
      <right style="medium">
        <color indexed="9"/>
      </right>
      <top>
        <color indexed="63"/>
      </top>
      <bottom style="medium">
        <color indexed="9"/>
      </bottom>
    </border>
    <border>
      <left style="hair">
        <color indexed="63"/>
      </left>
      <right style="hair">
        <color indexed="63"/>
      </right>
      <top style="thin">
        <color indexed="23"/>
      </top>
      <bottom style="hair">
        <color indexed="63"/>
      </bottom>
    </border>
    <border>
      <left style="thin">
        <color indexed="23"/>
      </left>
      <right style="hair">
        <color indexed="63"/>
      </right>
      <top style="hair">
        <color indexed="63"/>
      </top>
      <bottom style="hair">
        <color indexed="63"/>
      </bottom>
    </border>
    <border>
      <left style="hair">
        <color indexed="63"/>
      </left>
      <right style="hair">
        <color indexed="63"/>
      </right>
      <top style="hair">
        <color indexed="63"/>
      </top>
      <bottom style="medium">
        <color indexed="9"/>
      </bottom>
    </border>
    <border>
      <left style="thin">
        <color indexed="23"/>
      </left>
      <right style="hair">
        <color indexed="63"/>
      </right>
      <top style="thin">
        <color indexed="23"/>
      </top>
      <bottom style="hair">
        <color indexed="63"/>
      </bottom>
    </border>
    <border>
      <left style="hair">
        <color indexed="63"/>
      </left>
      <right style="medium">
        <color indexed="9"/>
      </right>
      <top style="thin">
        <color indexed="23"/>
      </top>
      <bottom style="hair">
        <color indexed="63"/>
      </bottom>
    </border>
    <border>
      <left style="hair">
        <color indexed="63"/>
      </left>
      <right style="medium">
        <color indexed="9"/>
      </right>
      <top style="hair">
        <color indexed="63"/>
      </top>
      <bottom style="hair">
        <color indexed="63"/>
      </bottom>
    </border>
    <border>
      <left style="thin">
        <color indexed="23"/>
      </left>
      <right style="hair">
        <color indexed="63"/>
      </right>
      <top style="hair">
        <color indexed="63"/>
      </top>
      <bottom style="medium">
        <color indexed="9"/>
      </bottom>
    </border>
    <border>
      <left style="hair">
        <color indexed="63"/>
      </left>
      <right style="medium">
        <color indexed="9"/>
      </right>
      <top style="hair">
        <color indexed="63"/>
      </top>
      <bottom style="medium">
        <color indexed="9"/>
      </bottom>
    </border>
    <border>
      <left style="thin">
        <color indexed="23"/>
      </left>
      <right style="hair">
        <color indexed="63"/>
      </right>
      <top>
        <color indexed="63"/>
      </top>
      <bottom style="medium">
        <color indexed="9"/>
      </bottom>
    </border>
    <border>
      <left style="hair">
        <color indexed="63"/>
      </left>
      <right style="medium">
        <color indexed="9"/>
      </right>
      <top>
        <color indexed="63"/>
      </top>
      <bottom style="medium">
        <color indexed="9"/>
      </bottom>
    </border>
    <border>
      <left>
        <color indexed="63"/>
      </left>
      <right>
        <color indexed="63"/>
      </right>
      <top>
        <color indexed="63"/>
      </top>
      <bottom style="double"/>
    </border>
    <border>
      <left style="thin"/>
      <right>
        <color indexed="63"/>
      </right>
      <top style="thin"/>
      <bottom style="thin"/>
    </border>
    <border>
      <left style="thin"/>
      <right>
        <color indexed="63"/>
      </right>
      <top style="hair">
        <color indexed="23"/>
      </top>
      <bottom>
        <color indexed="63"/>
      </bottom>
    </border>
    <border>
      <left>
        <color indexed="63"/>
      </left>
      <right>
        <color indexed="63"/>
      </right>
      <top style="double"/>
      <bottom style="double"/>
    </border>
    <border>
      <left>
        <color indexed="63"/>
      </left>
      <right>
        <color indexed="63"/>
      </right>
      <top>
        <color indexed="63"/>
      </top>
      <bottom style="medium">
        <color indexed="9"/>
      </bottom>
    </border>
    <border>
      <left>
        <color indexed="63"/>
      </left>
      <right style="medium">
        <color indexed="9"/>
      </right>
      <top>
        <color indexed="63"/>
      </top>
      <bottom>
        <color indexed="63"/>
      </bottom>
    </border>
    <border>
      <left style="thin">
        <color indexed="23"/>
      </left>
      <right>
        <color indexed="63"/>
      </right>
      <top>
        <color indexed="63"/>
      </top>
      <bottom>
        <color indexed="63"/>
      </bottom>
    </border>
    <border>
      <left>
        <color indexed="63"/>
      </left>
      <right>
        <color indexed="63"/>
      </right>
      <top style="thin">
        <color indexed="23"/>
      </top>
      <bottom>
        <color indexed="63"/>
      </bottom>
    </border>
    <border>
      <left style="thin"/>
      <right>
        <color indexed="63"/>
      </right>
      <top style="thin">
        <color indexed="23"/>
      </top>
      <bottom>
        <color indexed="63"/>
      </bottom>
    </border>
    <border>
      <left>
        <color indexed="63"/>
      </left>
      <right>
        <color indexed="63"/>
      </right>
      <top style="thin"/>
      <bottom style="medium">
        <color indexed="9"/>
      </bottom>
    </border>
    <border>
      <left style="thin"/>
      <right>
        <color indexed="63"/>
      </right>
      <top style="hair">
        <color indexed="63"/>
      </top>
      <bottom style="hair">
        <color indexed="63"/>
      </bottom>
    </border>
    <border>
      <left style="thin"/>
      <right>
        <color indexed="63"/>
      </right>
      <top>
        <color indexed="63"/>
      </top>
      <bottom style="thin"/>
    </border>
    <border>
      <left>
        <color indexed="63"/>
      </left>
      <right style="hair">
        <color indexed="63"/>
      </right>
      <top style="hair">
        <color indexed="63"/>
      </top>
      <bottom style="hair">
        <color indexed="63"/>
      </bottom>
    </border>
    <border>
      <left style="thin">
        <color indexed="23"/>
      </left>
      <right style="medium">
        <color indexed="9"/>
      </right>
      <top style="thin">
        <color indexed="23"/>
      </top>
      <bottom style="medium">
        <color indexed="9"/>
      </bottom>
    </border>
    <border>
      <left>
        <color indexed="63"/>
      </left>
      <right style="hair">
        <color indexed="63"/>
      </right>
      <top>
        <color indexed="63"/>
      </top>
      <bottom style="hair">
        <color indexed="63"/>
      </bottom>
    </border>
    <border>
      <left style="thin">
        <color indexed="23"/>
      </left>
      <right style="medium">
        <color indexed="9"/>
      </right>
      <top style="hair">
        <color indexed="63"/>
      </top>
      <bottom style="hair">
        <color indexed="63"/>
      </bottom>
    </border>
    <border>
      <left>
        <color indexed="63"/>
      </left>
      <right style="hair">
        <color indexed="63"/>
      </right>
      <top>
        <color indexed="63"/>
      </top>
      <bottom>
        <color indexed="63"/>
      </bottom>
    </border>
    <border>
      <left style="thin">
        <color indexed="23"/>
      </left>
      <right style="medium">
        <color indexed="9"/>
      </right>
      <top style="hair">
        <color indexed="63"/>
      </top>
      <bottom style="medium">
        <color indexed="9"/>
      </bottom>
    </border>
    <border>
      <left style="thin">
        <color indexed="23"/>
      </left>
      <right style="medium">
        <color indexed="9"/>
      </right>
      <top style="thin">
        <color indexed="23"/>
      </top>
      <bottom>
        <color indexed="63"/>
      </bottom>
    </border>
    <border>
      <left>
        <color indexed="63"/>
      </left>
      <right>
        <color indexed="63"/>
      </right>
      <top>
        <color indexed="63"/>
      </top>
      <bottom style="mediumDashed"/>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color indexed="23"/>
      </left>
      <right style="medium">
        <color indexed="9"/>
      </right>
      <top style="thin">
        <color indexed="23"/>
      </top>
      <bottom style="hair">
        <color indexed="63"/>
      </bottom>
    </border>
    <border>
      <left style="thin">
        <color indexed="63"/>
      </left>
      <right style="medium">
        <color indexed="9"/>
      </right>
      <top style="thin">
        <color indexed="63"/>
      </top>
      <bottom style="medium">
        <color indexed="9"/>
      </bottom>
    </border>
    <border>
      <left>
        <color indexed="63"/>
      </left>
      <right>
        <color indexed="63"/>
      </right>
      <top>
        <color indexed="63"/>
      </top>
      <bottom style="thin">
        <color indexed="23"/>
      </bottom>
    </border>
    <border>
      <left>
        <color indexed="63"/>
      </left>
      <right>
        <color indexed="63"/>
      </right>
      <top>
        <color indexed="63"/>
      </top>
      <bottom style="hair">
        <color indexed="63"/>
      </bottom>
    </border>
    <border>
      <left>
        <color indexed="63"/>
      </left>
      <right>
        <color indexed="63"/>
      </right>
      <top style="hair">
        <color indexed="63"/>
      </top>
      <bottom>
        <color indexed="63"/>
      </bottom>
    </border>
    <border>
      <left style="thin">
        <color indexed="23"/>
      </left>
      <right style="hair">
        <color indexed="63"/>
      </right>
      <top style="thin">
        <color indexed="23"/>
      </top>
      <bottom>
        <color indexed="63"/>
      </bottom>
    </border>
    <border>
      <left style="hair">
        <color indexed="63"/>
      </left>
      <right style="medium">
        <color indexed="9"/>
      </right>
      <top style="thin">
        <color indexed="23"/>
      </top>
      <bottom>
        <color indexed="63"/>
      </bottom>
    </border>
    <border>
      <left>
        <color indexed="63"/>
      </left>
      <right>
        <color indexed="63"/>
      </right>
      <top style="medium">
        <color indexed="9"/>
      </top>
      <bottom style="thin">
        <color indexed="23"/>
      </bottom>
    </border>
    <border>
      <left style="thin">
        <color indexed="23"/>
      </left>
      <right style="medium">
        <color indexed="9"/>
      </right>
      <top>
        <color indexed="63"/>
      </top>
      <bottom style="hair">
        <color indexed="63"/>
      </bottom>
    </border>
    <border>
      <left>
        <color indexed="63"/>
      </left>
      <right style="hair">
        <color indexed="63"/>
      </right>
      <top style="thin">
        <color indexed="23"/>
      </top>
      <bottom style="hair">
        <color indexed="63"/>
      </bottom>
    </border>
    <border>
      <left>
        <color indexed="63"/>
      </left>
      <right style="thin"/>
      <top style="thin"/>
      <bottom style="thin"/>
    </border>
    <border>
      <left style="thin">
        <color indexed="23"/>
      </left>
      <right>
        <color indexed="63"/>
      </right>
      <top style="thin">
        <color indexed="23"/>
      </top>
      <bottom style="medium">
        <color indexed="9"/>
      </bottom>
    </border>
    <border>
      <left>
        <color indexed="63"/>
      </left>
      <right style="medium">
        <color indexed="9"/>
      </right>
      <top style="thin">
        <color indexed="23"/>
      </top>
      <bottom style="medium">
        <color indexed="9"/>
      </bottom>
    </border>
    <border>
      <left style="hair">
        <color indexed="63"/>
      </left>
      <right style="hair">
        <color indexed="63"/>
      </right>
      <top style="thin">
        <color indexed="23"/>
      </top>
      <bottom style="medium">
        <color indexed="9"/>
      </bottom>
    </border>
    <border>
      <left>
        <color indexed="63"/>
      </left>
      <right style="hair">
        <color indexed="63"/>
      </right>
      <top style="thin">
        <color indexed="23"/>
      </top>
      <bottom>
        <color indexed="63"/>
      </bottom>
    </border>
    <border>
      <left>
        <color indexed="63"/>
      </left>
      <right style="hair">
        <color indexed="63"/>
      </right>
      <top>
        <color indexed="63"/>
      </top>
      <bottom style="medium">
        <color indexed="9"/>
      </bottom>
    </border>
    <border>
      <left>
        <color indexed="63"/>
      </left>
      <right>
        <color indexed="63"/>
      </right>
      <top style="hair">
        <color indexed="23"/>
      </top>
      <bottom>
        <color indexed="63"/>
      </bottom>
    </border>
    <border>
      <left style="thin">
        <color indexed="23"/>
      </left>
      <right style="hair">
        <color indexed="63"/>
      </right>
      <top style="thin">
        <color indexed="23"/>
      </top>
      <bottom style="medium">
        <color indexed="9"/>
      </bottom>
    </border>
    <border>
      <left style="hair">
        <color indexed="63"/>
      </left>
      <right style="medium">
        <color indexed="9"/>
      </right>
      <top style="thin">
        <color indexed="23"/>
      </top>
      <bottom style="medium">
        <color indexed="9"/>
      </bottom>
    </border>
    <border>
      <left style="hair">
        <color indexed="63"/>
      </left>
      <right style="hair">
        <color indexed="63"/>
      </right>
      <top>
        <color indexed="63"/>
      </top>
      <bottom>
        <color indexed="63"/>
      </bottom>
    </border>
    <border>
      <left>
        <color indexed="63"/>
      </left>
      <right>
        <color indexed="63"/>
      </right>
      <top style="thin">
        <color indexed="23"/>
      </top>
      <bottom style="medium">
        <color indexed="9"/>
      </bottom>
    </border>
    <border>
      <left style="hair">
        <color indexed="9"/>
      </left>
      <right style="hair">
        <color indexed="9"/>
      </right>
      <top>
        <color indexed="63"/>
      </top>
      <bottom>
        <color indexed="63"/>
      </bottom>
    </border>
    <border>
      <left style="hair">
        <color indexed="63"/>
      </left>
      <right style="hair">
        <color indexed="63"/>
      </right>
      <top style="hair">
        <color indexed="63"/>
      </top>
      <bottom>
        <color indexed="63"/>
      </bottom>
    </border>
    <border>
      <left style="thin">
        <color indexed="23"/>
      </left>
      <right style="hair">
        <color indexed="63"/>
      </right>
      <top style="hair">
        <color indexed="63"/>
      </top>
      <bottom>
        <color indexed="63"/>
      </bottom>
    </border>
    <border>
      <left style="hair">
        <color indexed="63"/>
      </left>
      <right style="medium">
        <color indexed="9"/>
      </right>
      <top style="hair">
        <color indexed="63"/>
      </top>
      <bottom>
        <color indexed="63"/>
      </bottom>
    </border>
    <border>
      <left style="hair">
        <color indexed="63"/>
      </left>
      <right>
        <color indexed="63"/>
      </right>
      <top>
        <color indexed="63"/>
      </top>
      <bottom>
        <color indexed="63"/>
      </bottom>
    </border>
    <border>
      <left style="thin">
        <color indexed="23"/>
      </left>
      <right style="hair">
        <color indexed="63"/>
      </right>
      <top style="hair">
        <color indexed="23"/>
      </top>
      <bottom style="medium">
        <color indexed="9"/>
      </bottom>
    </border>
    <border>
      <left style="hair">
        <color indexed="63"/>
      </left>
      <right style="hair">
        <color indexed="63"/>
      </right>
      <top style="hair">
        <color indexed="23"/>
      </top>
      <bottom style="medium">
        <color indexed="9"/>
      </bottom>
    </border>
    <border>
      <left style="hair">
        <color indexed="63"/>
      </left>
      <right style="medium">
        <color indexed="9"/>
      </right>
      <top style="hair">
        <color indexed="23"/>
      </top>
      <bottom style="medium">
        <color indexed="9"/>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right>
        <color indexed="63"/>
      </right>
      <top style="thin">
        <color indexed="63"/>
      </top>
      <bottom>
        <color indexed="63"/>
      </bottom>
    </border>
    <border>
      <left>
        <color indexed="63"/>
      </left>
      <right style="medium">
        <color indexed="9"/>
      </right>
      <top style="thin">
        <color indexed="63"/>
      </top>
      <bottom>
        <color indexed="63"/>
      </bottom>
    </border>
    <border>
      <left style="thin">
        <color indexed="63"/>
      </left>
      <right>
        <color indexed="63"/>
      </right>
      <top>
        <color indexed="63"/>
      </top>
      <bottom>
        <color indexed="63"/>
      </bottom>
    </border>
    <border>
      <left>
        <color indexed="63"/>
      </left>
      <right>
        <color indexed="63"/>
      </right>
      <top style="thin"/>
      <bottom style="thin"/>
    </border>
    <border>
      <left style="thin">
        <color indexed="63"/>
      </left>
      <right>
        <color indexed="63"/>
      </right>
      <top>
        <color indexed="63"/>
      </top>
      <bottom style="medium">
        <color indexed="9"/>
      </bottom>
    </border>
    <border>
      <left style="hair">
        <color indexed="63"/>
      </left>
      <right>
        <color indexed="63"/>
      </right>
      <top style="hair">
        <color indexed="63"/>
      </top>
      <bottom style="hair">
        <color indexed="63"/>
      </bottom>
    </border>
    <border>
      <left>
        <color indexed="63"/>
      </left>
      <right>
        <color indexed="63"/>
      </right>
      <top style="hair">
        <color indexed="63"/>
      </top>
      <bottom style="thin">
        <color indexed="23"/>
      </bottom>
    </border>
    <border>
      <left>
        <color indexed="63"/>
      </left>
      <right style="thin">
        <color indexed="23"/>
      </right>
      <top style="hair">
        <color indexed="63"/>
      </top>
      <bottom style="hair">
        <color indexed="63"/>
      </bottom>
    </border>
    <border>
      <left style="medium">
        <color indexed="9"/>
      </left>
      <right>
        <color indexed="63"/>
      </right>
      <top style="hair">
        <color indexed="63"/>
      </top>
      <bottom style="hair">
        <color indexed="63"/>
      </bottom>
    </border>
    <border>
      <left>
        <color indexed="63"/>
      </left>
      <right style="thin">
        <color indexed="23"/>
      </right>
      <top>
        <color indexed="63"/>
      </top>
      <bottom>
        <color indexed="63"/>
      </bottom>
    </border>
    <border>
      <left>
        <color indexed="63"/>
      </left>
      <right style="thin"/>
      <top style="hair">
        <color indexed="63"/>
      </top>
      <bottom style="hair">
        <color indexed="63"/>
      </bottom>
    </border>
    <border>
      <left style="medium">
        <color indexed="9"/>
      </left>
      <right style="thin">
        <color indexed="23"/>
      </right>
      <top>
        <color indexed="63"/>
      </top>
      <bottom>
        <color indexed="63"/>
      </bottom>
    </border>
    <border>
      <left>
        <color indexed="63"/>
      </left>
      <right>
        <color indexed="63"/>
      </right>
      <top style="hair">
        <color indexed="63"/>
      </top>
      <bottom style="double"/>
    </border>
    <border>
      <left style="thin"/>
      <right style="thin"/>
      <top style="thin"/>
      <bottom style="thin"/>
    </border>
    <border>
      <left style="medium">
        <color indexed="9"/>
      </left>
      <right style="hair">
        <color indexed="63"/>
      </right>
      <top style="hair">
        <color indexed="63"/>
      </top>
      <bottom style="hair">
        <color indexed="63"/>
      </bottom>
    </border>
    <border>
      <left>
        <color indexed="63"/>
      </left>
      <right style="thin">
        <color indexed="23"/>
      </right>
      <top>
        <color indexed="63"/>
      </top>
      <bottom style="hair">
        <color indexed="63"/>
      </bottom>
    </border>
    <border>
      <left>
        <color indexed="63"/>
      </left>
      <right style="thin">
        <color indexed="23"/>
      </right>
      <top style="hair">
        <color indexed="63"/>
      </top>
      <bottom style="thin">
        <color indexed="23"/>
      </bottom>
    </border>
    <border>
      <left style="medium">
        <color indexed="9"/>
      </left>
      <right>
        <color indexed="63"/>
      </right>
      <top>
        <color indexed="63"/>
      </top>
      <bottom>
        <color indexed="63"/>
      </bottom>
    </border>
    <border>
      <left style="thin">
        <color indexed="23"/>
      </left>
      <right>
        <color indexed="63"/>
      </right>
      <top>
        <color indexed="63"/>
      </top>
      <bottom style="thin">
        <color indexed="9"/>
      </bottom>
    </border>
    <border>
      <left>
        <color indexed="63"/>
      </left>
      <right>
        <color indexed="63"/>
      </right>
      <top style="double"/>
      <bottom style="thin">
        <color indexed="9"/>
      </bottom>
    </border>
    <border>
      <left>
        <color indexed="63"/>
      </left>
      <right>
        <color indexed="63"/>
      </right>
      <top style="thin">
        <color indexed="9"/>
      </top>
      <bottom>
        <color indexed="63"/>
      </bottom>
    </border>
    <border>
      <left style="thin">
        <color indexed="23"/>
      </left>
      <right style="thin">
        <color indexed="23"/>
      </right>
      <top style="hair">
        <color indexed="63"/>
      </top>
      <bottom style="hair">
        <color indexed="63"/>
      </bottom>
    </border>
    <border>
      <left>
        <color indexed="63"/>
      </left>
      <right style="thin"/>
      <top style="thin">
        <color indexed="23"/>
      </top>
      <bottom>
        <color indexed="63"/>
      </bottom>
    </border>
    <border>
      <left>
        <color indexed="63"/>
      </left>
      <right>
        <color indexed="63"/>
      </right>
      <top>
        <color indexed="63"/>
      </top>
      <bottom style="thin">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color indexed="63"/>
      </top>
      <bottom>
        <color indexed="63"/>
      </bottom>
    </border>
    <border>
      <left style="hair">
        <color indexed="23"/>
      </left>
      <right style="hair">
        <color indexed="23"/>
      </right>
      <top style="hair">
        <color indexed="23"/>
      </top>
      <bottom style="hair">
        <color indexed="23"/>
      </bottom>
    </border>
    <border>
      <left style="thin">
        <color indexed="23"/>
      </left>
      <right style="hair">
        <color indexed="23"/>
      </right>
      <top style="thin">
        <color indexed="23"/>
      </top>
      <bottom style="hair">
        <color indexed="63"/>
      </bottom>
    </border>
    <border>
      <left>
        <color indexed="63"/>
      </left>
      <right style="thin"/>
      <top style="medium">
        <color indexed="22"/>
      </top>
      <bottom>
        <color indexed="63"/>
      </bottom>
    </border>
    <border>
      <left style="thin">
        <color indexed="23"/>
      </left>
      <right style="medium">
        <color indexed="9"/>
      </right>
      <top>
        <color indexed="63"/>
      </top>
      <bottom style="medium">
        <color indexed="9"/>
      </bottom>
    </border>
    <border>
      <left style="thin">
        <color indexed="23"/>
      </left>
      <right style="hair">
        <color indexed="23"/>
      </right>
      <top style="thin">
        <color indexed="23"/>
      </top>
      <bottom style="medium">
        <color indexed="9"/>
      </bottom>
    </border>
    <border>
      <left style="thin">
        <color indexed="23"/>
      </left>
      <right style="medium">
        <color indexed="9"/>
      </right>
      <top style="hair">
        <color indexed="23"/>
      </top>
      <bottom style="medium">
        <color indexed="9"/>
      </bottom>
    </border>
    <border>
      <left style="thin">
        <color indexed="23"/>
      </left>
      <right style="hair">
        <color indexed="23"/>
      </right>
      <top style="hair">
        <color indexed="23"/>
      </top>
      <bottom style="hair">
        <color indexed="23"/>
      </bottom>
    </border>
    <border>
      <left>
        <color indexed="63"/>
      </left>
      <right>
        <color indexed="63"/>
      </right>
      <top style="medium">
        <color indexed="9"/>
      </top>
      <bottom style="medium">
        <color indexed="9"/>
      </bottom>
    </border>
    <border>
      <left style="thin">
        <color indexed="23"/>
      </left>
      <right>
        <color indexed="63"/>
      </right>
      <top style="thin">
        <color indexed="23"/>
      </top>
      <bottom style="hair">
        <color indexed="63"/>
      </bottom>
    </border>
    <border>
      <left>
        <color indexed="63"/>
      </left>
      <right>
        <color indexed="63"/>
      </right>
      <top style="thin">
        <color indexed="23"/>
      </top>
      <bottom style="hair">
        <color indexed="63"/>
      </bottom>
    </border>
    <border>
      <left>
        <color indexed="63"/>
      </left>
      <right style="medium">
        <color indexed="9"/>
      </right>
      <top style="thin">
        <color indexed="23"/>
      </top>
      <bottom style="hair">
        <color indexed="63"/>
      </bottom>
    </border>
    <border>
      <left style="thin">
        <color indexed="23"/>
      </left>
      <right>
        <color indexed="63"/>
      </right>
      <top style="hair">
        <color indexed="63"/>
      </top>
      <bottom style="medium">
        <color indexed="9"/>
      </bottom>
    </border>
    <border>
      <left>
        <color indexed="63"/>
      </left>
      <right>
        <color indexed="63"/>
      </right>
      <top style="hair">
        <color indexed="63"/>
      </top>
      <bottom style="medium">
        <color indexed="9"/>
      </bottom>
    </border>
    <border>
      <left>
        <color indexed="63"/>
      </left>
      <right style="medium">
        <color indexed="9"/>
      </right>
      <top style="hair">
        <color indexed="63"/>
      </top>
      <bottom style="medium">
        <color indexed="9"/>
      </bottom>
    </border>
    <border>
      <left style="thin">
        <color indexed="23"/>
      </left>
      <right style="medium">
        <color indexed="9"/>
      </right>
      <top>
        <color indexed="63"/>
      </top>
      <bottom>
        <color indexed="63"/>
      </bottom>
    </border>
    <border>
      <left style="thin">
        <color indexed="23"/>
      </left>
      <right style="medium">
        <color indexed="9"/>
      </right>
      <top style="hair">
        <color indexed="63"/>
      </top>
      <bottom>
        <color indexed="63"/>
      </bottom>
    </border>
    <border>
      <left style="thin"/>
      <right style="thin"/>
      <top>
        <color indexed="63"/>
      </top>
      <bottom style="thin"/>
    </border>
    <border>
      <left style="medium">
        <color indexed="22"/>
      </left>
      <right>
        <color indexed="63"/>
      </right>
      <top>
        <color indexed="63"/>
      </top>
      <bottom>
        <color indexed="63"/>
      </bottom>
    </border>
    <border>
      <left style="medium">
        <color indexed="9"/>
      </left>
      <right style="medium">
        <color indexed="22"/>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26" borderId="0" applyNumberFormat="0" applyBorder="0" applyAlignment="0" applyProtection="0"/>
    <xf numFmtId="0" fontId="147" fillId="27" borderId="1" applyNumberFormat="0" applyAlignment="0" applyProtection="0"/>
    <xf numFmtId="0" fontId="1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0" applyNumberFormat="0" applyFill="0" applyBorder="0" applyAlignment="0" applyProtection="0"/>
    <xf numFmtId="0" fontId="10" fillId="0" borderId="0" applyNumberFormat="0" applyFill="0" applyBorder="0" applyAlignment="0" applyProtection="0"/>
    <xf numFmtId="0" fontId="150" fillId="29" borderId="0" applyNumberFormat="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9" fillId="0" borderId="0" applyNumberFormat="0" applyFill="0" applyBorder="0" applyAlignment="0" applyProtection="0"/>
    <xf numFmtId="0" fontId="154" fillId="30" borderId="1" applyNumberFormat="0" applyAlignment="0" applyProtection="0"/>
    <xf numFmtId="0" fontId="155" fillId="0" borderId="6" applyNumberFormat="0" applyFill="0" applyAlignment="0" applyProtection="0"/>
    <xf numFmtId="0" fontId="156" fillId="31" borderId="0" applyNumberFormat="0" applyBorder="0" applyAlignment="0" applyProtection="0"/>
    <xf numFmtId="0" fontId="0" fillId="32" borderId="7" applyNumberFormat="0" applyFont="0" applyAlignment="0" applyProtection="0"/>
    <xf numFmtId="0" fontId="157" fillId="27" borderId="8" applyNumberFormat="0" applyAlignment="0" applyProtection="0"/>
    <xf numFmtId="9" fontId="0" fillId="0" borderId="0" applyFont="0" applyFill="0" applyBorder="0" applyAlignment="0" applyProtection="0"/>
    <xf numFmtId="0" fontId="158" fillId="0" borderId="0" applyNumberFormat="0" applyFill="0" applyBorder="0" applyAlignment="0" applyProtection="0"/>
    <xf numFmtId="0" fontId="159" fillId="0" borderId="9" applyNumberFormat="0" applyFill="0" applyAlignment="0" applyProtection="0"/>
    <xf numFmtId="0" fontId="160" fillId="0" borderId="0" applyNumberFormat="0" applyFill="0" applyBorder="0" applyAlignment="0" applyProtection="0"/>
  </cellStyleXfs>
  <cellXfs count="1655">
    <xf numFmtId="0" fontId="0" fillId="0" borderId="0" xfId="0" applyAlignment="1">
      <alignment/>
    </xf>
    <xf numFmtId="0" fontId="7" fillId="0" borderId="0" xfId="0" applyFont="1" applyAlignment="1">
      <alignment/>
    </xf>
    <xf numFmtId="0" fontId="17" fillId="0" borderId="0" xfId="0" applyFont="1" applyAlignment="1">
      <alignment/>
    </xf>
    <xf numFmtId="0" fontId="18" fillId="0" borderId="0" xfId="0" applyFont="1" applyAlignment="1">
      <alignment/>
    </xf>
    <xf numFmtId="0" fontId="18" fillId="0" borderId="0" xfId="0" applyFont="1" applyAlignment="1">
      <alignment horizontal="left" vertical="center"/>
    </xf>
    <xf numFmtId="0" fontId="7" fillId="0" borderId="0" xfId="0" applyFont="1" applyAlignment="1">
      <alignment/>
    </xf>
    <xf numFmtId="49" fontId="18" fillId="0" borderId="0" xfId="0" applyNumberFormat="1" applyFont="1" applyAlignment="1">
      <alignment horizontal="right" vertical="center"/>
    </xf>
    <xf numFmtId="0" fontId="7" fillId="0" borderId="0" xfId="0" applyFont="1" applyAlignment="1">
      <alignment horizontal="centerContinuous" wrapText="1"/>
    </xf>
    <xf numFmtId="0" fontId="18" fillId="0" borderId="0" xfId="0" applyFont="1" applyAlignment="1">
      <alignment horizontal="centerContinuous" wrapText="1"/>
    </xf>
    <xf numFmtId="0" fontId="7" fillId="0" borderId="0" xfId="0" applyFont="1" applyAlignment="1" applyProtection="1">
      <alignment/>
      <protection/>
    </xf>
    <xf numFmtId="0" fontId="7"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Alignment="1">
      <alignment vertical="center"/>
    </xf>
    <xf numFmtId="173" fontId="7" fillId="0" borderId="0" xfId="0" applyNumberFormat="1" applyFont="1" applyAlignment="1">
      <alignment/>
    </xf>
    <xf numFmtId="38" fontId="0" fillId="0" borderId="0" xfId="0" applyNumberFormat="1" applyAlignment="1">
      <alignment/>
    </xf>
    <xf numFmtId="49" fontId="8" fillId="0" borderId="0" xfId="0" applyNumberFormat="1" applyFont="1" applyAlignment="1">
      <alignment horizontal="center"/>
    </xf>
    <xf numFmtId="0" fontId="0" fillId="0" borderId="0" xfId="0" applyFill="1" applyAlignment="1">
      <alignment/>
    </xf>
    <xf numFmtId="0" fontId="7" fillId="0" borderId="0" xfId="0" applyFont="1" applyFill="1" applyAlignment="1">
      <alignment/>
    </xf>
    <xf numFmtId="0" fontId="18" fillId="33" borderId="0" xfId="0" applyFont="1" applyFill="1" applyBorder="1" applyAlignment="1">
      <alignment/>
    </xf>
    <xf numFmtId="0" fontId="7" fillId="34" borderId="0" xfId="0" applyFont="1" applyFill="1" applyAlignment="1">
      <alignment/>
    </xf>
    <xf numFmtId="0" fontId="0" fillId="34" borderId="0" xfId="0" applyFill="1" applyAlignment="1">
      <alignment/>
    </xf>
    <xf numFmtId="0" fontId="18" fillId="35" borderId="0" xfId="0" applyFont="1" applyFill="1" applyBorder="1" applyAlignment="1">
      <alignment horizontal="center"/>
    </xf>
    <xf numFmtId="0" fontId="18" fillId="35" borderId="0" xfId="0" applyFont="1" applyFill="1" applyBorder="1" applyAlignment="1">
      <alignment/>
    </xf>
    <xf numFmtId="0" fontId="18" fillId="33" borderId="0" xfId="0" applyFont="1" applyFill="1" applyBorder="1" applyAlignment="1">
      <alignment horizontal="center"/>
    </xf>
    <xf numFmtId="0" fontId="45" fillId="34" borderId="0" xfId="0" applyFont="1" applyFill="1" applyBorder="1" applyAlignment="1">
      <alignment/>
    </xf>
    <xf numFmtId="0" fontId="7" fillId="34" borderId="0" xfId="0" applyFont="1" applyFill="1" applyBorder="1" applyAlignment="1">
      <alignment/>
    </xf>
    <xf numFmtId="0" fontId="8" fillId="34" borderId="0" xfId="0" applyFont="1" applyFill="1" applyBorder="1" applyAlignment="1">
      <alignment/>
    </xf>
    <xf numFmtId="0" fontId="21" fillId="34" borderId="0" xfId="0" applyFont="1" applyFill="1" applyBorder="1" applyAlignment="1">
      <alignment/>
    </xf>
    <xf numFmtId="0" fontId="18" fillId="34" borderId="0" xfId="0" applyFont="1"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7" fillId="34" borderId="13" xfId="0" applyFont="1" applyFill="1" applyBorder="1" applyAlignment="1">
      <alignment/>
    </xf>
    <xf numFmtId="0" fontId="7" fillId="34" borderId="14" xfId="0" applyFont="1" applyFill="1" applyBorder="1" applyAlignment="1">
      <alignment/>
    </xf>
    <xf numFmtId="0" fontId="0" fillId="34" borderId="13" xfId="0" applyFill="1" applyBorder="1" applyAlignment="1">
      <alignment/>
    </xf>
    <xf numFmtId="0" fontId="18" fillId="34" borderId="14" xfId="0" applyFont="1" applyFill="1" applyBorder="1" applyAlignment="1">
      <alignment/>
    </xf>
    <xf numFmtId="0" fontId="44" fillId="34" borderId="13" xfId="0" applyFont="1" applyFill="1" applyBorder="1" applyAlignment="1">
      <alignment horizontal="center"/>
    </xf>
    <xf numFmtId="0" fontId="43" fillId="34" borderId="14" xfId="0" applyFont="1" applyFill="1" applyBorder="1" applyAlignment="1">
      <alignment horizontal="center"/>
    </xf>
    <xf numFmtId="0" fontId="0" fillId="34" borderId="15" xfId="0" applyFill="1" applyBorder="1" applyAlignment="1">
      <alignment/>
    </xf>
    <xf numFmtId="0" fontId="18" fillId="34" borderId="16" xfId="0" applyFont="1" applyFill="1" applyBorder="1" applyAlignment="1">
      <alignment/>
    </xf>
    <xf numFmtId="0" fontId="18" fillId="34" borderId="17" xfId="0" applyFont="1" applyFill="1" applyBorder="1" applyAlignment="1">
      <alignment/>
    </xf>
    <xf numFmtId="0" fontId="7" fillId="34" borderId="0" xfId="0" applyFont="1" applyFill="1" applyAlignment="1">
      <alignment vertical="center"/>
    </xf>
    <xf numFmtId="0" fontId="11" fillId="34" borderId="0" xfId="0" applyFont="1" applyFill="1" applyBorder="1" applyAlignment="1" applyProtection="1">
      <alignment horizontal="center" wrapText="1"/>
      <protection/>
    </xf>
    <xf numFmtId="0" fontId="7" fillId="34" borderId="0" xfId="0" applyFont="1" applyFill="1" applyBorder="1" applyAlignment="1">
      <alignment horizontal="center"/>
    </xf>
    <xf numFmtId="0" fontId="18" fillId="34" borderId="0" xfId="0" applyFont="1" applyFill="1" applyBorder="1" applyAlignment="1" applyProtection="1">
      <alignment/>
      <protection locked="0"/>
    </xf>
    <xf numFmtId="0" fontId="14" fillId="34" borderId="0" xfId="0" applyFont="1" applyFill="1" applyBorder="1" applyAlignment="1">
      <alignment horizontal="center" vertical="center"/>
    </xf>
    <xf numFmtId="0" fontId="18" fillId="34" borderId="0" xfId="0" applyFont="1" applyFill="1" applyBorder="1" applyAlignment="1" applyProtection="1">
      <alignment vertical="center"/>
      <protection locked="0"/>
    </xf>
    <xf numFmtId="0" fontId="11" fillId="34" borderId="0" xfId="0" applyFont="1" applyFill="1" applyBorder="1" applyAlignment="1">
      <alignment horizontal="center"/>
    </xf>
    <xf numFmtId="0" fontId="7" fillId="34" borderId="0" xfId="0" applyFont="1" applyFill="1" applyAlignment="1" applyProtection="1">
      <alignment/>
      <protection/>
    </xf>
    <xf numFmtId="0" fontId="16" fillId="34" borderId="0" xfId="0" applyFont="1" applyFill="1" applyAlignment="1" applyProtection="1">
      <alignment/>
      <protection/>
    </xf>
    <xf numFmtId="0" fontId="7" fillId="34" borderId="0" xfId="0" applyFont="1" applyFill="1" applyAlignment="1" applyProtection="1">
      <alignment vertical="center"/>
      <protection/>
    </xf>
    <xf numFmtId="0" fontId="7" fillId="34" borderId="0" xfId="0" applyFont="1" applyFill="1" applyBorder="1" applyAlignment="1" applyProtection="1">
      <alignment/>
      <protection/>
    </xf>
    <xf numFmtId="0" fontId="7" fillId="34" borderId="0" xfId="0" applyFont="1" applyFill="1" applyBorder="1" applyAlignment="1" applyProtection="1">
      <alignment horizontal="centerContinuous" wrapText="1"/>
      <protection/>
    </xf>
    <xf numFmtId="0" fontId="7" fillId="34" borderId="11" xfId="0" applyFont="1" applyFill="1" applyBorder="1" applyAlignment="1" applyProtection="1">
      <alignment/>
      <protection/>
    </xf>
    <xf numFmtId="0" fontId="7" fillId="34" borderId="16" xfId="0" applyFont="1" applyFill="1" applyBorder="1" applyAlignment="1" applyProtection="1">
      <alignment/>
      <protection/>
    </xf>
    <xf numFmtId="6" fontId="15" fillId="36" borderId="0" xfId="0" applyNumberFormat="1" applyFont="1" applyFill="1" applyBorder="1" applyAlignment="1" applyProtection="1">
      <alignment/>
      <protection/>
    </xf>
    <xf numFmtId="0" fontId="11" fillId="34" borderId="0" xfId="0" applyFont="1" applyFill="1" applyBorder="1" applyAlignment="1" applyProtection="1">
      <alignment horizontal="center"/>
      <protection/>
    </xf>
    <xf numFmtId="0" fontId="12" fillId="34" borderId="0" xfId="0" applyFont="1" applyFill="1" applyBorder="1" applyAlignment="1" applyProtection="1">
      <alignment/>
      <protection/>
    </xf>
    <xf numFmtId="0" fontId="15" fillId="34" borderId="0" xfId="0" applyFont="1" applyFill="1" applyBorder="1" applyAlignment="1" applyProtection="1">
      <alignment/>
      <protection/>
    </xf>
    <xf numFmtId="6" fontId="7" fillId="34" borderId="0" xfId="0" applyNumberFormat="1" applyFont="1" applyFill="1" applyBorder="1" applyAlignment="1" applyProtection="1">
      <alignment/>
      <protection/>
    </xf>
    <xf numFmtId="6" fontId="15" fillId="34" borderId="0" xfId="0" applyNumberFormat="1" applyFont="1" applyFill="1" applyBorder="1" applyAlignment="1" applyProtection="1">
      <alignment/>
      <protection/>
    </xf>
    <xf numFmtId="0" fontId="6" fillId="34" borderId="0" xfId="0" applyNumberFormat="1" applyFont="1" applyFill="1" applyBorder="1" applyAlignment="1" applyProtection="1">
      <alignment horizontal="center" wrapText="1"/>
      <protection/>
    </xf>
    <xf numFmtId="0" fontId="7" fillId="34" borderId="0" xfId="0" applyFont="1" applyFill="1" applyBorder="1" applyAlignment="1" applyProtection="1">
      <alignment horizontal="center" wrapText="1"/>
      <protection/>
    </xf>
    <xf numFmtId="6" fontId="11" fillId="34" borderId="0" xfId="0" applyNumberFormat="1" applyFont="1" applyFill="1" applyBorder="1" applyAlignment="1" applyProtection="1">
      <alignment/>
      <protection/>
    </xf>
    <xf numFmtId="0" fontId="11" fillId="34" borderId="0" xfId="0" applyFont="1" applyFill="1" applyBorder="1" applyAlignment="1">
      <alignment horizontal="right"/>
    </xf>
    <xf numFmtId="42" fontId="7" fillId="37" borderId="18" xfId="0" applyNumberFormat="1" applyFont="1" applyFill="1" applyBorder="1" applyAlignment="1" applyProtection="1">
      <alignment/>
      <protection/>
    </xf>
    <xf numFmtId="6" fontId="11" fillId="0" borderId="19" xfId="0" applyNumberFormat="1" applyFont="1" applyFill="1" applyBorder="1" applyAlignment="1" applyProtection="1">
      <alignment/>
      <protection/>
    </xf>
    <xf numFmtId="6" fontId="11" fillId="0" borderId="20" xfId="0" applyNumberFormat="1" applyFont="1" applyFill="1" applyBorder="1" applyAlignment="1" applyProtection="1">
      <alignment/>
      <protection/>
    </xf>
    <xf numFmtId="0" fontId="7" fillId="0" borderId="20" xfId="0" applyFont="1" applyFill="1" applyBorder="1" applyAlignment="1" applyProtection="1">
      <alignment/>
      <protection/>
    </xf>
    <xf numFmtId="0" fontId="0" fillId="33" borderId="0" xfId="0" applyFill="1" applyBorder="1" applyAlignment="1">
      <alignment/>
    </xf>
    <xf numFmtId="0" fontId="7" fillId="33" borderId="0" xfId="0" applyFont="1" applyFill="1" applyBorder="1" applyAlignment="1">
      <alignment/>
    </xf>
    <xf numFmtId="0" fontId="12" fillId="36" borderId="0" xfId="0" applyFont="1" applyFill="1" applyBorder="1" applyAlignment="1">
      <alignment vertical="center"/>
    </xf>
    <xf numFmtId="0" fontId="12" fillId="36" borderId="21" xfId="0" applyFont="1" applyFill="1" applyBorder="1" applyAlignment="1" applyProtection="1">
      <alignment vertical="center"/>
      <protection/>
    </xf>
    <xf numFmtId="0" fontId="15" fillId="36" borderId="0" xfId="0" applyFont="1" applyFill="1" applyBorder="1" applyAlignment="1" applyProtection="1">
      <alignment/>
      <protection/>
    </xf>
    <xf numFmtId="42" fontId="15" fillId="36" borderId="0" xfId="0" applyNumberFormat="1" applyFont="1" applyFill="1" applyBorder="1" applyAlignment="1" applyProtection="1">
      <alignment/>
      <protection/>
    </xf>
    <xf numFmtId="42" fontId="15" fillId="36" borderId="0" xfId="0" applyNumberFormat="1" applyFont="1" applyFill="1" applyBorder="1" applyAlignment="1" applyProtection="1">
      <alignment/>
      <protection/>
    </xf>
    <xf numFmtId="0" fontId="21" fillId="33" borderId="22" xfId="0" applyFont="1" applyFill="1" applyBorder="1" applyAlignment="1">
      <alignment/>
    </xf>
    <xf numFmtId="0" fontId="21" fillId="33" borderId="23" xfId="0" applyFont="1" applyFill="1" applyBorder="1" applyAlignment="1">
      <alignment/>
    </xf>
    <xf numFmtId="0" fontId="8" fillId="33" borderId="23" xfId="0" applyFont="1" applyFill="1" applyBorder="1" applyAlignment="1">
      <alignment/>
    </xf>
    <xf numFmtId="0" fontId="18" fillId="33" borderId="21" xfId="0" applyFont="1" applyFill="1" applyBorder="1" applyAlignment="1">
      <alignment/>
    </xf>
    <xf numFmtId="0" fontId="14" fillId="33" borderId="0" xfId="0" applyFont="1" applyFill="1" applyBorder="1" applyAlignment="1">
      <alignment horizontal="right"/>
    </xf>
    <xf numFmtId="0" fontId="18" fillId="33" borderId="24" xfId="0" applyFont="1" applyFill="1" applyBorder="1" applyAlignment="1">
      <alignment/>
    </xf>
    <xf numFmtId="0" fontId="18" fillId="33" borderId="25" xfId="0" applyFont="1" applyFill="1" applyBorder="1" applyAlignment="1">
      <alignment/>
    </xf>
    <xf numFmtId="0" fontId="7" fillId="33" borderId="23" xfId="0" applyFont="1" applyFill="1" applyBorder="1" applyAlignment="1">
      <alignment/>
    </xf>
    <xf numFmtId="0" fontId="7" fillId="33" borderId="26" xfId="0" applyFont="1" applyFill="1" applyBorder="1" applyAlignment="1">
      <alignment/>
    </xf>
    <xf numFmtId="0" fontId="18" fillId="33" borderId="27" xfId="0" applyFont="1" applyFill="1" applyBorder="1" applyAlignment="1">
      <alignment/>
    </xf>
    <xf numFmtId="0" fontId="18" fillId="33" borderId="28" xfId="0" applyFont="1" applyFill="1" applyBorder="1" applyAlignment="1">
      <alignment/>
    </xf>
    <xf numFmtId="0" fontId="18" fillId="33" borderId="22" xfId="0" applyFont="1" applyFill="1" applyBorder="1" applyAlignment="1">
      <alignment/>
    </xf>
    <xf numFmtId="0" fontId="18" fillId="33" borderId="23" xfId="0" applyFont="1" applyFill="1" applyBorder="1" applyAlignment="1">
      <alignment/>
    </xf>
    <xf numFmtId="0" fontId="18" fillId="33" borderId="26" xfId="0" applyFont="1" applyFill="1" applyBorder="1" applyAlignment="1">
      <alignment/>
    </xf>
    <xf numFmtId="0" fontId="0" fillId="33" borderId="0" xfId="0" applyFill="1" applyBorder="1" applyAlignment="1">
      <alignment/>
    </xf>
    <xf numFmtId="0" fontId="1" fillId="33" borderId="0" xfId="0" applyFont="1" applyFill="1" applyBorder="1" applyAlignment="1">
      <alignment/>
    </xf>
    <xf numFmtId="0" fontId="0" fillId="33" borderId="0" xfId="0" applyFill="1" applyBorder="1" applyAlignment="1">
      <alignment horizontal="left" vertical="top"/>
    </xf>
    <xf numFmtId="0" fontId="18" fillId="33" borderId="0" xfId="0" applyFont="1" applyFill="1" applyBorder="1" applyAlignment="1">
      <alignment vertical="center"/>
    </xf>
    <xf numFmtId="0" fontId="18" fillId="33" borderId="0" xfId="0" applyFont="1" applyFill="1" applyBorder="1" applyAlignment="1">
      <alignment horizontal="center" wrapText="1"/>
    </xf>
    <xf numFmtId="0" fontId="18" fillId="33" borderId="0" xfId="0" applyFont="1" applyFill="1" applyBorder="1" applyAlignment="1">
      <alignment vertical="center"/>
    </xf>
    <xf numFmtId="0" fontId="18" fillId="33" borderId="0" xfId="0" applyFont="1" applyFill="1" applyBorder="1" applyAlignment="1">
      <alignment horizontal="left" vertical="center"/>
    </xf>
    <xf numFmtId="0" fontId="18" fillId="33" borderId="25" xfId="0" applyFont="1" applyFill="1" applyBorder="1" applyAlignment="1" applyProtection="1">
      <alignment/>
      <protection locked="0"/>
    </xf>
    <xf numFmtId="0" fontId="14" fillId="33" borderId="25" xfId="0" applyFont="1" applyFill="1" applyBorder="1" applyAlignment="1">
      <alignment horizontal="center" vertical="center"/>
    </xf>
    <xf numFmtId="0" fontId="18" fillId="33" borderId="25" xfId="0" applyFont="1" applyFill="1" applyBorder="1" applyAlignment="1" applyProtection="1">
      <alignment vertical="center"/>
      <protection locked="0"/>
    </xf>
    <xf numFmtId="0" fontId="18" fillId="35" borderId="0" xfId="0" applyFont="1" applyFill="1" applyBorder="1" applyAlignment="1" applyProtection="1">
      <alignment/>
      <protection locked="0"/>
    </xf>
    <xf numFmtId="0" fontId="18" fillId="35" borderId="0" xfId="0" applyFont="1" applyFill="1" applyBorder="1" applyAlignment="1" applyProtection="1">
      <alignment vertical="center"/>
      <protection locked="0"/>
    </xf>
    <xf numFmtId="0" fontId="8" fillId="33" borderId="0" xfId="0" applyFont="1" applyFill="1" applyBorder="1" applyAlignment="1">
      <alignment/>
    </xf>
    <xf numFmtId="0" fontId="6" fillId="33" borderId="21" xfId="0" applyFont="1" applyFill="1" applyBorder="1" applyAlignment="1" applyProtection="1">
      <alignment horizontal="center" wrapText="1"/>
      <protection/>
    </xf>
    <xf numFmtId="0" fontId="7" fillId="33" borderId="0" xfId="0" applyFont="1" applyFill="1" applyBorder="1" applyAlignment="1">
      <alignment horizontal="right"/>
    </xf>
    <xf numFmtId="0" fontId="11" fillId="33" borderId="21" xfId="0" applyFont="1" applyFill="1" applyBorder="1" applyAlignment="1" applyProtection="1">
      <alignment horizontal="center" wrapText="1"/>
      <protection/>
    </xf>
    <xf numFmtId="0" fontId="6" fillId="33" borderId="29" xfId="0" applyFont="1" applyFill="1" applyBorder="1" applyAlignment="1" applyProtection="1">
      <alignment horizontal="center" wrapText="1"/>
      <protection/>
    </xf>
    <xf numFmtId="0" fontId="6" fillId="33" borderId="21" xfId="0" applyFont="1" applyFill="1" applyBorder="1" applyAlignment="1" applyProtection="1">
      <alignment horizontal="center" wrapText="1"/>
      <protection/>
    </xf>
    <xf numFmtId="0" fontId="11" fillId="33" borderId="21" xfId="0" applyFont="1" applyFill="1" applyBorder="1" applyAlignment="1" applyProtection="1">
      <alignment horizontal="center" vertical="center" wrapText="1"/>
      <protection/>
    </xf>
    <xf numFmtId="0" fontId="11" fillId="33" borderId="29" xfId="0" applyFont="1" applyFill="1" applyBorder="1" applyAlignment="1" applyProtection="1">
      <alignment horizontal="center" vertical="center" wrapText="1"/>
      <protection/>
    </xf>
    <xf numFmtId="0" fontId="0" fillId="33" borderId="30" xfId="0" applyFill="1" applyBorder="1" applyAlignment="1" applyProtection="1">
      <alignment vertical="top" wrapText="1"/>
      <protection/>
    </xf>
    <xf numFmtId="6" fontId="7" fillId="33" borderId="30" xfId="0" applyNumberFormat="1" applyFont="1" applyFill="1" applyBorder="1" applyAlignment="1" applyProtection="1">
      <alignment/>
      <protection/>
    </xf>
    <xf numFmtId="0" fontId="0" fillId="33" borderId="0" xfId="0" applyFill="1" applyBorder="1" applyAlignment="1" applyProtection="1">
      <alignment wrapText="1"/>
      <protection/>
    </xf>
    <xf numFmtId="42" fontId="60" fillId="35" borderId="31" xfId="0" applyNumberFormat="1" applyFont="1" applyFill="1" applyBorder="1" applyAlignment="1" applyProtection="1">
      <alignment/>
      <protection locked="0"/>
    </xf>
    <xf numFmtId="42" fontId="60" fillId="35" borderId="32" xfId="0" applyNumberFormat="1" applyFont="1" applyFill="1" applyBorder="1" applyAlignment="1" applyProtection="1">
      <alignment/>
      <protection locked="0"/>
    </xf>
    <xf numFmtId="42" fontId="60" fillId="35" borderId="33" xfId="0" applyNumberFormat="1" applyFont="1" applyFill="1" applyBorder="1" applyAlignment="1" applyProtection="1">
      <alignment/>
      <protection locked="0"/>
    </xf>
    <xf numFmtId="42" fontId="60" fillId="35" borderId="34" xfId="0" applyNumberFormat="1" applyFont="1" applyFill="1" applyBorder="1" applyAlignment="1" applyProtection="1">
      <alignment/>
      <protection locked="0"/>
    </xf>
    <xf numFmtId="42" fontId="60" fillId="35" borderId="35" xfId="0" applyNumberFormat="1" applyFont="1" applyFill="1" applyBorder="1" applyAlignment="1" applyProtection="1">
      <alignment/>
      <protection locked="0"/>
    </xf>
    <xf numFmtId="42" fontId="60" fillId="35" borderId="36" xfId="0" applyNumberFormat="1" applyFont="1" applyFill="1" applyBorder="1" applyAlignment="1" applyProtection="1">
      <alignment/>
      <protection locked="0"/>
    </xf>
    <xf numFmtId="42" fontId="60" fillId="35" borderId="37" xfId="0" applyNumberFormat="1" applyFont="1" applyFill="1" applyBorder="1" applyAlignment="1" applyProtection="1">
      <alignment/>
      <protection locked="0"/>
    </xf>
    <xf numFmtId="42" fontId="60" fillId="35" borderId="38" xfId="0" applyNumberFormat="1" applyFont="1" applyFill="1" applyBorder="1" applyAlignment="1" applyProtection="1">
      <alignment/>
      <protection locked="0"/>
    </xf>
    <xf numFmtId="42" fontId="60" fillId="35" borderId="39" xfId="0" applyNumberFormat="1" applyFont="1" applyFill="1" applyBorder="1" applyAlignment="1" applyProtection="1">
      <alignment/>
      <protection locked="0"/>
    </xf>
    <xf numFmtId="0" fontId="7" fillId="33" borderId="0" xfId="0" applyFont="1" applyFill="1" applyBorder="1" applyAlignment="1">
      <alignment horizontal="center"/>
    </xf>
    <xf numFmtId="6" fontId="7" fillId="33" borderId="0" xfId="0" applyNumberFormat="1" applyFont="1" applyFill="1" applyBorder="1" applyAlignment="1" applyProtection="1">
      <alignment/>
      <protection/>
    </xf>
    <xf numFmtId="42" fontId="60" fillId="35" borderId="40" xfId="0" applyNumberFormat="1" applyFont="1" applyFill="1" applyBorder="1" applyAlignment="1" applyProtection="1">
      <alignment/>
      <protection locked="0"/>
    </xf>
    <xf numFmtId="42" fontId="60" fillId="35" borderId="41" xfId="0" applyNumberFormat="1" applyFont="1" applyFill="1" applyBorder="1" applyAlignment="1" applyProtection="1">
      <alignment/>
      <protection locked="0"/>
    </xf>
    <xf numFmtId="42" fontId="60" fillId="35" borderId="42" xfId="0" applyNumberFormat="1" applyFont="1" applyFill="1" applyBorder="1" applyAlignment="1" applyProtection="1">
      <alignment/>
      <protection locked="0"/>
    </xf>
    <xf numFmtId="42" fontId="60" fillId="35" borderId="43" xfId="0" applyNumberFormat="1" applyFont="1" applyFill="1" applyBorder="1" applyAlignment="1" applyProtection="1">
      <alignment/>
      <protection locked="0"/>
    </xf>
    <xf numFmtId="42" fontId="60" fillId="35" borderId="44" xfId="0" applyNumberFormat="1" applyFont="1" applyFill="1" applyBorder="1" applyAlignment="1" applyProtection="1">
      <alignment/>
      <protection locked="0"/>
    </xf>
    <xf numFmtId="42" fontId="60" fillId="35" borderId="45" xfId="0" applyNumberFormat="1" applyFont="1" applyFill="1" applyBorder="1" applyAlignment="1" applyProtection="1">
      <alignment/>
      <protection locked="0"/>
    </xf>
    <xf numFmtId="42" fontId="60" fillId="35" borderId="46" xfId="0" applyNumberFormat="1" applyFont="1" applyFill="1" applyBorder="1" applyAlignment="1" applyProtection="1">
      <alignment/>
      <protection locked="0"/>
    </xf>
    <xf numFmtId="42" fontId="60" fillId="35" borderId="47" xfId="0" applyNumberFormat="1" applyFont="1" applyFill="1" applyBorder="1" applyAlignment="1" applyProtection="1">
      <alignment/>
      <protection locked="0"/>
    </xf>
    <xf numFmtId="42" fontId="60" fillId="35" borderId="48" xfId="0" applyNumberFormat="1" applyFont="1" applyFill="1" applyBorder="1" applyAlignment="1" applyProtection="1">
      <alignment/>
      <protection locked="0"/>
    </xf>
    <xf numFmtId="42" fontId="60" fillId="35" borderId="49" xfId="0" applyNumberFormat="1" applyFont="1" applyFill="1" applyBorder="1" applyAlignment="1" applyProtection="1">
      <alignment/>
      <protection locked="0"/>
    </xf>
    <xf numFmtId="0" fontId="11" fillId="33" borderId="0" xfId="0" applyFont="1" applyFill="1" applyBorder="1" applyAlignment="1">
      <alignment horizontal="center"/>
    </xf>
    <xf numFmtId="6" fontId="19" fillId="33" borderId="50" xfId="0" applyNumberFormat="1" applyFont="1" applyFill="1" applyBorder="1" applyAlignment="1" applyProtection="1">
      <alignment horizontal="right"/>
      <protection/>
    </xf>
    <xf numFmtId="0" fontId="7" fillId="33" borderId="0" xfId="0" applyFont="1" applyFill="1" applyBorder="1" applyAlignment="1" applyProtection="1">
      <alignment wrapText="1"/>
      <protection/>
    </xf>
    <xf numFmtId="0" fontId="0" fillId="33" borderId="0" xfId="0" applyFill="1" applyBorder="1" applyAlignment="1" applyProtection="1">
      <alignment vertical="top" wrapText="1"/>
      <protection/>
    </xf>
    <xf numFmtId="0" fontId="27" fillId="33" borderId="0" xfId="0" applyNumberFormat="1" applyFont="1" applyFill="1" applyBorder="1" applyAlignment="1" applyProtection="1">
      <alignment/>
      <protection/>
    </xf>
    <xf numFmtId="0" fontId="7" fillId="33" borderId="21" xfId="0" applyFont="1" applyFill="1" applyBorder="1" applyAlignment="1" applyProtection="1">
      <alignment horizontal="center" wrapText="1"/>
      <protection/>
    </xf>
    <xf numFmtId="0" fontId="11" fillId="33" borderId="51" xfId="0" applyFont="1" applyFill="1" applyBorder="1" applyAlignment="1" applyProtection="1">
      <alignment horizontal="center"/>
      <protection/>
    </xf>
    <xf numFmtId="0" fontId="12" fillId="33" borderId="0" xfId="0" applyFont="1" applyFill="1" applyBorder="1" applyAlignment="1" applyProtection="1">
      <alignment/>
      <protection/>
    </xf>
    <xf numFmtId="42" fontId="7" fillId="33" borderId="52" xfId="0" applyNumberFormat="1" applyFont="1" applyFill="1" applyBorder="1" applyAlignment="1" applyProtection="1">
      <alignment/>
      <protection/>
    </xf>
    <xf numFmtId="42" fontId="7" fillId="33" borderId="0" xfId="0" applyNumberFormat="1" applyFont="1" applyFill="1" applyBorder="1" applyAlignment="1" applyProtection="1">
      <alignment/>
      <protection/>
    </xf>
    <xf numFmtId="42" fontId="11" fillId="33" borderId="53" xfId="0" applyNumberFormat="1" applyFont="1" applyFill="1" applyBorder="1" applyAlignment="1" applyProtection="1">
      <alignment/>
      <protection/>
    </xf>
    <xf numFmtId="0" fontId="7" fillId="33" borderId="54" xfId="0" applyFont="1" applyFill="1" applyBorder="1" applyAlignment="1">
      <alignment/>
    </xf>
    <xf numFmtId="0" fontId="7" fillId="33" borderId="39" xfId="0" applyFont="1" applyFill="1" applyBorder="1" applyAlignment="1">
      <alignment/>
    </xf>
    <xf numFmtId="0" fontId="7" fillId="33" borderId="55" xfId="0" applyFont="1" applyFill="1" applyBorder="1" applyAlignment="1">
      <alignment/>
    </xf>
    <xf numFmtId="0" fontId="7" fillId="33" borderId="56" xfId="0" applyFont="1" applyFill="1" applyBorder="1" applyAlignment="1">
      <alignment/>
    </xf>
    <xf numFmtId="0" fontId="11" fillId="33" borderId="54" xfId="0" applyFont="1" applyFill="1" applyBorder="1" applyAlignment="1">
      <alignment horizontal="center"/>
    </xf>
    <xf numFmtId="0" fontId="11" fillId="33" borderId="57" xfId="0" applyFont="1" applyFill="1" applyBorder="1" applyAlignment="1">
      <alignment horizontal="center"/>
    </xf>
    <xf numFmtId="0" fontId="7" fillId="33" borderId="57" xfId="0" applyFont="1" applyFill="1" applyBorder="1" applyAlignment="1">
      <alignment/>
    </xf>
    <xf numFmtId="0" fontId="7" fillId="33" borderId="33" xfId="0" applyFont="1" applyFill="1" applyBorder="1" applyAlignment="1">
      <alignment/>
    </xf>
    <xf numFmtId="0" fontId="7" fillId="33" borderId="58" xfId="0" applyFont="1" applyFill="1" applyBorder="1" applyAlignment="1" applyProtection="1">
      <alignment horizontal="center" wrapText="1"/>
      <protection/>
    </xf>
    <xf numFmtId="0" fontId="7" fillId="33" borderId="33" xfId="0" applyFont="1" applyFill="1" applyBorder="1" applyAlignment="1" applyProtection="1">
      <alignment horizontal="center" wrapText="1"/>
      <protection/>
    </xf>
    <xf numFmtId="0" fontId="7" fillId="33" borderId="55" xfId="0" applyFont="1" applyFill="1" applyBorder="1" applyAlignment="1" applyProtection="1">
      <alignment horizontal="center" wrapText="1"/>
      <protection/>
    </xf>
    <xf numFmtId="0" fontId="6" fillId="33" borderId="55" xfId="0" applyNumberFormat="1" applyFont="1" applyFill="1" applyBorder="1" applyAlignment="1" applyProtection="1">
      <alignment horizontal="center" wrapText="1"/>
      <protection/>
    </xf>
    <xf numFmtId="0" fontId="11" fillId="33" borderId="55" xfId="0" applyFont="1" applyFill="1" applyBorder="1" applyAlignment="1" applyProtection="1">
      <alignment horizontal="center" wrapText="1"/>
      <protection/>
    </xf>
    <xf numFmtId="0" fontId="11" fillId="33" borderId="55" xfId="0" applyFont="1" applyFill="1" applyBorder="1" applyAlignment="1" applyProtection="1">
      <alignment horizontal="center"/>
      <protection/>
    </xf>
    <xf numFmtId="0" fontId="11" fillId="33" borderId="59" xfId="0" applyFont="1" applyFill="1" applyBorder="1" applyAlignment="1" applyProtection="1">
      <alignment horizontal="center"/>
      <protection/>
    </xf>
    <xf numFmtId="0" fontId="11" fillId="33" borderId="39" xfId="0" applyFont="1" applyFill="1" applyBorder="1" applyAlignment="1" applyProtection="1">
      <alignment horizontal="center"/>
      <protection/>
    </xf>
    <xf numFmtId="0" fontId="7" fillId="33" borderId="31" xfId="0" applyFont="1" applyFill="1" applyBorder="1" applyAlignment="1" applyProtection="1">
      <alignment horizontal="center" wrapText="1"/>
      <protection/>
    </xf>
    <xf numFmtId="0" fontId="7" fillId="33" borderId="56" xfId="0" applyFont="1" applyFill="1" applyBorder="1" applyAlignment="1" applyProtection="1">
      <alignment horizontal="center" wrapText="1"/>
      <protection/>
    </xf>
    <xf numFmtId="0" fontId="6" fillId="33" borderId="56" xfId="0" applyNumberFormat="1" applyFont="1" applyFill="1" applyBorder="1" applyAlignment="1" applyProtection="1">
      <alignment horizontal="center" wrapText="1"/>
      <protection/>
    </xf>
    <xf numFmtId="0" fontId="11" fillId="33" borderId="56" xfId="0" applyFont="1" applyFill="1" applyBorder="1" applyAlignment="1" applyProtection="1">
      <alignment horizontal="center" wrapText="1"/>
      <protection/>
    </xf>
    <xf numFmtId="0" fontId="11" fillId="33" borderId="56" xfId="0" applyFont="1" applyFill="1" applyBorder="1" applyAlignment="1" applyProtection="1">
      <alignment horizontal="center"/>
      <protection/>
    </xf>
    <xf numFmtId="0" fontId="11" fillId="33" borderId="37" xfId="0" applyFont="1" applyFill="1" applyBorder="1" applyAlignment="1" applyProtection="1">
      <alignment horizontal="center"/>
      <protection/>
    </xf>
    <xf numFmtId="0" fontId="11" fillId="33" borderId="57" xfId="0" applyFont="1" applyFill="1" applyBorder="1" applyAlignment="1" applyProtection="1">
      <alignment horizontal="center"/>
      <protection/>
    </xf>
    <xf numFmtId="0" fontId="11" fillId="33" borderId="33" xfId="0" applyFont="1" applyFill="1" applyBorder="1" applyAlignment="1" applyProtection="1">
      <alignment horizontal="center"/>
      <protection/>
    </xf>
    <xf numFmtId="0" fontId="12" fillId="33" borderId="55" xfId="0" applyFont="1" applyFill="1" applyBorder="1" applyAlignment="1" applyProtection="1">
      <alignment/>
      <protection/>
    </xf>
    <xf numFmtId="0" fontId="15" fillId="33" borderId="55" xfId="0" applyFont="1" applyFill="1" applyBorder="1" applyAlignment="1" applyProtection="1">
      <alignment/>
      <protection/>
    </xf>
    <xf numFmtId="6" fontId="7" fillId="33" borderId="55" xfId="0" applyNumberFormat="1" applyFont="1" applyFill="1" applyBorder="1" applyAlignment="1" applyProtection="1">
      <alignment/>
      <protection/>
    </xf>
    <xf numFmtId="6" fontId="15" fillId="33" borderId="55" xfId="0" applyNumberFormat="1" applyFont="1" applyFill="1" applyBorder="1" applyAlignment="1" applyProtection="1">
      <alignment/>
      <protection/>
    </xf>
    <xf numFmtId="6" fontId="11" fillId="33" borderId="55" xfId="0" applyNumberFormat="1" applyFont="1" applyFill="1" applyBorder="1" applyAlignment="1" applyProtection="1">
      <alignment/>
      <protection/>
    </xf>
    <xf numFmtId="6" fontId="11" fillId="33" borderId="54" xfId="0" applyNumberFormat="1" applyFont="1" applyFill="1" applyBorder="1" applyAlignment="1" applyProtection="1">
      <alignment/>
      <protection/>
    </xf>
    <xf numFmtId="6" fontId="11" fillId="33" borderId="39" xfId="0" applyNumberFormat="1" applyFont="1" applyFill="1" applyBorder="1" applyAlignment="1" applyProtection="1">
      <alignment/>
      <protection/>
    </xf>
    <xf numFmtId="0" fontId="11" fillId="33" borderId="31" xfId="0" applyFont="1" applyFill="1" applyBorder="1" applyAlignment="1" applyProtection="1">
      <alignment horizontal="center"/>
      <protection/>
    </xf>
    <xf numFmtId="0" fontId="12" fillId="33" borderId="56" xfId="0" applyFont="1" applyFill="1" applyBorder="1" applyAlignment="1" applyProtection="1">
      <alignment/>
      <protection/>
    </xf>
    <xf numFmtId="0" fontId="15" fillId="33" borderId="56" xfId="0" applyFont="1" applyFill="1" applyBorder="1" applyAlignment="1" applyProtection="1">
      <alignment/>
      <protection/>
    </xf>
    <xf numFmtId="6" fontId="7" fillId="33" borderId="56" xfId="0" applyNumberFormat="1" applyFont="1" applyFill="1" applyBorder="1" applyAlignment="1" applyProtection="1">
      <alignment/>
      <protection/>
    </xf>
    <xf numFmtId="6" fontId="15" fillId="33" borderId="56" xfId="0" applyNumberFormat="1" applyFont="1" applyFill="1" applyBorder="1" applyAlignment="1" applyProtection="1">
      <alignment/>
      <protection/>
    </xf>
    <xf numFmtId="6" fontId="11" fillId="33" borderId="56" xfId="0" applyNumberFormat="1" applyFont="1" applyFill="1" applyBorder="1" applyAlignment="1" applyProtection="1">
      <alignment/>
      <protection/>
    </xf>
    <xf numFmtId="6" fontId="11" fillId="33" borderId="37" xfId="0" applyNumberFormat="1" applyFont="1" applyFill="1" applyBorder="1" applyAlignment="1" applyProtection="1">
      <alignment/>
      <protection/>
    </xf>
    <xf numFmtId="42" fontId="7" fillId="33" borderId="21" xfId="0" applyNumberFormat="1" applyFont="1" applyFill="1" applyBorder="1" applyAlignment="1" applyProtection="1">
      <alignment/>
      <protection/>
    </xf>
    <xf numFmtId="42" fontId="7" fillId="33" borderId="0" xfId="0" applyNumberFormat="1" applyFont="1" applyFill="1" applyBorder="1" applyAlignment="1" applyProtection="1">
      <alignment/>
      <protection/>
    </xf>
    <xf numFmtId="42" fontId="7" fillId="33" borderId="60" xfId="0" applyNumberFormat="1" applyFont="1" applyFill="1" applyBorder="1" applyAlignment="1" applyProtection="1">
      <alignment/>
      <protection/>
    </xf>
    <xf numFmtId="0" fontId="7" fillId="33" borderId="18" xfId="0" applyNumberFormat="1" applyFont="1" applyFill="1" applyBorder="1" applyAlignment="1" applyProtection="1">
      <alignment/>
      <protection/>
    </xf>
    <xf numFmtId="6" fontId="11" fillId="33" borderId="57" xfId="0" applyNumberFormat="1" applyFont="1" applyFill="1" applyBorder="1" applyAlignment="1" applyProtection="1">
      <alignment/>
      <protection/>
    </xf>
    <xf numFmtId="0" fontId="7" fillId="33" borderId="0" xfId="0" applyFont="1" applyFill="1" applyBorder="1" applyAlignment="1">
      <alignment vertical="center"/>
    </xf>
    <xf numFmtId="0" fontId="11" fillId="33" borderId="0" xfId="0" applyFont="1" applyFill="1" applyBorder="1" applyAlignment="1">
      <alignment horizontal="right" vertical="center"/>
    </xf>
    <xf numFmtId="42" fontId="17" fillId="33" borderId="0" xfId="0" applyNumberFormat="1" applyFont="1" applyFill="1" applyBorder="1" applyAlignment="1" applyProtection="1">
      <alignment vertical="center"/>
      <protection/>
    </xf>
    <xf numFmtId="6" fontId="7" fillId="33" borderId="0" xfId="0" applyNumberFormat="1" applyFont="1" applyFill="1" applyBorder="1" applyAlignment="1" applyProtection="1">
      <alignment vertical="center"/>
      <protection/>
    </xf>
    <xf numFmtId="42" fontId="17" fillId="33" borderId="54" xfId="0" applyNumberFormat="1" applyFont="1" applyFill="1" applyBorder="1" applyAlignment="1" applyProtection="1">
      <alignment vertical="center"/>
      <protection/>
    </xf>
    <xf numFmtId="0" fontId="7" fillId="33" borderId="21" xfId="0" applyFont="1" applyFill="1" applyBorder="1" applyAlignment="1" applyProtection="1">
      <alignment horizontal="center" wrapText="1"/>
      <protection/>
    </xf>
    <xf numFmtId="0" fontId="11" fillId="33" borderId="61" xfId="0" applyFont="1" applyFill="1" applyBorder="1" applyAlignment="1" applyProtection="1">
      <alignment horizontal="center" wrapText="1"/>
      <protection/>
    </xf>
    <xf numFmtId="6" fontId="7" fillId="34" borderId="0" xfId="0" applyNumberFormat="1" applyFont="1" applyFill="1" applyBorder="1" applyAlignment="1">
      <alignment/>
    </xf>
    <xf numFmtId="0" fontId="0" fillId="33" borderId="31" xfId="0" applyFill="1" applyBorder="1" applyAlignment="1">
      <alignment/>
    </xf>
    <xf numFmtId="0" fontId="0" fillId="33" borderId="56" xfId="0" applyFill="1" applyBorder="1" applyAlignment="1">
      <alignment/>
    </xf>
    <xf numFmtId="0" fontId="0" fillId="33" borderId="37" xfId="0" applyFill="1" applyBorder="1" applyAlignment="1">
      <alignment/>
    </xf>
    <xf numFmtId="0" fontId="0" fillId="33" borderId="39" xfId="0" applyFill="1" applyBorder="1" applyAlignment="1">
      <alignment/>
    </xf>
    <xf numFmtId="0" fontId="0" fillId="34" borderId="0" xfId="0" applyFill="1" applyBorder="1" applyAlignment="1">
      <alignment/>
    </xf>
    <xf numFmtId="42" fontId="7" fillId="37" borderId="62" xfId="0" applyNumberFormat="1" applyFont="1" applyFill="1" applyBorder="1" applyAlignment="1" applyProtection="1">
      <alignment/>
      <protection/>
    </xf>
    <xf numFmtId="42" fontId="7" fillId="35" borderId="63" xfId="0" applyNumberFormat="1" applyFont="1" applyFill="1" applyBorder="1" applyAlignment="1" applyProtection="1">
      <alignment/>
      <protection locked="0"/>
    </xf>
    <xf numFmtId="42" fontId="15" fillId="36" borderId="0" xfId="0" applyNumberFormat="1" applyFont="1" applyFill="1" applyBorder="1" applyAlignment="1" applyProtection="1">
      <alignment vertical="center"/>
      <protection/>
    </xf>
    <xf numFmtId="42" fontId="15" fillId="33" borderId="0" xfId="0" applyNumberFormat="1" applyFont="1" applyFill="1" applyBorder="1" applyAlignment="1" applyProtection="1">
      <alignment vertical="center"/>
      <protection/>
    </xf>
    <xf numFmtId="42" fontId="7" fillId="37" borderId="64" xfId="0" applyNumberFormat="1" applyFont="1" applyFill="1" applyBorder="1" applyAlignment="1" applyProtection="1">
      <alignment/>
      <protection/>
    </xf>
    <xf numFmtId="42" fontId="7" fillId="35" borderId="65" xfId="0" applyNumberFormat="1" applyFont="1" applyFill="1" applyBorder="1" applyAlignment="1" applyProtection="1">
      <alignment/>
      <protection locked="0"/>
    </xf>
    <xf numFmtId="0" fontId="0" fillId="34" borderId="14" xfId="0" applyFill="1" applyBorder="1" applyAlignment="1">
      <alignment/>
    </xf>
    <xf numFmtId="0" fontId="14" fillId="34" borderId="0" xfId="0" applyFont="1" applyFill="1" applyBorder="1" applyAlignment="1">
      <alignment horizontal="center"/>
    </xf>
    <xf numFmtId="0" fontId="0" fillId="34" borderId="16" xfId="0" applyFill="1" applyBorder="1" applyAlignment="1">
      <alignment/>
    </xf>
    <xf numFmtId="0" fontId="0" fillId="34" borderId="17" xfId="0" applyFill="1" applyBorder="1" applyAlignment="1">
      <alignment/>
    </xf>
    <xf numFmtId="0" fontId="0" fillId="33" borderId="54" xfId="0" applyFill="1" applyBorder="1" applyAlignment="1">
      <alignment/>
    </xf>
    <xf numFmtId="0" fontId="12" fillId="36" borderId="0" xfId="0" applyFont="1" applyFill="1" applyBorder="1" applyAlignment="1">
      <alignment horizontal="right" vertical="center"/>
    </xf>
    <xf numFmtId="0" fontId="7" fillId="33" borderId="21" xfId="0" applyNumberFormat="1" applyFont="1" applyFill="1" applyBorder="1" applyAlignment="1" applyProtection="1">
      <alignment horizontal="center" wrapText="1"/>
      <protection/>
    </xf>
    <xf numFmtId="0" fontId="7" fillId="33" borderId="21" xfId="0" applyNumberFormat="1" applyFont="1" applyFill="1" applyBorder="1" applyAlignment="1" applyProtection="1">
      <alignment horizontal="center" vertical="center" wrapText="1"/>
      <protection/>
    </xf>
    <xf numFmtId="0" fontId="7" fillId="33" borderId="29" xfId="0" applyNumberFormat="1" applyFont="1" applyFill="1" applyBorder="1" applyAlignment="1" applyProtection="1">
      <alignment horizontal="center" vertical="center" wrapText="1"/>
      <protection/>
    </xf>
    <xf numFmtId="42" fontId="7" fillId="38" borderId="18" xfId="0" applyNumberFormat="1" applyFont="1" applyFill="1" applyBorder="1" applyAlignment="1" applyProtection="1">
      <alignment/>
      <protection/>
    </xf>
    <xf numFmtId="0" fontId="69" fillId="34" borderId="0" xfId="0" applyFont="1" applyFill="1" applyBorder="1" applyAlignment="1" applyProtection="1">
      <alignment horizontal="left" vertical="center"/>
      <protection/>
    </xf>
    <xf numFmtId="42" fontId="7" fillId="37" borderId="66" xfId="0" applyNumberFormat="1" applyFont="1" applyFill="1" applyBorder="1" applyAlignment="1" applyProtection="1">
      <alignment/>
      <protection/>
    </xf>
    <xf numFmtId="42" fontId="7" fillId="35" borderId="67" xfId="0" applyNumberFormat="1" applyFont="1" applyFill="1" applyBorder="1" applyAlignment="1" applyProtection="1">
      <alignment/>
      <protection locked="0"/>
    </xf>
    <xf numFmtId="42" fontId="7" fillId="35" borderId="68" xfId="0" applyNumberFormat="1" applyFont="1" applyFill="1" applyBorder="1" applyAlignment="1" applyProtection="1">
      <alignment/>
      <protection locked="0"/>
    </xf>
    <xf numFmtId="42" fontId="7" fillId="33" borderId="50" xfId="0" applyNumberFormat="1" applyFont="1" applyFill="1" applyBorder="1" applyAlignment="1" applyProtection="1">
      <alignment/>
      <protection/>
    </xf>
    <xf numFmtId="42" fontId="7" fillId="38" borderId="62" xfId="0" applyNumberFormat="1" applyFont="1" applyFill="1" applyBorder="1" applyAlignment="1" applyProtection="1">
      <alignment/>
      <protection/>
    </xf>
    <xf numFmtId="42" fontId="7" fillId="36" borderId="0" xfId="0" applyNumberFormat="1" applyFont="1" applyFill="1" applyBorder="1" applyAlignment="1" applyProtection="1">
      <alignment/>
      <protection/>
    </xf>
    <xf numFmtId="42" fontId="11" fillId="33" borderId="50" xfId="0" applyNumberFormat="1" applyFont="1" applyFill="1" applyBorder="1" applyAlignment="1" applyProtection="1">
      <alignment/>
      <protection/>
    </xf>
    <xf numFmtId="0" fontId="0" fillId="33" borderId="0" xfId="0" applyFill="1" applyAlignment="1">
      <alignment/>
    </xf>
    <xf numFmtId="0" fontId="17" fillId="34" borderId="0" xfId="0" applyFont="1" applyFill="1" applyBorder="1" applyAlignment="1">
      <alignment/>
    </xf>
    <xf numFmtId="38" fontId="7" fillId="34" borderId="0" xfId="0" applyNumberFormat="1" applyFont="1" applyFill="1" applyBorder="1" applyAlignment="1" applyProtection="1">
      <alignment horizontal="center"/>
      <protection locked="0"/>
    </xf>
    <xf numFmtId="38" fontId="7" fillId="34" borderId="50" xfId="0" applyNumberFormat="1" applyFont="1" applyFill="1" applyBorder="1" applyAlignment="1" applyProtection="1">
      <alignment horizontal="center"/>
      <protection locked="0"/>
    </xf>
    <xf numFmtId="8" fontId="0" fillId="0" borderId="0" xfId="0" applyNumberFormat="1" applyAlignment="1">
      <alignment/>
    </xf>
    <xf numFmtId="0" fontId="7" fillId="34" borderId="69" xfId="0" applyFont="1" applyFill="1" applyBorder="1" applyAlignment="1">
      <alignment/>
    </xf>
    <xf numFmtId="0" fontId="7" fillId="34" borderId="23" xfId="0" applyFont="1" applyFill="1" applyBorder="1" applyAlignment="1">
      <alignment/>
    </xf>
    <xf numFmtId="0" fontId="7" fillId="34" borderId="70" xfId="0" applyFont="1" applyFill="1" applyBorder="1" applyAlignment="1">
      <alignment/>
    </xf>
    <xf numFmtId="0" fontId="7" fillId="34" borderId="71" xfId="0" applyFont="1" applyFill="1" applyBorder="1" applyAlignment="1">
      <alignment/>
    </xf>
    <xf numFmtId="40" fontId="7" fillId="34" borderId="0" xfId="0" applyNumberFormat="1" applyFont="1" applyFill="1" applyBorder="1" applyAlignment="1">
      <alignment horizontal="center"/>
    </xf>
    <xf numFmtId="40" fontId="7" fillId="34" borderId="0" xfId="0" applyNumberFormat="1" applyFont="1" applyFill="1" applyBorder="1" applyAlignment="1" applyProtection="1">
      <alignment horizontal="center"/>
      <protection/>
    </xf>
    <xf numFmtId="0" fontId="7" fillId="34" borderId="71" xfId="0" applyFont="1" applyFill="1" applyBorder="1" applyAlignment="1" applyProtection="1">
      <alignment/>
      <protection/>
    </xf>
    <xf numFmtId="40" fontId="11" fillId="34" borderId="0" xfId="0" applyNumberFormat="1" applyFont="1" applyFill="1" applyBorder="1" applyAlignment="1">
      <alignment horizontal="center"/>
    </xf>
    <xf numFmtId="2" fontId="7" fillId="34" borderId="0" xfId="0" applyNumberFormat="1" applyFont="1" applyFill="1" applyBorder="1" applyAlignment="1">
      <alignment horizontal="center"/>
    </xf>
    <xf numFmtId="0" fontId="7" fillId="34" borderId="72" xfId="0" applyFont="1" applyFill="1" applyBorder="1" applyAlignment="1">
      <alignment/>
    </xf>
    <xf numFmtId="0" fontId="7" fillId="34" borderId="73" xfId="0" applyFont="1" applyFill="1" applyBorder="1" applyAlignment="1">
      <alignment/>
    </xf>
    <xf numFmtId="0" fontId="0" fillId="34" borderId="69" xfId="0" applyFill="1" applyBorder="1" applyAlignment="1">
      <alignment/>
    </xf>
    <xf numFmtId="0" fontId="7" fillId="34" borderId="0" xfId="0" applyFont="1" applyFill="1" applyBorder="1" applyAlignment="1">
      <alignment horizontal="right"/>
    </xf>
    <xf numFmtId="40" fontId="11" fillId="34" borderId="0" xfId="0" applyNumberFormat="1" applyFont="1" applyFill="1" applyBorder="1" applyAlignment="1" applyProtection="1">
      <alignment horizontal="center"/>
      <protection/>
    </xf>
    <xf numFmtId="2" fontId="7" fillId="34" borderId="0" xfId="0" applyNumberFormat="1" applyFont="1" applyFill="1" applyBorder="1" applyAlignment="1" applyProtection="1">
      <alignment horizontal="center"/>
      <protection/>
    </xf>
    <xf numFmtId="0" fontId="0" fillId="34" borderId="72" xfId="0" applyFill="1" applyBorder="1" applyAlignment="1">
      <alignment/>
    </xf>
    <xf numFmtId="0" fontId="7" fillId="34" borderId="72" xfId="0" applyFont="1" applyFill="1" applyBorder="1" applyAlignment="1">
      <alignment horizontal="center"/>
    </xf>
    <xf numFmtId="0" fontId="7" fillId="34" borderId="72" xfId="0" applyFont="1" applyFill="1" applyBorder="1" applyAlignment="1" applyProtection="1">
      <alignment/>
      <protection/>
    </xf>
    <xf numFmtId="0" fontId="7" fillId="34" borderId="0" xfId="0" applyFont="1" applyFill="1" applyBorder="1" applyAlignment="1">
      <alignment horizontal="right"/>
    </xf>
    <xf numFmtId="6" fontId="7" fillId="34" borderId="0" xfId="0" applyNumberFormat="1" applyFont="1" applyFill="1" applyBorder="1" applyAlignment="1">
      <alignment horizontal="right"/>
    </xf>
    <xf numFmtId="40" fontId="7" fillId="34" borderId="74" xfId="0" applyNumberFormat="1" applyFont="1" applyFill="1" applyBorder="1" applyAlignment="1" applyProtection="1">
      <alignment horizontal="center"/>
      <protection/>
    </xf>
    <xf numFmtId="8" fontId="7" fillId="34" borderId="0" xfId="0" applyNumberFormat="1" applyFont="1" applyFill="1" applyBorder="1" applyAlignment="1">
      <alignment/>
    </xf>
    <xf numFmtId="0" fontId="7" fillId="34" borderId="22" xfId="0" applyFont="1" applyFill="1" applyBorder="1" applyAlignment="1">
      <alignment/>
    </xf>
    <xf numFmtId="0" fontId="7" fillId="34" borderId="23" xfId="0" applyFont="1" applyFill="1" applyBorder="1" applyAlignment="1">
      <alignment horizontal="right"/>
    </xf>
    <xf numFmtId="8" fontId="7" fillId="34" borderId="23" xfId="0" applyNumberFormat="1" applyFont="1" applyFill="1" applyBorder="1" applyAlignment="1">
      <alignment/>
    </xf>
    <xf numFmtId="0" fontId="7" fillId="34" borderId="21" xfId="0" applyFont="1" applyFill="1" applyBorder="1" applyAlignment="1">
      <alignment/>
    </xf>
    <xf numFmtId="0" fontId="14" fillId="34" borderId="0" xfId="0" applyFont="1" applyFill="1" applyBorder="1" applyAlignment="1">
      <alignment/>
    </xf>
    <xf numFmtId="0" fontId="0" fillId="34" borderId="21" xfId="0" applyFill="1" applyBorder="1" applyAlignment="1">
      <alignment/>
    </xf>
    <xf numFmtId="0" fontId="14" fillId="34" borderId="0" xfId="0" applyFont="1" applyFill="1" applyBorder="1" applyAlignment="1">
      <alignment horizontal="center" wrapText="1"/>
    </xf>
    <xf numFmtId="0" fontId="44" fillId="0" borderId="0" xfId="0" applyFont="1" applyFill="1" applyAlignment="1" applyProtection="1">
      <alignment/>
      <protection/>
    </xf>
    <xf numFmtId="164" fontId="7" fillId="34" borderId="0" xfId="0" applyNumberFormat="1" applyFont="1" applyFill="1" applyBorder="1" applyAlignment="1">
      <alignment horizontal="center"/>
    </xf>
    <xf numFmtId="0" fontId="44" fillId="34" borderId="21" xfId="0" applyFont="1" applyFill="1" applyBorder="1" applyAlignment="1">
      <alignment/>
    </xf>
    <xf numFmtId="0" fontId="44" fillId="34" borderId="21" xfId="0" applyFont="1" applyFill="1" applyBorder="1" applyAlignment="1" applyProtection="1">
      <alignment/>
      <protection/>
    </xf>
    <xf numFmtId="0" fontId="79" fillId="34" borderId="61" xfId="0" applyFont="1" applyFill="1" applyBorder="1" applyAlignment="1">
      <alignment/>
    </xf>
    <xf numFmtId="0" fontId="79" fillId="34" borderId="0" xfId="0" applyFont="1" applyFill="1" applyBorder="1" applyAlignment="1">
      <alignment/>
    </xf>
    <xf numFmtId="0" fontId="44" fillId="34" borderId="69" xfId="0" applyFont="1" applyFill="1" applyBorder="1" applyAlignment="1">
      <alignment/>
    </xf>
    <xf numFmtId="164" fontId="7" fillId="34" borderId="0" xfId="0" applyNumberFormat="1" applyFont="1" applyFill="1" applyBorder="1" applyAlignment="1" applyProtection="1">
      <alignment/>
      <protection/>
    </xf>
    <xf numFmtId="38" fontId="7" fillId="34" borderId="0" xfId="0" applyNumberFormat="1" applyFont="1" applyFill="1" applyBorder="1" applyAlignment="1" applyProtection="1">
      <alignment horizontal="center"/>
      <protection/>
    </xf>
    <xf numFmtId="38" fontId="7" fillId="34" borderId="0" xfId="0" applyNumberFormat="1" applyFont="1" applyFill="1" applyBorder="1" applyAlignment="1" applyProtection="1">
      <alignment horizontal="right"/>
      <protection/>
    </xf>
    <xf numFmtId="164" fontId="7" fillId="34" borderId="50" xfId="0" applyNumberFormat="1" applyFont="1" applyFill="1" applyBorder="1" applyAlignment="1">
      <alignment/>
    </xf>
    <xf numFmtId="164" fontId="7" fillId="34" borderId="0" xfId="0" applyNumberFormat="1" applyFont="1" applyFill="1" applyBorder="1" applyAlignment="1" applyProtection="1">
      <alignment horizontal="center"/>
      <protection/>
    </xf>
    <xf numFmtId="0" fontId="23" fillId="34" borderId="0" xfId="0" applyFont="1" applyFill="1" applyBorder="1" applyAlignment="1">
      <alignment horizontal="center" wrapText="1"/>
    </xf>
    <xf numFmtId="164" fontId="7" fillId="35" borderId="63" xfId="0" applyNumberFormat="1" applyFont="1" applyFill="1" applyBorder="1" applyAlignment="1" applyProtection="1">
      <alignment horizontal="center"/>
      <protection locked="0"/>
    </xf>
    <xf numFmtId="38" fontId="7" fillId="34" borderId="50" xfId="0" applyNumberFormat="1" applyFont="1" applyFill="1" applyBorder="1" applyAlignment="1" applyProtection="1">
      <alignment horizontal="center"/>
      <protection/>
    </xf>
    <xf numFmtId="38" fontId="7" fillId="35" borderId="63" xfId="0" applyNumberFormat="1" applyFont="1" applyFill="1" applyBorder="1" applyAlignment="1" applyProtection="1">
      <alignment horizontal="center"/>
      <protection locked="0"/>
    </xf>
    <xf numFmtId="38" fontId="7" fillId="37" borderId="75" xfId="0" applyNumberFormat="1" applyFont="1" applyFill="1" applyBorder="1" applyAlignment="1" applyProtection="1">
      <alignment horizontal="center"/>
      <protection locked="0"/>
    </xf>
    <xf numFmtId="38" fontId="7" fillId="37" borderId="67" xfId="0" applyNumberFormat="1" applyFont="1" applyFill="1" applyBorder="1" applyAlignment="1" applyProtection="1">
      <alignment horizontal="center"/>
      <protection locked="0"/>
    </xf>
    <xf numFmtId="0" fontId="44" fillId="0" borderId="0" xfId="0" applyFont="1" applyFill="1" applyAlignment="1">
      <alignment/>
    </xf>
    <xf numFmtId="0" fontId="0" fillId="0" borderId="0" xfId="0" applyFill="1" applyAlignment="1">
      <alignment vertical="center"/>
    </xf>
    <xf numFmtId="0" fontId="17" fillId="34" borderId="0" xfId="0" applyFont="1" applyFill="1" applyBorder="1" applyAlignment="1">
      <alignment horizontal="center"/>
    </xf>
    <xf numFmtId="0" fontId="80" fillId="34" borderId="0" xfId="0" applyFont="1" applyFill="1" applyBorder="1" applyAlignment="1">
      <alignment/>
    </xf>
    <xf numFmtId="0" fontId="11" fillId="33" borderId="0" xfId="0" applyFont="1" applyFill="1" applyBorder="1" applyAlignment="1">
      <alignment horizontal="center" wrapText="1"/>
    </xf>
    <xf numFmtId="3" fontId="39" fillId="35" borderId="76" xfId="0" applyNumberFormat="1" applyFont="1" applyFill="1" applyBorder="1" applyAlignment="1" applyProtection="1">
      <alignment vertical="center"/>
      <protection locked="0"/>
    </xf>
    <xf numFmtId="42" fontId="39" fillId="35" borderId="75" xfId="0" applyNumberFormat="1" applyFont="1" applyFill="1" applyBorder="1" applyAlignment="1" applyProtection="1">
      <alignment vertical="center"/>
      <protection locked="0"/>
    </xf>
    <xf numFmtId="3" fontId="39" fillId="35" borderId="65" xfId="0" applyNumberFormat="1" applyFont="1" applyFill="1" applyBorder="1" applyAlignment="1" applyProtection="1">
      <alignment vertical="center"/>
      <protection locked="0"/>
    </xf>
    <xf numFmtId="3" fontId="39" fillId="35" borderId="67" xfId="0" applyNumberFormat="1" applyFont="1" applyFill="1" applyBorder="1" applyAlignment="1" applyProtection="1">
      <alignment vertical="center"/>
      <protection locked="0"/>
    </xf>
    <xf numFmtId="44" fontId="12" fillId="36" borderId="77" xfId="0" applyNumberFormat="1" applyFont="1" applyFill="1" applyBorder="1" applyAlignment="1">
      <alignment horizontal="center" vertical="center"/>
    </xf>
    <xf numFmtId="44" fontId="18" fillId="33" borderId="0" xfId="0" applyNumberFormat="1" applyFont="1" applyFill="1" applyBorder="1" applyAlignment="1">
      <alignment horizontal="center" vertical="center"/>
    </xf>
    <xf numFmtId="44" fontId="18" fillId="33" borderId="0" xfId="0" applyNumberFormat="1" applyFont="1" applyFill="1" applyBorder="1" applyAlignment="1">
      <alignment vertical="center"/>
    </xf>
    <xf numFmtId="44" fontId="71" fillId="33" borderId="0" xfId="0" applyNumberFormat="1" applyFont="1" applyFill="1" applyBorder="1" applyAlignment="1">
      <alignment horizontal="center" vertical="center"/>
    </xf>
    <xf numFmtId="44" fontId="12" fillId="36" borderId="78" xfId="0" applyNumberFormat="1" applyFont="1" applyFill="1" applyBorder="1" applyAlignment="1">
      <alignment vertical="center"/>
    </xf>
    <xf numFmtId="44" fontId="12" fillId="36" borderId="79" xfId="0" applyNumberFormat="1" applyFont="1" applyFill="1" applyBorder="1" applyAlignment="1">
      <alignment vertical="center"/>
    </xf>
    <xf numFmtId="44" fontId="14" fillId="33" borderId="0" xfId="0" applyNumberFormat="1" applyFont="1" applyFill="1" applyBorder="1" applyAlignment="1">
      <alignment vertical="center"/>
    </xf>
    <xf numFmtId="3" fontId="7" fillId="35" borderId="63" xfId="0" applyNumberFormat="1" applyFont="1" applyFill="1" applyBorder="1" applyAlignment="1" applyProtection="1">
      <alignment vertical="center"/>
      <protection locked="0"/>
    </xf>
    <xf numFmtId="44" fontId="39" fillId="35" borderId="63" xfId="0" applyNumberFormat="1" applyFont="1" applyFill="1" applyBorder="1" applyAlignment="1" applyProtection="1">
      <alignment horizontal="center" vertical="center"/>
      <protection locked="0"/>
    </xf>
    <xf numFmtId="0" fontId="0" fillId="39" borderId="0" xfId="0" applyFont="1" applyFill="1" applyAlignment="1" applyProtection="1">
      <alignment horizontal="center"/>
      <protection locked="0"/>
    </xf>
    <xf numFmtId="0" fontId="0" fillId="0" borderId="0" xfId="0" applyFont="1" applyAlignment="1" applyProtection="1">
      <alignment horizontal="center"/>
      <protection locked="0"/>
    </xf>
    <xf numFmtId="42" fontId="60" fillId="35" borderId="80" xfId="0" applyNumberFormat="1" applyFont="1" applyFill="1" applyBorder="1" applyAlignment="1" applyProtection="1">
      <alignment vertical="center"/>
      <protection locked="0"/>
    </xf>
    <xf numFmtId="42" fontId="60" fillId="35" borderId="32" xfId="0" applyNumberFormat="1" applyFont="1" applyFill="1" applyBorder="1" applyAlignment="1" applyProtection="1">
      <alignment vertical="center"/>
      <protection locked="0"/>
    </xf>
    <xf numFmtId="42" fontId="60" fillId="35" borderId="81" xfId="0" applyNumberFormat="1" applyFont="1" applyFill="1" applyBorder="1" applyAlignment="1" applyProtection="1">
      <alignment vertical="center"/>
      <protection locked="0"/>
    </xf>
    <xf numFmtId="42" fontId="60" fillId="35" borderId="41" xfId="0" applyNumberFormat="1" applyFont="1" applyFill="1" applyBorder="1" applyAlignment="1" applyProtection="1">
      <alignment vertical="center"/>
      <protection locked="0"/>
    </xf>
    <xf numFmtId="42" fontId="60" fillId="35" borderId="35" xfId="0" applyNumberFormat="1" applyFont="1" applyFill="1" applyBorder="1" applyAlignment="1" applyProtection="1">
      <alignment vertical="center"/>
      <protection locked="0"/>
    </xf>
    <xf numFmtId="42" fontId="60" fillId="35" borderId="45" xfId="0" applyNumberFormat="1" applyFont="1" applyFill="1" applyBorder="1" applyAlignment="1" applyProtection="1">
      <alignment vertical="center"/>
      <protection locked="0"/>
    </xf>
    <xf numFmtId="42" fontId="60" fillId="35" borderId="46" xfId="0" applyNumberFormat="1" applyFont="1" applyFill="1" applyBorder="1" applyAlignment="1" applyProtection="1">
      <alignment vertical="center"/>
      <protection locked="0"/>
    </xf>
    <xf numFmtId="42" fontId="60" fillId="35" borderId="42" xfId="0" applyNumberFormat="1" applyFont="1" applyFill="1" applyBorder="1" applyAlignment="1" applyProtection="1">
      <alignment vertical="center"/>
      <protection locked="0"/>
    </xf>
    <xf numFmtId="42" fontId="60" fillId="35" borderId="47" xfId="0" applyNumberFormat="1" applyFont="1" applyFill="1" applyBorder="1" applyAlignment="1" applyProtection="1">
      <alignment vertical="center"/>
      <protection locked="0"/>
    </xf>
    <xf numFmtId="42" fontId="60" fillId="33" borderId="82" xfId="0" applyNumberFormat="1" applyFont="1" applyFill="1" applyBorder="1" applyAlignment="1" applyProtection="1">
      <alignment/>
      <protection/>
    </xf>
    <xf numFmtId="42" fontId="7" fillId="37" borderId="78" xfId="0" applyNumberFormat="1" applyFont="1" applyFill="1" applyBorder="1" applyAlignment="1" applyProtection="1">
      <alignment/>
      <protection/>
    </xf>
    <xf numFmtId="42" fontId="17" fillId="33" borderId="55" xfId="0" applyNumberFormat="1" applyFont="1" applyFill="1" applyBorder="1" applyAlignment="1" applyProtection="1">
      <alignment vertical="center"/>
      <protection/>
    </xf>
    <xf numFmtId="6" fontId="7" fillId="33" borderId="55" xfId="0" applyNumberFormat="1" applyFont="1" applyFill="1" applyBorder="1" applyAlignment="1" applyProtection="1">
      <alignment vertical="center"/>
      <protection/>
    </xf>
    <xf numFmtId="42" fontId="7" fillId="40" borderId="75" xfId="0" applyNumberFormat="1" applyFont="1" applyFill="1" applyBorder="1" applyAlignment="1" applyProtection="1">
      <alignment/>
      <protection locked="0"/>
    </xf>
    <xf numFmtId="42" fontId="7" fillId="40" borderId="67" xfId="0" applyNumberFormat="1" applyFont="1" applyFill="1" applyBorder="1" applyAlignment="1" applyProtection="1">
      <alignment/>
      <protection locked="0"/>
    </xf>
    <xf numFmtId="42" fontId="7" fillId="40" borderId="63" xfId="0" applyNumberFormat="1" applyFont="1" applyFill="1" applyBorder="1" applyAlignment="1" applyProtection="1">
      <alignment/>
      <protection locked="0"/>
    </xf>
    <xf numFmtId="42" fontId="7" fillId="40" borderId="65" xfId="0" applyNumberFormat="1" applyFont="1" applyFill="1" applyBorder="1" applyAlignment="1" applyProtection="1">
      <alignment/>
      <protection locked="0"/>
    </xf>
    <xf numFmtId="42" fontId="7" fillId="40" borderId="83" xfId="0" applyNumberFormat="1" applyFont="1" applyFill="1" applyBorder="1" applyAlignment="1" applyProtection="1">
      <alignment/>
      <protection locked="0"/>
    </xf>
    <xf numFmtId="42" fontId="7" fillId="40" borderId="75" xfId="0" applyNumberFormat="1" applyFont="1" applyFill="1" applyBorder="1" applyAlignment="1" applyProtection="1">
      <alignment/>
      <protection locked="0"/>
    </xf>
    <xf numFmtId="42" fontId="7" fillId="40" borderId="67" xfId="0" applyNumberFormat="1" applyFont="1" applyFill="1" applyBorder="1" applyAlignment="1" applyProtection="1">
      <alignment/>
      <protection locked="0"/>
    </xf>
    <xf numFmtId="0" fontId="17" fillId="33" borderId="0" xfId="0" applyFont="1" applyFill="1" applyBorder="1" applyAlignment="1">
      <alignment horizontal="center"/>
    </xf>
    <xf numFmtId="0" fontId="16" fillId="33" borderId="0" xfId="0" applyFont="1" applyFill="1" applyBorder="1" applyAlignment="1">
      <alignment/>
    </xf>
    <xf numFmtId="0" fontId="11" fillId="33" borderId="0" xfId="0" applyFont="1" applyFill="1" applyBorder="1" applyAlignment="1">
      <alignment horizontal="centerContinuous" vertical="center"/>
    </xf>
    <xf numFmtId="0" fontId="12" fillId="36" borderId="25" xfId="0" applyFont="1" applyFill="1" applyBorder="1" applyAlignment="1">
      <alignment horizontal="centerContinuous" vertical="center"/>
    </xf>
    <xf numFmtId="0" fontId="13" fillId="36" borderId="25" xfId="0" applyFont="1" applyFill="1" applyBorder="1" applyAlignment="1">
      <alignment horizontal="centerContinuous" vertical="center"/>
    </xf>
    <xf numFmtId="0" fontId="87" fillId="36" borderId="25" xfId="0" applyFont="1" applyFill="1" applyBorder="1" applyAlignment="1">
      <alignment horizontal="centerContinuous" vertical="center"/>
    </xf>
    <xf numFmtId="40" fontId="7" fillId="37" borderId="74" xfId="0" applyNumberFormat="1" applyFont="1" applyFill="1" applyBorder="1" applyAlignment="1" applyProtection="1">
      <alignment horizontal="center"/>
      <protection/>
    </xf>
    <xf numFmtId="0" fontId="17" fillId="33" borderId="0" xfId="0" applyFont="1" applyFill="1" applyBorder="1" applyAlignment="1">
      <alignment horizontal="center" vertical="center" wrapText="1"/>
    </xf>
    <xf numFmtId="0" fontId="17" fillId="33" borderId="0" xfId="0" applyFont="1" applyFill="1" applyBorder="1" applyAlignment="1">
      <alignment horizontal="centerContinuous" vertical="center" wrapText="1"/>
    </xf>
    <xf numFmtId="40" fontId="24" fillId="33" borderId="0" xfId="0" applyNumberFormat="1" applyFont="1" applyFill="1" applyBorder="1" applyAlignment="1">
      <alignment horizontal="center" vertical="center"/>
    </xf>
    <xf numFmtId="8" fontId="14" fillId="33" borderId="0" xfId="0" applyNumberFormat="1" applyFont="1" applyFill="1" applyBorder="1" applyAlignment="1">
      <alignment/>
    </xf>
    <xf numFmtId="40" fontId="24" fillId="33" borderId="0" xfId="0" applyNumberFormat="1" applyFont="1" applyFill="1" applyBorder="1" applyAlignment="1">
      <alignment horizontal="center"/>
    </xf>
    <xf numFmtId="0" fontId="33" fillId="33" borderId="0" xfId="0" applyFont="1" applyFill="1" applyBorder="1" applyAlignment="1" applyProtection="1">
      <alignment horizontal="centerContinuous" vertical="center" wrapText="1"/>
      <protection/>
    </xf>
    <xf numFmtId="169" fontId="7" fillId="33" borderId="0" xfId="0" applyNumberFormat="1" applyFont="1" applyFill="1" applyBorder="1" applyAlignment="1" applyProtection="1">
      <alignment/>
      <protection/>
    </xf>
    <xf numFmtId="38" fontId="7" fillId="33" borderId="0" xfId="0" applyNumberFormat="1" applyFont="1" applyFill="1" applyBorder="1" applyAlignment="1">
      <alignment/>
    </xf>
    <xf numFmtId="0" fontId="7" fillId="33" borderId="0" xfId="0" applyFont="1" applyFill="1" applyBorder="1" applyAlignment="1" applyProtection="1">
      <alignment horizontal="center"/>
      <protection/>
    </xf>
    <xf numFmtId="0" fontId="11" fillId="33" borderId="0" xfId="0" applyFont="1"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pplyProtection="1">
      <alignment horizontal="centerContinuous" vertical="center"/>
      <protection/>
    </xf>
    <xf numFmtId="8" fontId="23" fillId="33" borderId="0" xfId="0" applyNumberFormat="1" applyFont="1" applyFill="1" applyBorder="1" applyAlignment="1">
      <alignment horizontal="right"/>
    </xf>
    <xf numFmtId="8" fontId="7" fillId="33" borderId="0" xfId="0" applyNumberFormat="1" applyFont="1" applyFill="1" applyBorder="1" applyAlignment="1">
      <alignment/>
    </xf>
    <xf numFmtId="38" fontId="18" fillId="35" borderId="63" xfId="0" applyNumberFormat="1" applyFont="1" applyFill="1" applyBorder="1" applyAlignment="1" applyProtection="1">
      <alignment vertical="center"/>
      <protection locked="0"/>
    </xf>
    <xf numFmtId="0" fontId="11" fillId="33" borderId="0" xfId="0" applyFont="1" applyFill="1" applyBorder="1" applyAlignment="1">
      <alignment horizontal="center" vertical="center" wrapText="1"/>
    </xf>
    <xf numFmtId="173" fontId="18" fillId="33" borderId="0" xfId="0" applyNumberFormat="1" applyFont="1" applyFill="1" applyBorder="1" applyAlignment="1">
      <alignment/>
    </xf>
    <xf numFmtId="173" fontId="18" fillId="33" borderId="0" xfId="0" applyNumberFormat="1" applyFont="1" applyFill="1" applyBorder="1" applyAlignment="1" applyProtection="1">
      <alignment/>
      <protection/>
    </xf>
    <xf numFmtId="173" fontId="18" fillId="35" borderId="63" xfId="0" applyNumberFormat="1" applyFont="1" applyFill="1" applyBorder="1" applyAlignment="1" applyProtection="1">
      <alignment/>
      <protection locked="0"/>
    </xf>
    <xf numFmtId="0" fontId="17" fillId="33" borderId="0" xfId="0" applyFont="1" applyFill="1" applyBorder="1" applyAlignment="1">
      <alignment horizontal="center" wrapText="1"/>
    </xf>
    <xf numFmtId="0" fontId="17" fillId="33" borderId="0" xfId="0" applyFont="1" applyFill="1" applyBorder="1" applyAlignment="1">
      <alignment horizontal="centerContinuous" wrapText="1"/>
    </xf>
    <xf numFmtId="0" fontId="17" fillId="33" borderId="0" xfId="0" applyFont="1" applyFill="1" applyBorder="1" applyAlignment="1" applyProtection="1">
      <alignment horizontal="centerContinuous" wrapText="1"/>
      <protection/>
    </xf>
    <xf numFmtId="0" fontId="11" fillId="33" borderId="0" xfId="0" applyFont="1" applyFill="1" applyBorder="1" applyAlignment="1">
      <alignment horizontal="centerContinuous" wrapText="1"/>
    </xf>
    <xf numFmtId="0" fontId="11" fillId="33" borderId="0" xfId="0" applyFont="1" applyFill="1" applyBorder="1" applyAlignment="1" applyProtection="1">
      <alignment horizontal="centerContinuous" wrapText="1"/>
      <protection/>
    </xf>
    <xf numFmtId="8" fontId="7" fillId="33" borderId="0" xfId="0" applyNumberFormat="1" applyFont="1" applyFill="1" applyBorder="1" applyAlignment="1">
      <alignment horizontal="right" vertical="top"/>
    </xf>
    <xf numFmtId="8" fontId="7" fillId="33" borderId="0" xfId="0" applyNumberFormat="1" applyFont="1" applyFill="1" applyBorder="1" applyAlignment="1" applyProtection="1">
      <alignment horizontal="right" vertical="top"/>
      <protection/>
    </xf>
    <xf numFmtId="173" fontId="7" fillId="33" borderId="0" xfId="0" applyNumberFormat="1" applyFont="1" applyFill="1" applyBorder="1" applyAlignment="1">
      <alignment horizontal="right" vertical="top"/>
    </xf>
    <xf numFmtId="0" fontId="14" fillId="33" borderId="0" xfId="0" applyFont="1" applyFill="1" applyBorder="1" applyAlignment="1">
      <alignment horizontal="right"/>
    </xf>
    <xf numFmtId="0" fontId="14" fillId="33" borderId="0" xfId="0" applyFont="1" applyFill="1" applyBorder="1" applyAlignment="1">
      <alignment/>
    </xf>
    <xf numFmtId="44" fontId="86" fillId="35" borderId="63" xfId="0" applyNumberFormat="1" applyFont="1" applyFill="1" applyBorder="1" applyAlignment="1" applyProtection="1">
      <alignment vertical="center"/>
      <protection locked="0"/>
    </xf>
    <xf numFmtId="3" fontId="86" fillId="35" borderId="63" xfId="0" applyNumberFormat="1" applyFont="1" applyFill="1" applyBorder="1" applyAlignment="1" applyProtection="1">
      <alignment vertical="center"/>
      <protection locked="0"/>
    </xf>
    <xf numFmtId="0" fontId="12" fillId="36" borderId="0" xfId="0" applyFont="1" applyFill="1" applyBorder="1" applyAlignment="1">
      <alignment horizontal="centerContinuous" vertical="center"/>
    </xf>
    <xf numFmtId="0" fontId="16" fillId="33" borderId="0" xfId="0" applyFont="1" applyFill="1" applyBorder="1" applyAlignment="1">
      <alignment horizontal="left" vertical="center"/>
    </xf>
    <xf numFmtId="0" fontId="7" fillId="33" borderId="0" xfId="0" applyFont="1" applyFill="1" applyBorder="1" applyAlignment="1" applyProtection="1">
      <alignment/>
      <protection/>
    </xf>
    <xf numFmtId="0" fontId="7" fillId="33" borderId="55" xfId="0" applyFont="1" applyFill="1" applyBorder="1" applyAlignment="1" applyProtection="1">
      <alignment/>
      <protection/>
    </xf>
    <xf numFmtId="0" fontId="0" fillId="33" borderId="55" xfId="0" applyFill="1" applyBorder="1" applyAlignment="1">
      <alignment vertical="center" wrapText="1"/>
    </xf>
    <xf numFmtId="0" fontId="92" fillId="33" borderId="0" xfId="0" applyFont="1" applyFill="1" applyBorder="1" applyAlignment="1">
      <alignment/>
    </xf>
    <xf numFmtId="49" fontId="19" fillId="33" borderId="0" xfId="0" applyNumberFormat="1" applyFont="1" applyFill="1" applyBorder="1" applyAlignment="1">
      <alignment horizontal="right" vertical="top"/>
    </xf>
    <xf numFmtId="38" fontId="0" fillId="33" borderId="55" xfId="0" applyNumberFormat="1" applyFill="1" applyBorder="1" applyAlignment="1" applyProtection="1">
      <alignment/>
      <protection/>
    </xf>
    <xf numFmtId="8" fontId="0" fillId="33" borderId="55" xfId="0" applyNumberFormat="1" applyFill="1" applyBorder="1" applyAlignment="1" applyProtection="1">
      <alignment/>
      <protection/>
    </xf>
    <xf numFmtId="8" fontId="30" fillId="33" borderId="55" xfId="0" applyNumberFormat="1" applyFont="1" applyFill="1" applyBorder="1" applyAlignment="1" applyProtection="1">
      <alignment/>
      <protection/>
    </xf>
    <xf numFmtId="38" fontId="0" fillId="33" borderId="0" xfId="0" applyNumberFormat="1" applyFill="1" applyBorder="1" applyAlignment="1">
      <alignment/>
    </xf>
    <xf numFmtId="0" fontId="53" fillId="37" borderId="0" xfId="0" applyFont="1" applyFill="1" applyBorder="1" applyAlignment="1">
      <alignment horizontal="centerContinuous" vertical="center"/>
    </xf>
    <xf numFmtId="0" fontId="53" fillId="37" borderId="0" xfId="0" applyFont="1" applyFill="1" applyBorder="1" applyAlignment="1" applyProtection="1">
      <alignment horizontal="centerContinuous" vertical="center"/>
      <protection/>
    </xf>
    <xf numFmtId="173" fontId="7" fillId="33" borderId="55" xfId="0" applyNumberFormat="1" applyFont="1" applyFill="1" applyBorder="1" applyAlignment="1">
      <alignment/>
    </xf>
    <xf numFmtId="0" fontId="0" fillId="33" borderId="55" xfId="0" applyFill="1" applyBorder="1" applyAlignment="1">
      <alignment/>
    </xf>
    <xf numFmtId="49" fontId="7" fillId="33" borderId="57" xfId="0" applyNumberFormat="1" applyFont="1" applyFill="1" applyBorder="1" applyAlignment="1">
      <alignment horizontal="right" vertical="top"/>
    </xf>
    <xf numFmtId="0" fontId="7" fillId="33" borderId="57" xfId="0" applyFont="1" applyFill="1" applyBorder="1" applyAlignment="1">
      <alignment horizontal="left" wrapText="1"/>
    </xf>
    <xf numFmtId="0" fontId="7" fillId="33" borderId="57" xfId="0" applyFont="1" applyFill="1" applyBorder="1" applyAlignment="1">
      <alignment horizontal="right"/>
    </xf>
    <xf numFmtId="0" fontId="83" fillId="33" borderId="57" xfId="0" applyFont="1" applyFill="1" applyBorder="1" applyAlignment="1">
      <alignment/>
    </xf>
    <xf numFmtId="0" fontId="83" fillId="33" borderId="33" xfId="0" applyFont="1" applyFill="1" applyBorder="1" applyAlignment="1">
      <alignment/>
    </xf>
    <xf numFmtId="0" fontId="19" fillId="33" borderId="0" xfId="0" applyFont="1" applyFill="1" applyBorder="1" applyAlignment="1">
      <alignment/>
    </xf>
    <xf numFmtId="0" fontId="83" fillId="33" borderId="0" xfId="0" applyFont="1" applyFill="1" applyBorder="1" applyAlignment="1">
      <alignment/>
    </xf>
    <xf numFmtId="0" fontId="83" fillId="33" borderId="55" xfId="0" applyFont="1" applyFill="1" applyBorder="1" applyAlignment="1">
      <alignment/>
    </xf>
    <xf numFmtId="0" fontId="7" fillId="33" borderId="0" xfId="0" applyFont="1" applyFill="1" applyBorder="1" applyAlignment="1">
      <alignment horizontal="left" wrapText="1"/>
    </xf>
    <xf numFmtId="49" fontId="7" fillId="33" borderId="54" xfId="0" applyNumberFormat="1" applyFont="1" applyFill="1" applyBorder="1" applyAlignment="1">
      <alignment horizontal="right" vertical="top"/>
    </xf>
    <xf numFmtId="0" fontId="7" fillId="33" borderId="54" xfId="0" applyFont="1" applyFill="1" applyBorder="1" applyAlignment="1">
      <alignment horizontal="left" wrapText="1"/>
    </xf>
    <xf numFmtId="0" fontId="7" fillId="33" borderId="54" xfId="0" applyFont="1" applyFill="1" applyBorder="1" applyAlignment="1">
      <alignment horizontal="right"/>
    </xf>
    <xf numFmtId="0" fontId="7" fillId="33" borderId="57" xfId="0" applyFont="1" applyFill="1" applyBorder="1" applyAlignment="1">
      <alignment horizontal="right"/>
    </xf>
    <xf numFmtId="6" fontId="7" fillId="33" borderId="57" xfId="0" applyNumberFormat="1" applyFont="1" applyFill="1" applyBorder="1" applyAlignment="1">
      <alignment horizontal="right"/>
    </xf>
    <xf numFmtId="169" fontId="7" fillId="33" borderId="57" xfId="0" applyNumberFormat="1" applyFont="1" applyFill="1" applyBorder="1" applyAlignment="1">
      <alignment/>
    </xf>
    <xf numFmtId="6" fontId="7" fillId="33" borderId="57" xfId="0" applyNumberFormat="1" applyFont="1" applyFill="1" applyBorder="1" applyAlignment="1">
      <alignment/>
    </xf>
    <xf numFmtId="6" fontId="7" fillId="33" borderId="57" xfId="0" applyNumberFormat="1" applyFont="1" applyFill="1" applyBorder="1" applyAlignment="1" applyProtection="1">
      <alignment/>
      <protection/>
    </xf>
    <xf numFmtId="6" fontId="7" fillId="33" borderId="33" xfId="0" applyNumberFormat="1" applyFont="1" applyFill="1" applyBorder="1" applyAlignment="1" applyProtection="1">
      <alignment/>
      <protection/>
    </xf>
    <xf numFmtId="0" fontId="0" fillId="33" borderId="56" xfId="0" applyFill="1" applyBorder="1" applyAlignment="1">
      <alignment vertical="center"/>
    </xf>
    <xf numFmtId="0" fontId="19" fillId="33" borderId="57" xfId="0" applyFont="1" applyFill="1" applyBorder="1" applyAlignment="1">
      <alignment/>
    </xf>
    <xf numFmtId="0" fontId="80" fillId="33" borderId="0" xfId="0" applyFont="1" applyFill="1" applyBorder="1" applyAlignment="1">
      <alignment/>
    </xf>
    <xf numFmtId="0" fontId="7" fillId="35" borderId="0" xfId="0" applyFont="1" applyFill="1" applyBorder="1" applyAlignment="1" applyProtection="1">
      <alignment horizontal="right" vertical="center"/>
      <protection locked="0"/>
    </xf>
    <xf numFmtId="0" fontId="24" fillId="33" borderId="0" xfId="0" applyFont="1" applyFill="1" applyBorder="1" applyAlignment="1">
      <alignment horizontal="left" vertical="center"/>
    </xf>
    <xf numFmtId="0" fontId="84" fillId="33" borderId="0" xfId="0" applyFont="1" applyFill="1" applyBorder="1" applyAlignment="1">
      <alignment/>
    </xf>
    <xf numFmtId="0" fontId="24" fillId="33" borderId="55" xfId="0" applyFont="1" applyFill="1" applyBorder="1" applyAlignment="1">
      <alignment horizontal="left" vertical="center"/>
    </xf>
    <xf numFmtId="0" fontId="11" fillId="33" borderId="0" xfId="0" applyFont="1" applyFill="1" applyBorder="1" applyAlignment="1">
      <alignment/>
    </xf>
    <xf numFmtId="0" fontId="0" fillId="33" borderId="0" xfId="0" applyFill="1" applyBorder="1" applyAlignment="1">
      <alignment horizontal="left"/>
    </xf>
    <xf numFmtId="0" fontId="0" fillId="33" borderId="55" xfId="0" applyFont="1" applyFill="1" applyBorder="1" applyAlignment="1">
      <alignment/>
    </xf>
    <xf numFmtId="44" fontId="24" fillId="33" borderId="54" xfId="0" applyNumberFormat="1" applyFont="1" applyFill="1" applyBorder="1" applyAlignment="1">
      <alignment horizontal="center" vertical="center"/>
    </xf>
    <xf numFmtId="0" fontId="83" fillId="33" borderId="54" xfId="0" applyFont="1" applyFill="1" applyBorder="1" applyAlignment="1">
      <alignment/>
    </xf>
    <xf numFmtId="0" fontId="83" fillId="33" borderId="39" xfId="0" applyFont="1" applyFill="1" applyBorder="1" applyAlignment="1">
      <alignment/>
    </xf>
    <xf numFmtId="0" fontId="16" fillId="33" borderId="0" xfId="0" applyFont="1" applyFill="1" applyBorder="1" applyAlignment="1">
      <alignment horizontal="left"/>
    </xf>
    <xf numFmtId="0" fontId="81" fillId="33" borderId="0" xfId="0" applyFont="1" applyFill="1" applyBorder="1" applyAlignment="1" applyProtection="1">
      <alignment/>
      <protection locked="0"/>
    </xf>
    <xf numFmtId="0" fontId="80" fillId="33" borderId="0" xfId="0" applyFont="1" applyFill="1" applyBorder="1" applyAlignment="1" applyProtection="1">
      <alignment vertical="center"/>
      <protection locked="0"/>
    </xf>
    <xf numFmtId="0" fontId="80" fillId="33" borderId="0"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xf>
    <xf numFmtId="0" fontId="80" fillId="33" borderId="0" xfId="0" applyFont="1" applyFill="1" applyBorder="1" applyAlignment="1">
      <alignment horizontal="left" vertical="center"/>
    </xf>
    <xf numFmtId="0" fontId="85" fillId="33" borderId="0" xfId="0" applyFont="1" applyFill="1" applyBorder="1" applyAlignment="1">
      <alignment horizontal="left" vertical="center"/>
    </xf>
    <xf numFmtId="0" fontId="80" fillId="33" borderId="0" xfId="0" applyFont="1" applyFill="1" applyBorder="1" applyAlignment="1">
      <alignment vertical="center"/>
    </xf>
    <xf numFmtId="0" fontId="7" fillId="33" borderId="55" xfId="0" applyFont="1" applyFill="1" applyBorder="1" applyAlignment="1">
      <alignment horizontal="right"/>
    </xf>
    <xf numFmtId="49" fontId="7" fillId="33" borderId="0" xfId="0" applyNumberFormat="1" applyFont="1" applyFill="1" applyBorder="1" applyAlignment="1">
      <alignment horizontal="right"/>
    </xf>
    <xf numFmtId="0" fontId="85" fillId="33" borderId="0" xfId="0" applyFont="1" applyFill="1" applyBorder="1" applyAlignment="1">
      <alignment horizontal="center"/>
    </xf>
    <xf numFmtId="0" fontId="81" fillId="33" borderId="0" xfId="0" applyFont="1" applyFill="1" applyBorder="1" applyAlignment="1">
      <alignment/>
    </xf>
    <xf numFmtId="0" fontId="80" fillId="33" borderId="0" xfId="0" applyFont="1" applyFill="1" applyBorder="1" applyAlignment="1" applyProtection="1">
      <alignment/>
      <protection/>
    </xf>
    <xf numFmtId="0" fontId="80" fillId="33" borderId="0" xfId="0" applyFont="1" applyFill="1" applyBorder="1" applyAlignment="1" applyProtection="1">
      <alignment vertical="center" wrapText="1"/>
      <protection locked="0"/>
    </xf>
    <xf numFmtId="0" fontId="81" fillId="33" borderId="0" xfId="0" applyFont="1" applyFill="1" applyBorder="1" applyAlignment="1" applyProtection="1">
      <alignment vertical="center"/>
      <protection locked="0"/>
    </xf>
    <xf numFmtId="0" fontId="80" fillId="33" borderId="0" xfId="0" applyFont="1" applyFill="1" applyBorder="1" applyAlignment="1" applyProtection="1">
      <alignment vertical="center"/>
      <protection locked="0"/>
    </xf>
    <xf numFmtId="0" fontId="7" fillId="33" borderId="0" xfId="0" applyFont="1" applyFill="1" applyBorder="1" applyAlignment="1">
      <alignment vertical="center" wrapText="1"/>
    </xf>
    <xf numFmtId="0" fontId="29" fillId="33" borderId="0" xfId="0" applyFont="1" applyFill="1" applyBorder="1" applyAlignment="1">
      <alignment horizontal="center"/>
    </xf>
    <xf numFmtId="0" fontId="24" fillId="33" borderId="0" xfId="0" applyFont="1" applyFill="1" applyBorder="1" applyAlignment="1">
      <alignment horizontal="center" wrapText="1"/>
    </xf>
    <xf numFmtId="0" fontId="11" fillId="33" borderId="0" xfId="0" applyFont="1" applyFill="1" applyBorder="1" applyAlignment="1">
      <alignment wrapText="1"/>
    </xf>
    <xf numFmtId="0" fontId="95" fillId="33" borderId="0" xfId="0" applyFont="1" applyFill="1" applyBorder="1" applyAlignment="1">
      <alignment wrapText="1"/>
    </xf>
    <xf numFmtId="0" fontId="24" fillId="33" borderId="55" xfId="0" applyFont="1" applyFill="1" applyBorder="1" applyAlignment="1">
      <alignment horizontal="center" vertical="center" wrapText="1"/>
    </xf>
    <xf numFmtId="0" fontId="0" fillId="33" borderId="0" xfId="0" applyFill="1" applyBorder="1" applyAlignment="1">
      <alignment vertical="center"/>
    </xf>
    <xf numFmtId="0" fontId="7" fillId="33" borderId="0" xfId="0" applyFont="1" applyFill="1" applyBorder="1" applyAlignment="1">
      <alignment horizontal="centerContinuous" vertical="center" wrapText="1"/>
    </xf>
    <xf numFmtId="0" fontId="71" fillId="33" borderId="0" xfId="0" applyFont="1" applyFill="1" applyBorder="1" applyAlignment="1">
      <alignment horizontal="center" vertical="center"/>
    </xf>
    <xf numFmtId="44" fontId="7" fillId="33" borderId="55" xfId="0" applyNumberFormat="1" applyFont="1" applyFill="1" applyBorder="1" applyAlignment="1">
      <alignment vertical="center"/>
    </xf>
    <xf numFmtId="0" fontId="7" fillId="33" borderId="0" xfId="0" applyFont="1" applyFill="1" applyBorder="1" applyAlignment="1">
      <alignment horizontal="centerContinuous" vertical="center"/>
    </xf>
    <xf numFmtId="0" fontId="29" fillId="33" borderId="0" xfId="0" applyFont="1" applyFill="1" applyBorder="1" applyAlignment="1">
      <alignment horizontal="centerContinuous" vertical="center"/>
    </xf>
    <xf numFmtId="0" fontId="7" fillId="33" borderId="55" xfId="0" applyFont="1" applyFill="1" applyBorder="1" applyAlignment="1">
      <alignment vertical="center"/>
    </xf>
    <xf numFmtId="0" fontId="7" fillId="33" borderId="54" xfId="0" applyFont="1" applyFill="1" applyBorder="1" applyAlignment="1">
      <alignment horizontal="right" vertical="center"/>
    </xf>
    <xf numFmtId="0" fontId="7" fillId="33" borderId="54" xfId="0" applyFont="1" applyFill="1" applyBorder="1" applyAlignment="1">
      <alignment vertical="center"/>
    </xf>
    <xf numFmtId="0" fontId="17" fillId="33" borderId="57" xfId="0" applyFont="1" applyFill="1" applyBorder="1" applyAlignment="1">
      <alignment horizontal="center"/>
    </xf>
    <xf numFmtId="0" fontId="17" fillId="33" borderId="33" xfId="0" applyFont="1" applyFill="1" applyBorder="1" applyAlignment="1">
      <alignment horizontal="center"/>
    </xf>
    <xf numFmtId="0" fontId="17" fillId="33" borderId="55" xfId="0" applyFont="1" applyFill="1" applyBorder="1" applyAlignment="1">
      <alignment horizontal="center"/>
    </xf>
    <xf numFmtId="0" fontId="17" fillId="33" borderId="54" xfId="0" applyFont="1" applyFill="1" applyBorder="1" applyAlignment="1">
      <alignment horizontal="center"/>
    </xf>
    <xf numFmtId="0" fontId="17" fillId="33" borderId="39" xfId="0" applyFont="1" applyFill="1" applyBorder="1" applyAlignment="1">
      <alignment horizontal="center"/>
    </xf>
    <xf numFmtId="38" fontId="18" fillId="33" borderId="0" xfId="0" applyNumberFormat="1" applyFont="1" applyFill="1" applyBorder="1" applyAlignment="1">
      <alignment horizontal="center"/>
    </xf>
    <xf numFmtId="0" fontId="19" fillId="34" borderId="0" xfId="0" applyFont="1" applyFill="1" applyBorder="1" applyAlignment="1">
      <alignment/>
    </xf>
    <xf numFmtId="0" fontId="24" fillId="34" borderId="0" xfId="0" applyFont="1" applyFill="1" applyBorder="1" applyAlignment="1">
      <alignment/>
    </xf>
    <xf numFmtId="0" fontId="24" fillId="34" borderId="0" xfId="0" applyFont="1" applyFill="1" applyBorder="1" applyAlignment="1">
      <alignment vertical="center"/>
    </xf>
    <xf numFmtId="0" fontId="24" fillId="34" borderId="0" xfId="0" applyFont="1" applyFill="1" applyBorder="1" applyAlignment="1">
      <alignment horizontal="left"/>
    </xf>
    <xf numFmtId="0" fontId="24" fillId="34" borderId="0" xfId="0" applyFont="1" applyFill="1" applyBorder="1" applyAlignment="1">
      <alignment horizontal="left" vertical="center"/>
    </xf>
    <xf numFmtId="0" fontId="81" fillId="34" borderId="0" xfId="0" applyFont="1" applyFill="1" applyBorder="1" applyAlignment="1">
      <alignment/>
    </xf>
    <xf numFmtId="42" fontId="79" fillId="34" borderId="0" xfId="0" applyNumberFormat="1" applyFont="1" applyFill="1" applyBorder="1" applyAlignment="1">
      <alignment vertical="center"/>
    </xf>
    <xf numFmtId="44" fontId="7" fillId="34" borderId="14" xfId="0" applyNumberFormat="1" applyFont="1" applyFill="1" applyBorder="1" applyAlignment="1">
      <alignment/>
    </xf>
    <xf numFmtId="0" fontId="83" fillId="34" borderId="0" xfId="0" applyFont="1" applyFill="1" applyBorder="1" applyAlignment="1">
      <alignment/>
    </xf>
    <xf numFmtId="49" fontId="7" fillId="34" borderId="0" xfId="0" applyNumberFormat="1" applyFont="1" applyFill="1" applyBorder="1" applyAlignment="1">
      <alignment horizontal="right" vertical="top"/>
    </xf>
    <xf numFmtId="0" fontId="7" fillId="34" borderId="0" xfId="0" applyFont="1" applyFill="1" applyBorder="1" applyAlignment="1">
      <alignment horizontal="left" wrapText="1"/>
    </xf>
    <xf numFmtId="44" fontId="24" fillId="34" borderId="0" xfId="0" applyNumberFormat="1" applyFont="1" applyFill="1" applyBorder="1" applyAlignment="1">
      <alignment horizontal="center" vertical="center"/>
    </xf>
    <xf numFmtId="0" fontId="16" fillId="34" borderId="0" xfId="0" applyFont="1" applyFill="1" applyBorder="1" applyAlignment="1">
      <alignment horizontal="left"/>
    </xf>
    <xf numFmtId="173" fontId="7" fillId="34" borderId="14" xfId="0" applyNumberFormat="1" applyFont="1" applyFill="1" applyBorder="1" applyAlignment="1">
      <alignment/>
    </xf>
    <xf numFmtId="0" fontId="7" fillId="34" borderId="0" xfId="0" applyFont="1" applyFill="1" applyBorder="1" applyAlignment="1">
      <alignment horizontal="center"/>
    </xf>
    <xf numFmtId="0" fontId="44" fillId="34" borderId="13" xfId="0" applyFont="1" applyFill="1" applyBorder="1" applyAlignment="1">
      <alignment/>
    </xf>
    <xf numFmtId="0" fontId="44" fillId="34" borderId="0" xfId="0" applyFont="1" applyFill="1" applyBorder="1" applyAlignment="1">
      <alignment/>
    </xf>
    <xf numFmtId="0" fontId="44" fillId="34" borderId="13" xfId="0" applyFont="1" applyFill="1" applyBorder="1" applyAlignment="1" applyProtection="1">
      <alignment/>
      <protection/>
    </xf>
    <xf numFmtId="0" fontId="44" fillId="34" borderId="0" xfId="0" applyFont="1" applyFill="1" applyBorder="1" applyAlignment="1" applyProtection="1">
      <alignment/>
      <protection/>
    </xf>
    <xf numFmtId="0" fontId="7" fillId="34" borderId="0" xfId="0" applyFont="1" applyFill="1" applyBorder="1" applyAlignment="1" applyProtection="1">
      <alignment horizontal="right"/>
      <protection/>
    </xf>
    <xf numFmtId="0" fontId="0" fillId="34" borderId="0" xfId="0" applyFill="1" applyBorder="1" applyAlignment="1" applyProtection="1">
      <alignment/>
      <protection/>
    </xf>
    <xf numFmtId="0" fontId="7" fillId="34" borderId="14" xfId="0" applyFont="1" applyFill="1" applyBorder="1" applyAlignment="1" applyProtection="1">
      <alignment/>
      <protection/>
    </xf>
    <xf numFmtId="0" fontId="89" fillId="34" borderId="0" xfId="0" applyFont="1" applyFill="1" applyBorder="1" applyAlignment="1">
      <alignment horizontal="left"/>
    </xf>
    <xf numFmtId="0" fontId="90" fillId="34" borderId="0" xfId="0" applyFont="1" applyFill="1" applyBorder="1" applyAlignment="1">
      <alignment/>
    </xf>
    <xf numFmtId="0" fontId="91" fillId="34" borderId="0" xfId="0" applyFont="1" applyFill="1" applyBorder="1" applyAlignment="1">
      <alignment/>
    </xf>
    <xf numFmtId="0" fontId="88" fillId="34" borderId="0" xfId="0" applyFont="1" applyFill="1" applyBorder="1" applyAlignment="1">
      <alignment horizontal="center" vertical="center" wrapText="1"/>
    </xf>
    <xf numFmtId="0" fontId="11" fillId="34" borderId="0" xfId="0" applyFont="1" applyFill="1" applyBorder="1" applyAlignment="1">
      <alignment horizontal="right" vertical="center"/>
    </xf>
    <xf numFmtId="40" fontId="11" fillId="34" borderId="0" xfId="0" applyNumberFormat="1" applyFont="1" applyFill="1" applyBorder="1" applyAlignment="1">
      <alignment horizontal="center" vertical="center" wrapText="1"/>
    </xf>
    <xf numFmtId="40" fontId="88" fillId="34" borderId="0" xfId="0" applyNumberFormat="1" applyFont="1" applyFill="1" applyBorder="1" applyAlignment="1">
      <alignment horizontal="center" vertical="center"/>
    </xf>
    <xf numFmtId="6" fontId="7" fillId="34" borderId="14" xfId="0" applyNumberFormat="1" applyFont="1" applyFill="1" applyBorder="1" applyAlignment="1">
      <alignment/>
    </xf>
    <xf numFmtId="6" fontId="7" fillId="34" borderId="14" xfId="0" applyNumberFormat="1" applyFont="1" applyFill="1" applyBorder="1" applyAlignment="1" applyProtection="1">
      <alignment/>
      <protection/>
    </xf>
    <xf numFmtId="0" fontId="0" fillId="34" borderId="13" xfId="0" applyFill="1" applyBorder="1" applyAlignment="1">
      <alignment vertical="center"/>
    </xf>
    <xf numFmtId="0" fontId="0" fillId="34" borderId="14" xfId="0" applyFill="1" applyBorder="1" applyAlignment="1">
      <alignment vertical="center" wrapText="1"/>
    </xf>
    <xf numFmtId="38" fontId="7" fillId="34" borderId="14" xfId="0" applyNumberFormat="1" applyFont="1" applyFill="1" applyBorder="1" applyAlignment="1" applyProtection="1">
      <alignment/>
      <protection/>
    </xf>
    <xf numFmtId="0" fontId="7" fillId="33" borderId="0" xfId="0" applyFont="1" applyFill="1" applyBorder="1" applyAlignment="1">
      <alignment horizontal="center" vertical="center"/>
    </xf>
    <xf numFmtId="0" fontId="12" fillId="41" borderId="0" xfId="0" applyFont="1" applyFill="1" applyBorder="1" applyAlignment="1">
      <alignment horizontal="centerContinuous" vertical="center"/>
    </xf>
    <xf numFmtId="0" fontId="34" fillId="41" borderId="0" xfId="0" applyFont="1" applyFill="1" applyBorder="1" applyAlignment="1">
      <alignment horizontal="centerContinuous" vertical="center"/>
    </xf>
    <xf numFmtId="0" fontId="14" fillId="36" borderId="0" xfId="0" applyFont="1" applyFill="1" applyBorder="1" applyAlignment="1">
      <alignment horizontal="centerContinuous" vertical="center"/>
    </xf>
    <xf numFmtId="0" fontId="65" fillId="33" borderId="0" xfId="0" applyFont="1" applyFill="1" applyBorder="1" applyAlignment="1">
      <alignment horizontal="center" vertical="center" wrapText="1"/>
    </xf>
    <xf numFmtId="44" fontId="7" fillId="33" borderId="54" xfId="0" applyNumberFormat="1" applyFont="1" applyFill="1" applyBorder="1" applyAlignment="1">
      <alignment vertical="top"/>
    </xf>
    <xf numFmtId="44" fontId="29" fillId="33" borderId="54" xfId="0" applyNumberFormat="1" applyFont="1" applyFill="1" applyBorder="1" applyAlignment="1">
      <alignment horizontal="center" vertical="top"/>
    </xf>
    <xf numFmtId="0" fontId="65" fillId="33" borderId="0" xfId="0" applyFont="1" applyFill="1" applyBorder="1" applyAlignment="1">
      <alignment horizontal="center" vertical="top" wrapText="1"/>
    </xf>
    <xf numFmtId="0" fontId="18" fillId="33" borderId="0" xfId="0" applyFont="1" applyFill="1" applyBorder="1" applyAlignment="1">
      <alignment horizontal="right"/>
    </xf>
    <xf numFmtId="0" fontId="7" fillId="33" borderId="0" xfId="0" applyFont="1" applyFill="1" applyBorder="1" applyAlignment="1">
      <alignment horizontal="right" vertical="center"/>
    </xf>
    <xf numFmtId="0" fontId="7" fillId="35" borderId="0" xfId="0" applyFont="1" applyFill="1" applyBorder="1" applyAlignment="1" applyProtection="1">
      <alignment horizontal="right" vertical="top"/>
      <protection locked="0"/>
    </xf>
    <xf numFmtId="0" fontId="80" fillId="33" borderId="0" xfId="0" applyFont="1" applyFill="1" applyBorder="1" applyAlignment="1">
      <alignment horizontal="right" vertical="top"/>
    </xf>
    <xf numFmtId="0" fontId="80" fillId="33" borderId="0" xfId="0" applyFont="1" applyFill="1" applyBorder="1" applyAlignment="1">
      <alignment vertical="top"/>
    </xf>
    <xf numFmtId="0" fontId="85" fillId="33" borderId="0" xfId="0" applyFont="1" applyFill="1" applyBorder="1" applyAlignment="1">
      <alignment horizontal="left" vertical="top"/>
    </xf>
    <xf numFmtId="0" fontId="17" fillId="33" borderId="0" xfId="0" applyFont="1" applyFill="1" applyBorder="1" applyAlignment="1">
      <alignment horizontal="center" vertical="top"/>
    </xf>
    <xf numFmtId="0" fontId="97" fillId="33" borderId="0" xfId="0" applyFont="1" applyFill="1" applyBorder="1" applyAlignment="1">
      <alignment horizontal="center" vertical="top" wrapText="1"/>
    </xf>
    <xf numFmtId="49" fontId="7" fillId="0" borderId="0" xfId="0" applyNumberFormat="1" applyFont="1" applyAlignment="1">
      <alignment/>
    </xf>
    <xf numFmtId="0" fontId="7" fillId="33" borderId="0" xfId="0" applyNumberFormat="1" applyFont="1" applyFill="1" applyBorder="1" applyAlignment="1" applyProtection="1">
      <alignment horizontal="center" vertical="center" wrapText="1"/>
      <protection locked="0"/>
    </xf>
    <xf numFmtId="38" fontId="18" fillId="33" borderId="0" xfId="0" applyNumberFormat="1" applyFont="1" applyFill="1" applyBorder="1" applyAlignment="1" applyProtection="1">
      <alignment vertical="center"/>
      <protection/>
    </xf>
    <xf numFmtId="0" fontId="65" fillId="33" borderId="0" xfId="0" applyFont="1" applyFill="1" applyBorder="1" applyAlignment="1">
      <alignment horizontal="center" vertical="center" wrapText="1"/>
    </xf>
    <xf numFmtId="40" fontId="65" fillId="33" borderId="0" xfId="0" applyNumberFormat="1" applyFont="1" applyFill="1" applyBorder="1" applyAlignment="1">
      <alignment horizontal="center" vertical="center"/>
    </xf>
    <xf numFmtId="0" fontId="65" fillId="33" borderId="0" xfId="0" applyFont="1" applyFill="1" applyBorder="1" applyAlignment="1">
      <alignment horizontal="center" vertical="center"/>
    </xf>
    <xf numFmtId="0" fontId="39" fillId="33" borderId="0" xfId="0" applyFont="1" applyFill="1" applyBorder="1" applyAlignment="1">
      <alignment/>
    </xf>
    <xf numFmtId="49" fontId="39" fillId="33" borderId="0" xfId="0" applyNumberFormat="1" applyFont="1" applyFill="1" applyBorder="1" applyAlignment="1">
      <alignment horizontal="right" vertical="top"/>
    </xf>
    <xf numFmtId="0" fontId="0" fillId="33" borderId="57" xfId="0" applyFill="1" applyBorder="1" applyAlignment="1">
      <alignment/>
    </xf>
    <xf numFmtId="0" fontId="14" fillId="36" borderId="0" xfId="0" applyFont="1" applyFill="1" applyBorder="1" applyAlignment="1" applyProtection="1">
      <alignment vertical="center"/>
      <protection/>
    </xf>
    <xf numFmtId="0" fontId="12" fillId="36" borderId="0" xfId="0" applyFont="1" applyFill="1" applyBorder="1" applyAlignment="1">
      <alignment horizontal="left" vertical="center"/>
    </xf>
    <xf numFmtId="0" fontId="12" fillId="36" borderId="0" xfId="0" applyFont="1" applyFill="1" applyBorder="1" applyAlignment="1">
      <alignment horizontal="center" vertical="center"/>
    </xf>
    <xf numFmtId="0" fontId="39" fillId="33" borderId="0" xfId="0" applyFont="1" applyFill="1" applyBorder="1" applyAlignment="1">
      <alignment horizontal="right"/>
    </xf>
    <xf numFmtId="0" fontId="104" fillId="33" borderId="0" xfId="0" applyFont="1" applyFill="1" applyBorder="1" applyAlignment="1">
      <alignment horizontal="right"/>
    </xf>
    <xf numFmtId="8" fontId="0" fillId="0" borderId="0" xfId="0" applyNumberFormat="1" applyAlignment="1">
      <alignment vertical="center"/>
    </xf>
    <xf numFmtId="44" fontId="0" fillId="0" borderId="0" xfId="0" applyNumberFormat="1" applyAlignment="1">
      <alignment/>
    </xf>
    <xf numFmtId="42" fontId="7" fillId="33" borderId="0" xfId="0" applyNumberFormat="1" applyFont="1" applyFill="1" applyBorder="1" applyAlignment="1" applyProtection="1">
      <alignment vertical="center"/>
      <protection/>
    </xf>
    <xf numFmtId="3" fontId="7" fillId="33" borderId="0" xfId="0" applyNumberFormat="1" applyFont="1" applyFill="1" applyBorder="1" applyAlignment="1" applyProtection="1">
      <alignment vertical="center"/>
      <protection/>
    </xf>
    <xf numFmtId="44" fontId="14" fillId="33" borderId="0" xfId="0" applyNumberFormat="1" applyFont="1" applyFill="1" applyBorder="1" applyAlignment="1" applyProtection="1">
      <alignment horizontal="center" vertical="center"/>
      <protection/>
    </xf>
    <xf numFmtId="0" fontId="7" fillId="33" borderId="55" xfId="0" applyFont="1" applyFill="1" applyBorder="1" applyAlignment="1" applyProtection="1">
      <alignment vertical="center"/>
      <protection/>
    </xf>
    <xf numFmtId="44" fontId="7" fillId="33" borderId="55" xfId="0" applyNumberFormat="1" applyFont="1" applyFill="1" applyBorder="1" applyAlignment="1" applyProtection="1">
      <alignment horizontal="center" vertical="center"/>
      <protection/>
    </xf>
    <xf numFmtId="44" fontId="7" fillId="33" borderId="39" xfId="0" applyNumberFormat="1" applyFont="1" applyFill="1" applyBorder="1" applyAlignment="1" applyProtection="1">
      <alignment horizontal="center" vertical="center"/>
      <protection/>
    </xf>
    <xf numFmtId="173" fontId="7" fillId="34" borderId="0" xfId="0" applyNumberFormat="1" applyFont="1" applyFill="1" applyBorder="1" applyAlignment="1" applyProtection="1">
      <alignment horizontal="center"/>
      <protection/>
    </xf>
    <xf numFmtId="0" fontId="29" fillId="34" borderId="0" xfId="0" applyFont="1" applyFill="1" applyBorder="1" applyAlignment="1" applyProtection="1">
      <alignment horizontal="center"/>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center" wrapText="1"/>
      <protection/>
    </xf>
    <xf numFmtId="44" fontId="65" fillId="33" borderId="54" xfId="0" applyNumberFormat="1" applyFont="1" applyFill="1" applyBorder="1" applyAlignment="1" applyProtection="1">
      <alignment horizontal="center" vertical="top" wrapText="1"/>
      <protection/>
    </xf>
    <xf numFmtId="0" fontId="14" fillId="34" borderId="0" xfId="0" applyFont="1" applyFill="1" applyBorder="1" applyAlignment="1">
      <alignment horizontal="left"/>
    </xf>
    <xf numFmtId="0" fontId="14" fillId="34" borderId="0" xfId="0" applyFont="1" applyFill="1" applyBorder="1" applyAlignment="1">
      <alignment horizontal="right"/>
    </xf>
    <xf numFmtId="0" fontId="14" fillId="34" borderId="0" xfId="0" applyFont="1" applyFill="1" applyBorder="1" applyAlignment="1">
      <alignment/>
    </xf>
    <xf numFmtId="0" fontId="80" fillId="33" borderId="0" xfId="0" applyFont="1" applyFill="1" applyBorder="1" applyAlignment="1" applyProtection="1">
      <alignment vertical="top"/>
      <protection/>
    </xf>
    <xf numFmtId="44" fontId="7" fillId="33" borderId="54" xfId="0" applyNumberFormat="1" applyFont="1" applyFill="1" applyBorder="1" applyAlignment="1" applyProtection="1">
      <alignment horizontal="center" vertical="top"/>
      <protection/>
    </xf>
    <xf numFmtId="0" fontId="0" fillId="33" borderId="0" xfId="0" applyFill="1" applyBorder="1" applyAlignment="1" applyProtection="1">
      <alignment/>
      <protection/>
    </xf>
    <xf numFmtId="0" fontId="84" fillId="33" borderId="0" xfId="0" applyFont="1" applyFill="1" applyBorder="1" applyAlignment="1" applyProtection="1">
      <alignment/>
      <protection/>
    </xf>
    <xf numFmtId="0" fontId="102" fillId="33" borderId="0" xfId="0" applyFont="1" applyFill="1" applyAlignment="1" applyProtection="1">
      <alignment/>
      <protection locked="0"/>
    </xf>
    <xf numFmtId="0" fontId="7" fillId="33" borderId="0" xfId="0" applyFont="1" applyFill="1" applyBorder="1" applyAlignment="1" applyProtection="1">
      <alignment/>
      <protection locked="0"/>
    </xf>
    <xf numFmtId="44" fontId="80" fillId="33" borderId="0" xfId="0" applyNumberFormat="1" applyFont="1" applyFill="1" applyBorder="1" applyAlignment="1" applyProtection="1">
      <alignment vertical="center"/>
      <protection/>
    </xf>
    <xf numFmtId="0" fontId="7" fillId="35" borderId="0" xfId="0" applyFont="1" applyFill="1" applyBorder="1" applyAlignment="1" applyProtection="1">
      <alignment horizontal="right" vertical="top"/>
      <protection hidden="1"/>
    </xf>
    <xf numFmtId="0" fontId="80" fillId="33" borderId="0" xfId="0" applyFont="1" applyFill="1" applyBorder="1" applyAlignment="1" applyProtection="1">
      <alignment/>
      <protection locked="0"/>
    </xf>
    <xf numFmtId="0" fontId="80" fillId="33" borderId="0" xfId="0" applyFont="1" applyFill="1" applyBorder="1" applyAlignment="1" applyProtection="1">
      <alignment horizontal="left"/>
      <protection locked="0"/>
    </xf>
    <xf numFmtId="0" fontId="17" fillId="42" borderId="0" xfId="0" applyFont="1" applyFill="1" applyBorder="1" applyAlignment="1">
      <alignment horizontal="centerContinuous" vertical="center" wrapText="1"/>
    </xf>
    <xf numFmtId="0" fontId="17" fillId="42" borderId="0" xfId="0" applyFont="1" applyFill="1" applyBorder="1" applyAlignment="1">
      <alignment horizontal="center" vertical="center" wrapText="1"/>
    </xf>
    <xf numFmtId="8" fontId="14" fillId="42" borderId="0" xfId="0" applyNumberFormat="1" applyFont="1" applyFill="1" applyBorder="1" applyAlignment="1">
      <alignment/>
    </xf>
    <xf numFmtId="8" fontId="14" fillId="42" borderId="0" xfId="0" applyNumberFormat="1" applyFont="1" applyFill="1" applyBorder="1" applyAlignment="1">
      <alignment horizontal="center"/>
    </xf>
    <xf numFmtId="8" fontId="7" fillId="42" borderId="0" xfId="0" applyNumberFormat="1" applyFont="1" applyFill="1" applyBorder="1" applyAlignment="1">
      <alignment horizontal="center"/>
    </xf>
    <xf numFmtId="38" fontId="7" fillId="42" borderId="0" xfId="0" applyNumberFormat="1" applyFont="1" applyFill="1" applyBorder="1" applyAlignment="1">
      <alignment/>
    </xf>
    <xf numFmtId="0" fontId="7" fillId="42" borderId="0" xfId="0" applyFont="1" applyFill="1" applyBorder="1" applyAlignment="1">
      <alignment horizontal="center"/>
    </xf>
    <xf numFmtId="0" fontId="0" fillId="42" borderId="0" xfId="0" applyFill="1" applyBorder="1" applyAlignment="1">
      <alignment horizontal="center"/>
    </xf>
    <xf numFmtId="42" fontId="60" fillId="35" borderId="84" xfId="0" applyNumberFormat="1" applyFont="1" applyFill="1" applyBorder="1" applyAlignment="1" applyProtection="1">
      <alignment/>
      <protection locked="0"/>
    </xf>
    <xf numFmtId="0" fontId="42" fillId="33" borderId="0" xfId="0" applyFont="1" applyFill="1" applyBorder="1" applyAlignment="1">
      <alignment horizontal="left" vertical="top"/>
    </xf>
    <xf numFmtId="0" fontId="11" fillId="33" borderId="0" xfId="0" applyFont="1" applyFill="1" applyBorder="1" applyAlignment="1">
      <alignment horizontal="left"/>
    </xf>
    <xf numFmtId="0" fontId="50" fillId="34" borderId="0" xfId="0" applyFont="1" applyFill="1" applyBorder="1" applyAlignment="1">
      <alignment vertical="top"/>
    </xf>
    <xf numFmtId="0" fontId="7" fillId="0" borderId="71" xfId="0" applyFont="1" applyFill="1" applyBorder="1" applyAlignment="1">
      <alignment/>
    </xf>
    <xf numFmtId="0" fontId="7" fillId="0" borderId="85" xfId="0" applyFont="1" applyFill="1" applyBorder="1" applyAlignment="1">
      <alignment/>
    </xf>
    <xf numFmtId="0" fontId="7" fillId="0" borderId="85" xfId="0" applyNumberFormat="1" applyFont="1" applyFill="1" applyBorder="1" applyAlignment="1">
      <alignment/>
    </xf>
    <xf numFmtId="0" fontId="0" fillId="0" borderId="0" xfId="0" applyAlignment="1" applyProtection="1">
      <alignment/>
      <protection locked="0"/>
    </xf>
    <xf numFmtId="0" fontId="14" fillId="34" borderId="0" xfId="0" applyFont="1" applyFill="1" applyBorder="1" applyAlignment="1">
      <alignment horizontal="right" vertical="top"/>
    </xf>
    <xf numFmtId="0" fontId="14" fillId="34" borderId="0" xfId="0" applyFont="1" applyFill="1" applyBorder="1" applyAlignment="1">
      <alignment vertical="top"/>
    </xf>
    <xf numFmtId="0" fontId="14" fillId="34" borderId="0" xfId="0" applyFont="1" applyFill="1" applyBorder="1" applyAlignment="1">
      <alignment horizontal="left" vertical="top"/>
    </xf>
    <xf numFmtId="0" fontId="21" fillId="34" borderId="0" xfId="0" applyFont="1" applyFill="1" applyBorder="1" applyAlignment="1">
      <alignment vertical="center"/>
    </xf>
    <xf numFmtId="0" fontId="8" fillId="34" borderId="0" xfId="0" applyFont="1" applyFill="1" applyBorder="1" applyAlignment="1">
      <alignment vertical="center"/>
    </xf>
    <xf numFmtId="42" fontId="7" fillId="40" borderId="83" xfId="0" applyNumberFormat="1" applyFont="1" applyFill="1" applyBorder="1" applyAlignment="1" applyProtection="1">
      <alignment/>
      <protection locked="0"/>
    </xf>
    <xf numFmtId="42" fontId="7" fillId="33" borderId="77" xfId="0" applyNumberFormat="1" applyFont="1" applyFill="1" applyBorder="1" applyAlignment="1" applyProtection="1">
      <alignment/>
      <protection/>
    </xf>
    <xf numFmtId="42" fontId="7" fillId="35" borderId="83" xfId="0" applyNumberFormat="1" applyFont="1" applyFill="1" applyBorder="1" applyAlignment="1" applyProtection="1">
      <alignment/>
      <protection locked="0"/>
    </xf>
    <xf numFmtId="42" fontId="7" fillId="37" borderId="77" xfId="0" applyNumberFormat="1" applyFont="1" applyFill="1" applyBorder="1" applyAlignment="1" applyProtection="1">
      <alignment/>
      <protection/>
    </xf>
    <xf numFmtId="0" fontId="0" fillId="34" borderId="14" xfId="0" applyFill="1" applyBorder="1" applyAlignment="1">
      <alignment wrapText="1"/>
    </xf>
    <xf numFmtId="42" fontId="60" fillId="35" borderId="86" xfId="0" applyNumberFormat="1" applyFont="1" applyFill="1" applyBorder="1" applyAlignment="1" applyProtection="1">
      <alignment/>
      <protection locked="0"/>
    </xf>
    <xf numFmtId="42" fontId="60" fillId="35" borderId="87" xfId="0" applyNumberFormat="1" applyFont="1" applyFill="1" applyBorder="1" applyAlignment="1" applyProtection="1">
      <alignment/>
      <protection locked="0"/>
    </xf>
    <xf numFmtId="42" fontId="60" fillId="35" borderId="88" xfId="0" applyNumberFormat="1" applyFont="1" applyFill="1" applyBorder="1" applyAlignment="1" applyProtection="1">
      <alignment/>
      <protection locked="0"/>
    </xf>
    <xf numFmtId="6" fontId="7" fillId="33" borderId="79" xfId="0" applyNumberFormat="1" applyFont="1" applyFill="1" applyBorder="1" applyAlignment="1" applyProtection="1">
      <alignment/>
      <protection/>
    </xf>
    <xf numFmtId="6" fontId="7" fillId="33" borderId="50" xfId="0" applyNumberFormat="1" applyFont="1" applyFill="1" applyBorder="1" applyAlignment="1" applyProtection="1">
      <alignment vertical="center"/>
      <protection/>
    </xf>
    <xf numFmtId="0" fontId="11" fillId="33" borderId="0" xfId="0" applyNumberFormat="1" applyFont="1" applyFill="1" applyBorder="1" applyAlignment="1" applyProtection="1">
      <alignment horizontal="right" vertical="center"/>
      <protection/>
    </xf>
    <xf numFmtId="0" fontId="7" fillId="33" borderId="79" xfId="0"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42" fontId="7" fillId="33" borderId="79" xfId="0" applyNumberFormat="1" applyFont="1" applyFill="1" applyBorder="1" applyAlignment="1" applyProtection="1">
      <alignment/>
      <protection/>
    </xf>
    <xf numFmtId="0" fontId="59" fillId="35" borderId="89" xfId="0" applyFont="1" applyFill="1" applyBorder="1" applyAlignment="1" applyProtection="1">
      <alignment/>
      <protection locked="0"/>
    </xf>
    <xf numFmtId="0" fontId="59" fillId="35" borderId="62" xfId="0" applyFont="1" applyFill="1" applyBorder="1" applyAlignment="1" applyProtection="1">
      <alignment/>
      <protection locked="0"/>
    </xf>
    <xf numFmtId="0" fontId="59" fillId="35" borderId="90" xfId="0" applyFont="1" applyFill="1" applyBorder="1" applyAlignment="1" applyProtection="1">
      <alignment/>
      <protection locked="0"/>
    </xf>
    <xf numFmtId="0" fontId="60" fillId="35" borderId="43" xfId="0" applyFont="1" applyFill="1" applyBorder="1" applyAlignment="1" applyProtection="1">
      <alignment/>
      <protection locked="0"/>
    </xf>
    <xf numFmtId="0" fontId="60" fillId="35" borderId="48" xfId="0" applyFont="1" applyFill="1" applyBorder="1" applyAlignment="1" applyProtection="1">
      <alignment/>
      <protection locked="0"/>
    </xf>
    <xf numFmtId="42" fontId="15" fillId="33" borderId="0" xfId="0" applyNumberFormat="1" applyFont="1" applyFill="1" applyBorder="1" applyAlignment="1" applyProtection="1">
      <alignment/>
      <protection/>
    </xf>
    <xf numFmtId="0" fontId="15" fillId="33" borderId="0" xfId="0" applyFont="1" applyFill="1" applyBorder="1" applyAlignment="1" applyProtection="1">
      <alignment/>
      <protection/>
    </xf>
    <xf numFmtId="42" fontId="7" fillId="33" borderId="91" xfId="0" applyNumberFormat="1" applyFont="1" applyFill="1" applyBorder="1" applyAlignment="1" applyProtection="1">
      <alignment/>
      <protection/>
    </xf>
    <xf numFmtId="42" fontId="15" fillId="33" borderId="0" xfId="0" applyNumberFormat="1" applyFont="1" applyFill="1" applyBorder="1" applyAlignment="1" applyProtection="1">
      <alignment/>
      <protection/>
    </xf>
    <xf numFmtId="42" fontId="15" fillId="33" borderId="78" xfId="0" applyNumberFormat="1" applyFont="1" applyFill="1" applyBorder="1" applyAlignment="1" applyProtection="1">
      <alignment/>
      <protection/>
    </xf>
    <xf numFmtId="42" fontId="60" fillId="35" borderId="92" xfId="0" applyNumberFormat="1" applyFont="1" applyFill="1" applyBorder="1" applyAlignment="1" applyProtection="1">
      <alignment/>
      <protection locked="0"/>
    </xf>
    <xf numFmtId="42" fontId="60" fillId="35" borderId="93" xfId="0" applyNumberFormat="1" applyFont="1" applyFill="1" applyBorder="1" applyAlignment="1" applyProtection="1">
      <alignment/>
      <protection locked="0"/>
    </xf>
    <xf numFmtId="42" fontId="7" fillId="37" borderId="94" xfId="0" applyNumberFormat="1" applyFont="1" applyFill="1" applyBorder="1" applyAlignment="1" applyProtection="1">
      <alignment/>
      <protection/>
    </xf>
    <xf numFmtId="42" fontId="61" fillId="35" borderId="92" xfId="0" applyNumberFormat="1" applyFont="1" applyFill="1" applyBorder="1" applyAlignment="1" applyProtection="1">
      <alignment horizontal="right"/>
      <protection locked="0"/>
    </xf>
    <xf numFmtId="42" fontId="61" fillId="35" borderId="88" xfId="0" applyNumberFormat="1" applyFont="1" applyFill="1" applyBorder="1" applyAlignment="1" applyProtection="1">
      <alignment/>
      <protection locked="0"/>
    </xf>
    <xf numFmtId="42" fontId="61" fillId="35" borderId="93" xfId="0" applyNumberFormat="1" applyFont="1" applyFill="1" applyBorder="1" applyAlignment="1" applyProtection="1">
      <alignment/>
      <protection locked="0"/>
    </xf>
    <xf numFmtId="0" fontId="11" fillId="35" borderId="95" xfId="0" applyFont="1" applyFill="1" applyBorder="1" applyAlignment="1" applyProtection="1">
      <alignment horizontal="center" vertical="center" wrapText="1"/>
      <protection locked="0"/>
    </xf>
    <xf numFmtId="42" fontId="60" fillId="33" borderId="30" xfId="0" applyNumberFormat="1" applyFont="1" applyFill="1" applyBorder="1" applyAlignment="1" applyProtection="1">
      <alignment/>
      <protection/>
    </xf>
    <xf numFmtId="0" fontId="106" fillId="34" borderId="0" xfId="0" applyFont="1" applyFill="1" applyAlignment="1">
      <alignment/>
    </xf>
    <xf numFmtId="38" fontId="7" fillId="34" borderId="0" xfId="0" applyNumberFormat="1" applyFont="1" applyFill="1" applyBorder="1" applyAlignment="1">
      <alignment/>
    </xf>
    <xf numFmtId="0" fontId="11" fillId="33" borderId="0" xfId="0" applyFont="1" applyFill="1" applyBorder="1" applyAlignment="1">
      <alignment horizontal="center"/>
    </xf>
    <xf numFmtId="2" fontId="11" fillId="33" borderId="0" xfId="0" applyNumberFormat="1" applyFont="1" applyFill="1" applyBorder="1" applyAlignment="1">
      <alignment horizontal="center" vertical="center"/>
    </xf>
    <xf numFmtId="0" fontId="24" fillId="33" borderId="54" xfId="0" applyFont="1" applyFill="1" applyBorder="1" applyAlignment="1">
      <alignment horizontal="center" vertical="center"/>
    </xf>
    <xf numFmtId="3" fontId="24" fillId="33" borderId="0" xfId="0" applyNumberFormat="1" applyFont="1" applyFill="1" applyBorder="1" applyAlignment="1">
      <alignment horizontal="right" vertical="center"/>
    </xf>
    <xf numFmtId="38" fontId="7" fillId="33" borderId="0" xfId="0" applyNumberFormat="1" applyFont="1" applyFill="1" applyBorder="1" applyAlignment="1">
      <alignment vertical="center"/>
    </xf>
    <xf numFmtId="169" fontId="7" fillId="33" borderId="0" xfId="0" applyNumberFormat="1" applyFont="1" applyFill="1" applyBorder="1" applyAlignment="1">
      <alignment vertical="center"/>
    </xf>
    <xf numFmtId="8" fontId="12" fillId="36" borderId="0" xfId="0" applyNumberFormat="1" applyFont="1" applyFill="1" applyBorder="1" applyAlignment="1">
      <alignment vertical="center"/>
    </xf>
    <xf numFmtId="8" fontId="12" fillId="36" borderId="0" xfId="0" applyNumberFormat="1" applyFont="1" applyFill="1" applyBorder="1" applyAlignment="1" applyProtection="1">
      <alignment vertical="center"/>
      <protection/>
    </xf>
    <xf numFmtId="173" fontId="12" fillId="36" borderId="0" xfId="0" applyNumberFormat="1" applyFont="1" applyFill="1" applyBorder="1" applyAlignment="1">
      <alignment/>
    </xf>
    <xf numFmtId="173" fontId="12" fillId="36" borderId="0" xfId="0" applyNumberFormat="1" applyFont="1" applyFill="1" applyBorder="1" applyAlignment="1">
      <alignment horizontal="right"/>
    </xf>
    <xf numFmtId="0" fontId="17" fillId="42" borderId="55" xfId="0" applyFont="1" applyFill="1" applyBorder="1" applyAlignment="1">
      <alignment horizontal="centerContinuous" vertical="center" wrapText="1"/>
    </xf>
    <xf numFmtId="8" fontId="7" fillId="42" borderId="55" xfId="0" applyNumberFormat="1" applyFont="1" applyFill="1" applyBorder="1" applyAlignment="1">
      <alignment horizontal="center"/>
    </xf>
    <xf numFmtId="38" fontId="7" fillId="42" borderId="56" xfId="0" applyNumberFormat="1" applyFont="1" applyFill="1" applyBorder="1" applyAlignment="1">
      <alignment/>
    </xf>
    <xf numFmtId="0" fontId="7" fillId="42" borderId="55" xfId="0" applyFont="1" applyFill="1" applyBorder="1" applyAlignment="1">
      <alignment horizontal="center"/>
    </xf>
    <xf numFmtId="0" fontId="0" fillId="42" borderId="54" xfId="0" applyFill="1" applyBorder="1" applyAlignment="1">
      <alignment horizontal="center"/>
    </xf>
    <xf numFmtId="8" fontId="7" fillId="42" borderId="54" xfId="0" applyNumberFormat="1" applyFont="1" applyFill="1" applyBorder="1" applyAlignment="1">
      <alignment horizontal="center"/>
    </xf>
    <xf numFmtId="8" fontId="7" fillId="42" borderId="39" xfId="0" applyNumberFormat="1" applyFont="1" applyFill="1" applyBorder="1" applyAlignment="1">
      <alignment horizontal="center"/>
    </xf>
    <xf numFmtId="8" fontId="14" fillId="42" borderId="55" xfId="0" applyNumberFormat="1" applyFont="1" applyFill="1" applyBorder="1" applyAlignment="1">
      <alignment horizontal="center" vertical="center"/>
    </xf>
    <xf numFmtId="0" fontId="50" fillId="33" borderId="0" xfId="0" applyFont="1" applyFill="1" applyBorder="1" applyAlignment="1">
      <alignment vertical="center" wrapText="1"/>
    </xf>
    <xf numFmtId="0" fontId="14" fillId="33" borderId="0" xfId="0" applyFont="1" applyFill="1" applyBorder="1" applyAlignment="1" applyProtection="1">
      <alignment vertical="center"/>
      <protection/>
    </xf>
    <xf numFmtId="8" fontId="12" fillId="33" borderId="0" xfId="0" applyNumberFormat="1" applyFont="1" applyFill="1" applyBorder="1" applyAlignment="1" applyProtection="1">
      <alignment vertical="center"/>
      <protection/>
    </xf>
    <xf numFmtId="0" fontId="53" fillId="33" borderId="0" xfId="0" applyFont="1" applyFill="1" applyBorder="1" applyAlignment="1" applyProtection="1">
      <alignment horizontal="centerContinuous" vertical="center"/>
      <protection/>
    </xf>
    <xf numFmtId="173" fontId="12" fillId="33" borderId="0" xfId="0" applyNumberFormat="1" applyFont="1" applyFill="1" applyBorder="1" applyAlignment="1">
      <alignment/>
    </xf>
    <xf numFmtId="0" fontId="7" fillId="42" borderId="56" xfId="0" applyFont="1" applyFill="1" applyBorder="1" applyAlignment="1">
      <alignment/>
    </xf>
    <xf numFmtId="0" fontId="0" fillId="42" borderId="56" xfId="0" applyFill="1" applyBorder="1" applyAlignment="1">
      <alignment/>
    </xf>
    <xf numFmtId="0" fontId="0" fillId="42" borderId="37" xfId="0" applyFill="1" applyBorder="1" applyAlignment="1">
      <alignment/>
    </xf>
    <xf numFmtId="42" fontId="68" fillId="43" borderId="96" xfId="0" applyNumberFormat="1" applyFont="1" applyFill="1" applyBorder="1" applyAlignment="1" applyProtection="1">
      <alignment horizontal="center" vertical="center"/>
      <protection/>
    </xf>
    <xf numFmtId="42" fontId="68" fillId="43" borderId="0" xfId="0" applyNumberFormat="1" applyFont="1" applyFill="1" applyBorder="1" applyAlignment="1" applyProtection="1">
      <alignment horizontal="center" vertical="center"/>
      <protection/>
    </xf>
    <xf numFmtId="0" fontId="109" fillId="33" borderId="55" xfId="0" applyFont="1" applyFill="1" applyBorder="1" applyAlignment="1">
      <alignment/>
    </xf>
    <xf numFmtId="8" fontId="12" fillId="36" borderId="0" xfId="0" applyNumberFormat="1" applyFont="1" applyFill="1" applyBorder="1" applyAlignment="1">
      <alignment horizontal="center" vertical="center"/>
    </xf>
    <xf numFmtId="44" fontId="0" fillId="0" borderId="0" xfId="0" applyNumberFormat="1" applyFill="1" applyAlignment="1">
      <alignment/>
    </xf>
    <xf numFmtId="37" fontId="79" fillId="34" borderId="0" xfId="0" applyNumberFormat="1" applyFont="1" applyFill="1" applyBorder="1" applyAlignment="1">
      <alignment vertical="center"/>
    </xf>
    <xf numFmtId="42" fontId="60" fillId="35" borderId="97" xfId="0" applyNumberFormat="1" applyFont="1" applyFill="1" applyBorder="1" applyAlignment="1" applyProtection="1">
      <alignment/>
      <protection locked="0"/>
    </xf>
    <xf numFmtId="42" fontId="60" fillId="35" borderId="98" xfId="0" applyNumberFormat="1" applyFont="1" applyFill="1" applyBorder="1" applyAlignment="1" applyProtection="1">
      <alignment/>
      <protection locked="0"/>
    </xf>
    <xf numFmtId="42" fontId="60" fillId="35" borderId="99" xfId="0" applyNumberFormat="1" applyFont="1" applyFill="1" applyBorder="1" applyAlignment="1" applyProtection="1">
      <alignment/>
      <protection locked="0"/>
    </xf>
    <xf numFmtId="42" fontId="7" fillId="37" borderId="66" xfId="0" applyNumberFormat="1" applyFont="1" applyFill="1" applyBorder="1" applyAlignment="1" applyProtection="1">
      <alignment/>
      <protection/>
    </xf>
    <xf numFmtId="42" fontId="7" fillId="37" borderId="100" xfId="0" applyNumberFormat="1" applyFont="1" applyFill="1" applyBorder="1" applyAlignment="1" applyProtection="1">
      <alignment/>
      <protection/>
    </xf>
    <xf numFmtId="3" fontId="7" fillId="33" borderId="55" xfId="0" applyNumberFormat="1" applyFont="1" applyFill="1" applyBorder="1" applyAlignment="1" applyProtection="1">
      <alignment/>
      <protection/>
    </xf>
    <xf numFmtId="6" fontId="7" fillId="33" borderId="55" xfId="0" applyNumberFormat="1" applyFont="1" applyFill="1" applyBorder="1" applyAlignment="1" applyProtection="1">
      <alignment/>
      <protection/>
    </xf>
    <xf numFmtId="8" fontId="12" fillId="33" borderId="55" xfId="0" applyNumberFormat="1" applyFont="1" applyFill="1" applyBorder="1" applyAlignment="1" applyProtection="1">
      <alignment/>
      <protection/>
    </xf>
    <xf numFmtId="0" fontId="7" fillId="33" borderId="55" xfId="0" applyFont="1" applyFill="1" applyBorder="1" applyAlignment="1" applyProtection="1">
      <alignment/>
      <protection/>
    </xf>
    <xf numFmtId="0" fontId="0" fillId="34" borderId="0" xfId="0" applyFill="1" applyBorder="1" applyAlignment="1" applyProtection="1">
      <alignment/>
      <protection/>
    </xf>
    <xf numFmtId="0" fontId="0" fillId="34" borderId="14" xfId="0" applyFill="1" applyBorder="1" applyAlignment="1" applyProtection="1">
      <alignment/>
      <protection/>
    </xf>
    <xf numFmtId="0" fontId="14" fillId="34" borderId="0" xfId="0" applyFont="1" applyFill="1" applyBorder="1" applyAlignment="1" applyProtection="1">
      <alignment horizontal="centerContinuous"/>
      <protection/>
    </xf>
    <xf numFmtId="0" fontId="99" fillId="34" borderId="0" xfId="0" applyFont="1" applyFill="1" applyBorder="1" applyAlignment="1" applyProtection="1">
      <alignment horizontal="centerContinuous"/>
      <protection/>
    </xf>
    <xf numFmtId="0" fontId="14" fillId="34" borderId="14" xfId="0" applyFont="1" applyFill="1" applyBorder="1" applyAlignment="1" applyProtection="1">
      <alignment/>
      <protection/>
    </xf>
    <xf numFmtId="0" fontId="14" fillId="34" borderId="0" xfId="0" applyFont="1" applyFill="1" applyBorder="1" applyAlignment="1" applyProtection="1">
      <alignment vertical="center"/>
      <protection/>
    </xf>
    <xf numFmtId="0" fontId="14" fillId="34" borderId="0" xfId="0" applyFont="1" applyFill="1" applyBorder="1" applyAlignment="1" applyProtection="1">
      <alignment horizontal="left" vertical="center"/>
      <protection/>
    </xf>
    <xf numFmtId="0" fontId="14" fillId="34" borderId="14" xfId="0" applyFont="1" applyFill="1" applyBorder="1" applyAlignment="1" applyProtection="1">
      <alignment horizontal="left" vertical="center"/>
      <protection/>
    </xf>
    <xf numFmtId="0" fontId="38" fillId="34" borderId="0" xfId="0" applyFont="1" applyFill="1" applyBorder="1" applyAlignment="1" applyProtection="1">
      <alignment/>
      <protection/>
    </xf>
    <xf numFmtId="0" fontId="0" fillId="34" borderId="0" xfId="0" applyFill="1" applyBorder="1" applyAlignment="1" applyProtection="1">
      <alignment horizontal="centerContinuous"/>
      <protection/>
    </xf>
    <xf numFmtId="0" fontId="0" fillId="34" borderId="14" xfId="0" applyFill="1" applyBorder="1" applyAlignment="1" applyProtection="1">
      <alignment/>
      <protection/>
    </xf>
    <xf numFmtId="0" fontId="40" fillId="34" borderId="0" xfId="0" applyFont="1" applyFill="1" applyBorder="1" applyAlignment="1" applyProtection="1">
      <alignment horizontal="center"/>
      <protection/>
    </xf>
    <xf numFmtId="0" fontId="7" fillId="34" borderId="0" xfId="0" applyFont="1" applyFill="1" applyBorder="1" applyAlignment="1" applyProtection="1">
      <alignment/>
      <protection/>
    </xf>
    <xf numFmtId="173" fontId="14" fillId="33" borderId="0" xfId="0" applyNumberFormat="1" applyFont="1" applyFill="1" applyBorder="1" applyAlignment="1">
      <alignment horizontal="center"/>
    </xf>
    <xf numFmtId="42" fontId="60" fillId="35" borderId="101" xfId="0" applyNumberFormat="1" applyFont="1" applyFill="1" applyBorder="1" applyAlignment="1" applyProtection="1">
      <alignment/>
      <protection locked="0"/>
    </xf>
    <xf numFmtId="42" fontId="60" fillId="35" borderId="102" xfId="0" applyNumberFormat="1" applyFont="1" applyFill="1" applyBorder="1" applyAlignment="1" applyProtection="1">
      <alignment/>
      <protection locked="0"/>
    </xf>
    <xf numFmtId="42" fontId="60" fillId="35" borderId="103" xfId="0" applyNumberFormat="1" applyFont="1" applyFill="1" applyBorder="1" applyAlignment="1" applyProtection="1">
      <alignment/>
      <protection locked="0"/>
    </xf>
    <xf numFmtId="42" fontId="7" fillId="33" borderId="82" xfId="0" applyNumberFormat="1" applyFont="1" applyFill="1" applyBorder="1" applyAlignment="1" applyProtection="1">
      <alignment/>
      <protection/>
    </xf>
    <xf numFmtId="42" fontId="7" fillId="33" borderId="77" xfId="0" applyNumberFormat="1" applyFont="1" applyFill="1" applyBorder="1" applyAlignment="1" applyProtection="1">
      <alignment/>
      <protection/>
    </xf>
    <xf numFmtId="42" fontId="7" fillId="37" borderId="79" xfId="0" applyNumberFormat="1" applyFont="1" applyFill="1" applyBorder="1" applyAlignment="1" applyProtection="1">
      <alignment/>
      <protection/>
    </xf>
    <xf numFmtId="8" fontId="7" fillId="0" borderId="0" xfId="0" applyNumberFormat="1" applyFont="1" applyAlignment="1">
      <alignment/>
    </xf>
    <xf numFmtId="0" fontId="65" fillId="33" borderId="0" xfId="0" applyFont="1" applyFill="1" applyBorder="1" applyAlignment="1" applyProtection="1">
      <alignment horizontal="center" vertical="center" wrapText="1"/>
      <protection/>
    </xf>
    <xf numFmtId="0" fontId="39" fillId="33" borderId="58" xfId="0" applyFont="1" applyFill="1" applyBorder="1" applyAlignment="1" applyProtection="1">
      <alignment horizontal="center" wrapText="1"/>
      <protection/>
    </xf>
    <xf numFmtId="0" fontId="39" fillId="33" borderId="21" xfId="0" applyFont="1" applyFill="1" applyBorder="1" applyAlignment="1" applyProtection="1">
      <alignment horizontal="center" wrapText="1"/>
      <protection/>
    </xf>
    <xf numFmtId="0" fontId="0" fillId="0" borderId="0" xfId="0" applyAlignment="1" applyProtection="1">
      <alignment/>
      <protection/>
    </xf>
    <xf numFmtId="0" fontId="0" fillId="34" borderId="10" xfId="0" applyFill="1" applyBorder="1" applyAlignment="1" applyProtection="1">
      <alignment/>
      <protection/>
    </xf>
    <xf numFmtId="0" fontId="0" fillId="34" borderId="11" xfId="0" applyFill="1" applyBorder="1" applyAlignment="1" applyProtection="1">
      <alignment/>
      <protection/>
    </xf>
    <xf numFmtId="0" fontId="0" fillId="34" borderId="11" xfId="0" applyFont="1" applyFill="1" applyBorder="1" applyAlignment="1" applyProtection="1">
      <alignment/>
      <protection/>
    </xf>
    <xf numFmtId="0" fontId="7" fillId="34" borderId="12" xfId="0" applyFont="1" applyFill="1" applyBorder="1" applyAlignment="1" applyProtection="1">
      <alignment/>
      <protection/>
    </xf>
    <xf numFmtId="0" fontId="7" fillId="34" borderId="13" xfId="0" applyFont="1" applyFill="1" applyBorder="1" applyAlignment="1" applyProtection="1">
      <alignment/>
      <protection/>
    </xf>
    <xf numFmtId="0" fontId="21" fillId="34" borderId="0" xfId="0" applyFont="1" applyFill="1" applyBorder="1" applyAlignment="1" applyProtection="1">
      <alignment/>
      <protection/>
    </xf>
    <xf numFmtId="0" fontId="8" fillId="34" borderId="0" xfId="0" applyFont="1" applyFill="1" applyBorder="1" applyAlignment="1" applyProtection="1">
      <alignment/>
      <protection/>
    </xf>
    <xf numFmtId="0" fontId="14" fillId="34" borderId="0" xfId="0" applyFont="1" applyFill="1" applyBorder="1" applyAlignment="1" applyProtection="1">
      <alignment horizontal="right"/>
      <protection/>
    </xf>
    <xf numFmtId="0" fontId="14" fillId="34" borderId="0" xfId="0" applyFont="1" applyFill="1" applyBorder="1" applyAlignment="1" applyProtection="1">
      <alignment/>
      <protection/>
    </xf>
    <xf numFmtId="0" fontId="14" fillId="34" borderId="0" xfId="0" applyFont="1" applyFill="1" applyBorder="1" applyAlignment="1" applyProtection="1">
      <alignment horizontal="left"/>
      <protection/>
    </xf>
    <xf numFmtId="49" fontId="19" fillId="0" borderId="0" xfId="0" applyNumberFormat="1" applyFont="1" applyAlignment="1" applyProtection="1">
      <alignment horizontal="right" vertical="center"/>
      <protection/>
    </xf>
    <xf numFmtId="0" fontId="16" fillId="34" borderId="0" xfId="0" applyFont="1" applyFill="1" applyBorder="1" applyAlignment="1" applyProtection="1">
      <alignment/>
      <protection/>
    </xf>
    <xf numFmtId="0" fontId="16" fillId="34" borderId="0" xfId="0" applyFont="1" applyFill="1" applyBorder="1" applyAlignment="1" applyProtection="1">
      <alignment horizontal="right"/>
      <protection/>
    </xf>
    <xf numFmtId="0" fontId="7" fillId="34" borderId="13" xfId="0" applyFont="1" applyFill="1" applyBorder="1" applyAlignment="1" applyProtection="1">
      <alignment vertical="center"/>
      <protection/>
    </xf>
    <xf numFmtId="49" fontId="70" fillId="34" borderId="0" xfId="0" applyNumberFormat="1" applyFont="1" applyFill="1" applyBorder="1" applyAlignment="1" applyProtection="1">
      <alignment horizontal="right" vertical="center"/>
      <protection/>
    </xf>
    <xf numFmtId="0" fontId="70" fillId="34" borderId="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0" borderId="0" xfId="0" applyFont="1" applyAlignment="1" applyProtection="1">
      <alignment vertical="center"/>
      <protection/>
    </xf>
    <xf numFmtId="0" fontId="7" fillId="34" borderId="14" xfId="0" applyFont="1" applyFill="1" applyBorder="1" applyAlignment="1" applyProtection="1">
      <alignment vertical="center"/>
      <protection/>
    </xf>
    <xf numFmtId="0" fontId="0" fillId="34" borderId="13" xfId="0" applyFill="1" applyBorder="1" applyAlignment="1" applyProtection="1">
      <alignment/>
      <protection/>
    </xf>
    <xf numFmtId="0" fontId="0" fillId="34" borderId="0" xfId="0" applyFont="1" applyFill="1" applyBorder="1" applyAlignment="1" applyProtection="1">
      <alignment/>
      <protection/>
    </xf>
    <xf numFmtId="0" fontId="0" fillId="33" borderId="104" xfId="0" applyFill="1" applyBorder="1" applyAlignment="1" applyProtection="1">
      <alignment/>
      <protection/>
    </xf>
    <xf numFmtId="0" fontId="8" fillId="33" borderId="105" xfId="0" applyFont="1" applyFill="1" applyBorder="1" applyAlignment="1" applyProtection="1">
      <alignment/>
      <protection/>
    </xf>
    <xf numFmtId="0" fontId="7" fillId="33" borderId="105" xfId="0" applyFont="1" applyFill="1" applyBorder="1" applyAlignment="1" applyProtection="1">
      <alignment/>
      <protection/>
    </xf>
    <xf numFmtId="0" fontId="7" fillId="33" borderId="106" xfId="0" applyFont="1" applyFill="1" applyBorder="1" applyAlignment="1" applyProtection="1">
      <alignment horizontal="center" wrapText="1"/>
      <protection/>
    </xf>
    <xf numFmtId="0" fontId="7" fillId="33" borderId="107" xfId="0" applyFont="1" applyFill="1" applyBorder="1" applyAlignment="1" applyProtection="1">
      <alignment horizontal="center" wrapText="1"/>
      <protection/>
    </xf>
    <xf numFmtId="0" fontId="7" fillId="33" borderId="57" xfId="0" applyFont="1" applyFill="1" applyBorder="1" applyAlignment="1" applyProtection="1">
      <alignment horizontal="center" wrapText="1"/>
      <protection/>
    </xf>
    <xf numFmtId="0" fontId="0" fillId="33" borderId="72" xfId="0" applyFont="1" applyFill="1" applyBorder="1" applyAlignment="1" applyProtection="1">
      <alignment horizontal="center" wrapText="1"/>
      <protection/>
    </xf>
    <xf numFmtId="0" fontId="0" fillId="33" borderId="108" xfId="0" applyFill="1" applyBorder="1" applyAlignment="1" applyProtection="1">
      <alignment/>
      <protection/>
    </xf>
    <xf numFmtId="0" fontId="8" fillId="33" borderId="0" xfId="0" applyFont="1" applyFill="1" applyBorder="1" applyAlignment="1" applyProtection="1">
      <alignment/>
      <protection/>
    </xf>
    <xf numFmtId="0" fontId="7" fillId="33" borderId="0" xfId="0" applyFont="1" applyFill="1" applyBorder="1" applyAlignment="1" applyProtection="1">
      <alignment horizontal="center" wrapText="1"/>
      <protection/>
    </xf>
    <xf numFmtId="0" fontId="0" fillId="33" borderId="0" xfId="0" applyFont="1" applyFill="1" applyBorder="1" applyAlignment="1" applyProtection="1">
      <alignment horizontal="center" wrapText="1"/>
      <protection/>
    </xf>
    <xf numFmtId="0" fontId="8" fillId="33" borderId="72" xfId="0" applyFont="1" applyFill="1" applyBorder="1" applyAlignment="1" applyProtection="1">
      <alignment/>
      <protection/>
    </xf>
    <xf numFmtId="0" fontId="7" fillId="33" borderId="72" xfId="0" applyFont="1" applyFill="1" applyBorder="1" applyAlignment="1" applyProtection="1">
      <alignment/>
      <protection/>
    </xf>
    <xf numFmtId="0" fontId="39" fillId="33" borderId="61" xfId="0" applyFont="1" applyFill="1" applyBorder="1" applyAlignment="1" applyProtection="1">
      <alignment horizontal="center" wrapText="1"/>
      <protection/>
    </xf>
    <xf numFmtId="0" fontId="8" fillId="33" borderId="109" xfId="0" applyFont="1" applyFill="1" applyBorder="1" applyAlignment="1" applyProtection="1">
      <alignment horizontal="centerContinuous"/>
      <protection/>
    </xf>
    <xf numFmtId="0" fontId="11" fillId="33" borderId="109" xfId="0" applyFont="1" applyFill="1" applyBorder="1" applyAlignment="1" applyProtection="1">
      <alignment horizontal="centerContinuous"/>
      <protection/>
    </xf>
    <xf numFmtId="0" fontId="11" fillId="33" borderId="109" xfId="0" applyFont="1" applyFill="1" applyBorder="1" applyAlignment="1" applyProtection="1">
      <alignment horizontal="center"/>
      <protection/>
    </xf>
    <xf numFmtId="0" fontId="0" fillId="33" borderId="110" xfId="0" applyFill="1" applyBorder="1" applyAlignment="1" applyProtection="1">
      <alignment/>
      <protection/>
    </xf>
    <xf numFmtId="0" fontId="8" fillId="33" borderId="54" xfId="0" applyFont="1" applyFill="1" applyBorder="1" applyAlignment="1" applyProtection="1">
      <alignment horizontal="centerContinuous"/>
      <protection/>
    </xf>
    <xf numFmtId="0" fontId="11" fillId="33" borderId="54" xfId="0" applyFont="1" applyFill="1" applyBorder="1" applyAlignment="1" applyProtection="1">
      <alignment horizontal="centerContinuous"/>
      <protection/>
    </xf>
    <xf numFmtId="0" fontId="11" fillId="33" borderId="54" xfId="0" applyFont="1" applyFill="1" applyBorder="1" applyAlignment="1" applyProtection="1">
      <alignment horizontal="center"/>
      <protection/>
    </xf>
    <xf numFmtId="0" fontId="8" fillId="34" borderId="0" xfId="0" applyFont="1" applyFill="1" applyBorder="1" applyAlignment="1" applyProtection="1">
      <alignment horizontal="centerContinuous"/>
      <protection/>
    </xf>
    <xf numFmtId="0" fontId="11" fillId="34" borderId="0" xfId="0" applyFont="1" applyFill="1" applyBorder="1" applyAlignment="1" applyProtection="1">
      <alignment horizontal="centerContinuous"/>
      <protection/>
    </xf>
    <xf numFmtId="0" fontId="11" fillId="34" borderId="30" xfId="0" applyFont="1" applyFill="1" applyBorder="1" applyAlignment="1" applyProtection="1">
      <alignment horizontal="center"/>
      <protection/>
    </xf>
    <xf numFmtId="0" fontId="0" fillId="33" borderId="31" xfId="0" applyFill="1" applyBorder="1" applyAlignment="1" applyProtection="1">
      <alignment/>
      <protection/>
    </xf>
    <xf numFmtId="0" fontId="8" fillId="33" borderId="57" xfId="0" applyFont="1" applyFill="1" applyBorder="1" applyAlignment="1" applyProtection="1">
      <alignment horizontal="centerContinuous"/>
      <protection/>
    </xf>
    <xf numFmtId="0" fontId="11" fillId="33" borderId="57" xfId="0" applyFont="1" applyFill="1" applyBorder="1" applyAlignment="1" applyProtection="1">
      <alignment horizontal="centerContinuous"/>
      <protection/>
    </xf>
    <xf numFmtId="0" fontId="11" fillId="33" borderId="0" xfId="0" applyFont="1" applyFill="1" applyBorder="1" applyAlignment="1" applyProtection="1">
      <alignment horizontal="centerContinuous"/>
      <protection/>
    </xf>
    <xf numFmtId="0" fontId="11" fillId="33" borderId="0" xfId="0" applyFont="1" applyFill="1" applyBorder="1" applyAlignment="1" applyProtection="1">
      <alignment horizontal="center"/>
      <protection/>
    </xf>
    <xf numFmtId="0" fontId="0" fillId="33" borderId="56" xfId="0" applyFill="1" applyBorder="1" applyAlignment="1" applyProtection="1">
      <alignment/>
      <protection/>
    </xf>
    <xf numFmtId="0" fontId="12" fillId="36" borderId="0" xfId="0" applyFont="1" applyFill="1" applyBorder="1" applyAlignment="1" applyProtection="1">
      <alignment/>
      <protection/>
    </xf>
    <xf numFmtId="6" fontId="12" fillId="36" borderId="0" xfId="0" applyNumberFormat="1" applyFont="1" applyFill="1" applyBorder="1" applyAlignment="1" applyProtection="1">
      <alignment/>
      <protection/>
    </xf>
    <xf numFmtId="6" fontId="12" fillId="33" borderId="55" xfId="0" applyNumberFormat="1" applyFont="1" applyFill="1" applyBorder="1" applyAlignment="1" applyProtection="1">
      <alignment/>
      <protection/>
    </xf>
    <xf numFmtId="6" fontId="12" fillId="34" borderId="0" xfId="0" applyNumberFormat="1" applyFont="1" applyFill="1" applyBorder="1" applyAlignment="1" applyProtection="1">
      <alignment/>
      <protection/>
    </xf>
    <xf numFmtId="6" fontId="12" fillId="33" borderId="56" xfId="0" applyNumberFormat="1" applyFont="1" applyFill="1" applyBorder="1" applyAlignment="1" applyProtection="1">
      <alignment/>
      <protection/>
    </xf>
    <xf numFmtId="6" fontId="0" fillId="36" borderId="0" xfId="0" applyNumberFormat="1" applyFill="1" applyBorder="1" applyAlignment="1" applyProtection="1">
      <alignment/>
      <protection/>
    </xf>
    <xf numFmtId="6" fontId="0" fillId="33" borderId="55" xfId="0" applyNumberFormat="1" applyFill="1" applyBorder="1" applyAlignment="1" applyProtection="1">
      <alignment/>
      <protection/>
    </xf>
    <xf numFmtId="6" fontId="0" fillId="34" borderId="0" xfId="0" applyNumberFormat="1" applyFill="1" applyBorder="1" applyAlignment="1" applyProtection="1">
      <alignment/>
      <protection/>
    </xf>
    <xf numFmtId="6" fontId="12" fillId="33" borderId="0" xfId="0" applyNumberFormat="1" applyFont="1" applyFill="1" applyBorder="1" applyAlignment="1" applyProtection="1">
      <alignment/>
      <protection/>
    </xf>
    <xf numFmtId="6" fontId="0" fillId="33" borderId="0" xfId="0" applyNumberFormat="1" applyFill="1" applyBorder="1" applyAlignment="1" applyProtection="1">
      <alignment/>
      <protection/>
    </xf>
    <xf numFmtId="0" fontId="105" fillId="36" borderId="0" xfId="0" applyFont="1" applyFill="1" applyBorder="1" applyAlignment="1" applyProtection="1">
      <alignment vertical="center"/>
      <protection/>
    </xf>
    <xf numFmtId="0" fontId="67" fillId="36" borderId="0" xfId="0" applyNumberFormat="1" applyFont="1" applyFill="1" applyBorder="1" applyAlignment="1" applyProtection="1">
      <alignment horizontal="centerContinuous"/>
      <protection/>
    </xf>
    <xf numFmtId="6" fontId="68" fillId="36" borderId="0" xfId="0" applyNumberFormat="1" applyFont="1" applyFill="1" applyBorder="1" applyAlignment="1" applyProtection="1">
      <alignment/>
      <protection/>
    </xf>
    <xf numFmtId="6" fontId="68" fillId="33" borderId="55" xfId="0" applyNumberFormat="1" applyFont="1" applyFill="1" applyBorder="1" applyAlignment="1" applyProtection="1">
      <alignment/>
      <protection/>
    </xf>
    <xf numFmtId="6" fontId="68" fillId="34" borderId="0" xfId="0" applyNumberFormat="1" applyFont="1" applyFill="1" applyBorder="1" applyAlignment="1" applyProtection="1">
      <alignment/>
      <protection/>
    </xf>
    <xf numFmtId="6" fontId="68" fillId="33" borderId="56" xfId="0" applyNumberFormat="1" applyFont="1" applyFill="1" applyBorder="1" applyAlignment="1" applyProtection="1">
      <alignment/>
      <protection/>
    </xf>
    <xf numFmtId="6" fontId="68" fillId="36" borderId="56" xfId="0" applyNumberFormat="1" applyFont="1" applyFill="1" applyBorder="1" applyAlignment="1" applyProtection="1">
      <alignment/>
      <protection/>
    </xf>
    <xf numFmtId="0" fontId="15" fillId="33" borderId="0" xfId="0" applyFont="1" applyFill="1" applyBorder="1" applyAlignment="1" applyProtection="1">
      <alignment vertical="center"/>
      <protection/>
    </xf>
    <xf numFmtId="0" fontId="67" fillId="33" borderId="0" xfId="0" applyNumberFormat="1" applyFont="1" applyFill="1" applyBorder="1" applyAlignment="1" applyProtection="1">
      <alignment horizontal="centerContinuous"/>
      <protection/>
    </xf>
    <xf numFmtId="6" fontId="68" fillId="33" borderId="0" xfId="0" applyNumberFormat="1" applyFont="1" applyFill="1" applyBorder="1" applyAlignment="1" applyProtection="1">
      <alignment/>
      <protection/>
    </xf>
    <xf numFmtId="0" fontId="0" fillId="37" borderId="31" xfId="0" applyFill="1" applyBorder="1" applyAlignment="1" applyProtection="1">
      <alignment/>
      <protection/>
    </xf>
    <xf numFmtId="0" fontId="7" fillId="37" borderId="57" xfId="0" applyFont="1" applyFill="1" applyBorder="1" applyAlignment="1" applyProtection="1">
      <alignment/>
      <protection/>
    </xf>
    <xf numFmtId="0" fontId="7" fillId="37" borderId="33" xfId="0" applyFont="1" applyFill="1" applyBorder="1" applyAlignment="1" applyProtection="1">
      <alignment/>
      <protection/>
    </xf>
    <xf numFmtId="42" fontId="7" fillId="33" borderId="111" xfId="0" applyNumberFormat="1" applyFont="1" applyFill="1" applyBorder="1" applyAlignment="1" applyProtection="1">
      <alignment/>
      <protection/>
    </xf>
    <xf numFmtId="0" fontId="0" fillId="37" borderId="56" xfId="0" applyFill="1" applyBorder="1" applyAlignment="1" applyProtection="1">
      <alignment/>
      <protection/>
    </xf>
    <xf numFmtId="0" fontId="18" fillId="37" borderId="0" xfId="0" applyFont="1" applyFill="1" applyBorder="1" applyAlignment="1" applyProtection="1">
      <alignment horizontal="centerContinuous"/>
      <protection/>
    </xf>
    <xf numFmtId="0" fontId="7" fillId="37" borderId="0" xfId="0" applyFont="1" applyFill="1" applyBorder="1" applyAlignment="1" applyProtection="1">
      <alignment horizontal="centerContinuous"/>
      <protection/>
    </xf>
    <xf numFmtId="0" fontId="7" fillId="37" borderId="55" xfId="0" applyFont="1" applyFill="1" applyBorder="1" applyAlignment="1" applyProtection="1">
      <alignment/>
      <protection/>
    </xf>
    <xf numFmtId="0" fontId="53" fillId="37" borderId="0" xfId="0" applyFont="1" applyFill="1" applyBorder="1" applyAlignment="1" applyProtection="1">
      <alignment horizontal="centerContinuous"/>
      <protection/>
    </xf>
    <xf numFmtId="0" fontId="42" fillId="37" borderId="0" xfId="0" applyFont="1" applyFill="1" applyBorder="1" applyAlignment="1" applyProtection="1">
      <alignment horizontal="centerContinuous"/>
      <protection/>
    </xf>
    <xf numFmtId="0" fontId="42" fillId="37" borderId="55" xfId="0" applyFont="1" applyFill="1" applyBorder="1" applyAlignment="1" applyProtection="1">
      <alignment/>
      <protection/>
    </xf>
    <xf numFmtId="0" fontId="0" fillId="37" borderId="37" xfId="0" applyFill="1" applyBorder="1" applyAlignment="1" applyProtection="1">
      <alignment/>
      <protection/>
    </xf>
    <xf numFmtId="0" fontId="7" fillId="37" borderId="54" xfId="0" applyFont="1" applyFill="1" applyBorder="1" applyAlignment="1" applyProtection="1">
      <alignment/>
      <protection/>
    </xf>
    <xf numFmtId="0" fontId="7" fillId="37" borderId="39" xfId="0" applyFont="1" applyFill="1" applyBorder="1" applyAlignment="1" applyProtection="1">
      <alignment/>
      <protection/>
    </xf>
    <xf numFmtId="42" fontId="7" fillId="33" borderId="30" xfId="0" applyNumberFormat="1" applyFont="1" applyFill="1" applyBorder="1" applyAlignment="1" applyProtection="1">
      <alignment/>
      <protection/>
    </xf>
    <xf numFmtId="0" fontId="7" fillId="33" borderId="18" xfId="0" applyNumberFormat="1" applyFont="1" applyFill="1" applyBorder="1" applyAlignment="1" applyProtection="1">
      <alignment/>
      <protection/>
    </xf>
    <xf numFmtId="0" fontId="0" fillId="33" borderId="0" xfId="0" applyFill="1" applyAlignment="1" applyProtection="1">
      <alignment/>
      <protection/>
    </xf>
    <xf numFmtId="0" fontId="11" fillId="33" borderId="18" xfId="0" applyNumberFormat="1" applyFont="1" applyFill="1" applyBorder="1" applyAlignment="1" applyProtection="1">
      <alignment/>
      <protection/>
    </xf>
    <xf numFmtId="0" fontId="66" fillId="36" borderId="0" xfId="0" applyNumberFormat="1" applyFont="1" applyFill="1" applyBorder="1" applyAlignment="1" applyProtection="1">
      <alignment horizontal="centerContinuous" vertical="center"/>
      <protection/>
    </xf>
    <xf numFmtId="6" fontId="15" fillId="33" borderId="55" xfId="0" applyNumberFormat="1" applyFont="1" applyFill="1" applyBorder="1" applyAlignment="1" applyProtection="1">
      <alignment vertical="center"/>
      <protection/>
    </xf>
    <xf numFmtId="6" fontId="15" fillId="34" borderId="0" xfId="0" applyNumberFormat="1" applyFont="1" applyFill="1" applyBorder="1" applyAlignment="1" applyProtection="1">
      <alignment vertical="center"/>
      <protection/>
    </xf>
    <xf numFmtId="6" fontId="15" fillId="33" borderId="56" xfId="0" applyNumberFormat="1" applyFont="1" applyFill="1" applyBorder="1" applyAlignment="1" applyProtection="1">
      <alignment vertical="center"/>
      <protection/>
    </xf>
    <xf numFmtId="0" fontId="46" fillId="33" borderId="0" xfId="0" applyFont="1" applyFill="1" applyBorder="1" applyAlignment="1" applyProtection="1">
      <alignment vertical="center"/>
      <protection/>
    </xf>
    <xf numFmtId="0" fontId="66" fillId="33" borderId="0" xfId="0" applyNumberFormat="1" applyFont="1" applyFill="1" applyBorder="1" applyAlignment="1" applyProtection="1">
      <alignment horizontal="centerContinuous" vertical="center"/>
      <protection/>
    </xf>
    <xf numFmtId="0" fontId="0" fillId="38" borderId="31" xfId="0" applyFill="1" applyBorder="1" applyAlignment="1" applyProtection="1">
      <alignment/>
      <protection/>
    </xf>
    <xf numFmtId="0" fontId="7" fillId="38" borderId="57" xfId="0" applyFont="1" applyFill="1" applyBorder="1" applyAlignment="1" applyProtection="1">
      <alignment/>
      <protection/>
    </xf>
    <xf numFmtId="0" fontId="7" fillId="38" borderId="33" xfId="0" applyFont="1" applyFill="1" applyBorder="1" applyAlignment="1" applyProtection="1">
      <alignment/>
      <protection/>
    </xf>
    <xf numFmtId="0" fontId="8" fillId="33" borderId="18" xfId="0" applyFont="1" applyFill="1" applyBorder="1" applyAlignment="1" applyProtection="1">
      <alignment/>
      <protection/>
    </xf>
    <xf numFmtId="42" fontId="7" fillId="33" borderId="18" xfId="0" applyNumberFormat="1" applyFont="1" applyFill="1" applyBorder="1" applyAlignment="1" applyProtection="1">
      <alignment/>
      <protection/>
    </xf>
    <xf numFmtId="0" fontId="0" fillId="38" borderId="56" xfId="0" applyFill="1" applyBorder="1" applyAlignment="1" applyProtection="1">
      <alignment/>
      <protection/>
    </xf>
    <xf numFmtId="0" fontId="18" fillId="38" borderId="0" xfId="0" applyFont="1" applyFill="1" applyBorder="1" applyAlignment="1" applyProtection="1">
      <alignment horizontal="centerContinuous"/>
      <protection/>
    </xf>
    <xf numFmtId="0" fontId="7" fillId="38" borderId="0" xfId="0" applyFont="1" applyFill="1" applyBorder="1" applyAlignment="1" applyProtection="1">
      <alignment horizontal="centerContinuous"/>
      <protection/>
    </xf>
    <xf numFmtId="0" fontId="7" fillId="38" borderId="55" xfId="0" applyFont="1" applyFill="1" applyBorder="1" applyAlignment="1" applyProtection="1">
      <alignment/>
      <protection/>
    </xf>
    <xf numFmtId="42" fontId="7" fillId="37" borderId="112" xfId="0" applyNumberFormat="1" applyFont="1" applyFill="1" applyBorder="1" applyAlignment="1" applyProtection="1">
      <alignment/>
      <protection/>
    </xf>
    <xf numFmtId="0" fontId="53" fillId="38" borderId="0" xfId="0" applyFont="1" applyFill="1" applyBorder="1" applyAlignment="1" applyProtection="1">
      <alignment horizontal="centerContinuous"/>
      <protection/>
    </xf>
    <xf numFmtId="0" fontId="55" fillId="38" borderId="0" xfId="0" applyFont="1" applyFill="1" applyBorder="1" applyAlignment="1" applyProtection="1">
      <alignment horizontal="centerContinuous"/>
      <protection/>
    </xf>
    <xf numFmtId="0" fontId="55" fillId="38" borderId="55" xfId="0" applyFont="1" applyFill="1" applyBorder="1" applyAlignment="1" applyProtection="1">
      <alignment/>
      <protection/>
    </xf>
    <xf numFmtId="0" fontId="0" fillId="38" borderId="37" xfId="0" applyFill="1" applyBorder="1" applyAlignment="1" applyProtection="1">
      <alignment/>
      <protection/>
    </xf>
    <xf numFmtId="0" fontId="7" fillId="38" borderId="54" xfId="0" applyFont="1" applyFill="1" applyBorder="1" applyAlignment="1" applyProtection="1">
      <alignment/>
      <protection/>
    </xf>
    <xf numFmtId="0" fontId="7" fillId="38" borderId="39" xfId="0" applyFont="1" applyFill="1" applyBorder="1" applyAlignment="1" applyProtection="1">
      <alignment/>
      <protection/>
    </xf>
    <xf numFmtId="42" fontId="7" fillId="33" borderId="30" xfId="0" applyNumberFormat="1" applyFont="1" applyFill="1" applyBorder="1" applyAlignment="1" applyProtection="1">
      <alignment/>
      <protection/>
    </xf>
    <xf numFmtId="0" fontId="0" fillId="35" borderId="31" xfId="0" applyFill="1" applyBorder="1" applyAlignment="1" applyProtection="1">
      <alignment/>
      <protection/>
    </xf>
    <xf numFmtId="0" fontId="0" fillId="35" borderId="57" xfId="0" applyFill="1" applyBorder="1" applyAlignment="1" applyProtection="1">
      <alignment/>
      <protection/>
    </xf>
    <xf numFmtId="0" fontId="0" fillId="35" borderId="33" xfId="0" applyFill="1" applyBorder="1" applyAlignment="1" applyProtection="1">
      <alignment/>
      <protection/>
    </xf>
    <xf numFmtId="0" fontId="0" fillId="35" borderId="56" xfId="0" applyFill="1" applyBorder="1" applyAlignment="1" applyProtection="1">
      <alignment/>
      <protection/>
    </xf>
    <xf numFmtId="0" fontId="0" fillId="35" borderId="0" xfId="0" applyFill="1" applyBorder="1" applyAlignment="1" applyProtection="1">
      <alignment/>
      <protection/>
    </xf>
    <xf numFmtId="0" fontId="0" fillId="35" borderId="55" xfId="0" applyFill="1" applyBorder="1" applyAlignment="1" applyProtection="1">
      <alignment/>
      <protection/>
    </xf>
    <xf numFmtId="0" fontId="18" fillId="35" borderId="0" xfId="0" applyFont="1" applyFill="1" applyBorder="1" applyAlignment="1" applyProtection="1">
      <alignment horizontal="centerContinuous"/>
      <protection/>
    </xf>
    <xf numFmtId="0" fontId="7" fillId="35" borderId="0" xfId="0" applyFont="1" applyFill="1" applyBorder="1" applyAlignment="1" applyProtection="1">
      <alignment horizontal="centerContinuous"/>
      <protection/>
    </xf>
    <xf numFmtId="0" fontId="7" fillId="35" borderId="55" xfId="0" applyFont="1" applyFill="1" applyBorder="1" applyAlignment="1" applyProtection="1">
      <alignment/>
      <protection/>
    </xf>
    <xf numFmtId="0" fontId="4" fillId="33" borderId="0" xfId="0" applyNumberFormat="1" applyFont="1" applyFill="1" applyBorder="1" applyAlignment="1" applyProtection="1">
      <alignment horizontal="centerContinuous"/>
      <protection/>
    </xf>
    <xf numFmtId="0" fontId="54" fillId="35" borderId="0" xfId="0" applyFont="1" applyFill="1" applyBorder="1" applyAlignment="1" applyProtection="1">
      <alignment horizontal="centerContinuous"/>
      <protection/>
    </xf>
    <xf numFmtId="0" fontId="0" fillId="35" borderId="0" xfId="0" applyFill="1" applyBorder="1" applyAlignment="1" applyProtection="1">
      <alignment horizontal="centerContinuous"/>
      <protection/>
    </xf>
    <xf numFmtId="0" fontId="53" fillId="35" borderId="0" xfId="0" applyFont="1" applyFill="1" applyBorder="1" applyAlignment="1" applyProtection="1">
      <alignment horizontal="centerContinuous"/>
      <protection/>
    </xf>
    <xf numFmtId="0" fontId="0" fillId="35" borderId="0" xfId="0" applyFill="1" applyBorder="1" applyAlignment="1" applyProtection="1">
      <alignment wrapText="1"/>
      <protection/>
    </xf>
    <xf numFmtId="0" fontId="0" fillId="35" borderId="55" xfId="0" applyFill="1" applyBorder="1" applyAlignment="1" applyProtection="1">
      <alignment wrapText="1"/>
      <protection/>
    </xf>
    <xf numFmtId="0" fontId="0" fillId="0" borderId="0" xfId="0" applyAlignment="1" applyProtection="1">
      <alignment/>
      <protection/>
    </xf>
    <xf numFmtId="0" fontId="15" fillId="36" borderId="0" xfId="0" applyFont="1" applyFill="1" applyBorder="1" applyAlignment="1" applyProtection="1">
      <alignment vertical="center"/>
      <protection/>
    </xf>
    <xf numFmtId="42" fontId="7" fillId="36" borderId="0" xfId="0" applyNumberFormat="1" applyFont="1" applyFill="1" applyBorder="1" applyAlignment="1" applyProtection="1">
      <alignment/>
      <protection/>
    </xf>
    <xf numFmtId="0" fontId="15" fillId="33" borderId="0" xfId="0" applyFont="1" applyFill="1" applyBorder="1" applyAlignment="1" applyProtection="1">
      <alignment vertical="center"/>
      <protection/>
    </xf>
    <xf numFmtId="6" fontId="15" fillId="36" borderId="55" xfId="0" applyNumberFormat="1" applyFont="1" applyFill="1" applyBorder="1" applyAlignment="1" applyProtection="1">
      <alignment vertical="center"/>
      <protection/>
    </xf>
    <xf numFmtId="0" fontId="49" fillId="33" borderId="113" xfId="0" applyNumberFormat="1" applyFont="1" applyFill="1" applyBorder="1" applyAlignment="1" applyProtection="1">
      <alignment horizontal="left"/>
      <protection/>
    </xf>
    <xf numFmtId="0" fontId="0" fillId="35" borderId="37" xfId="0" applyFill="1" applyBorder="1" applyAlignment="1" applyProtection="1">
      <alignment/>
      <protection/>
    </xf>
    <xf numFmtId="0" fontId="0" fillId="35" borderId="54" xfId="0" applyFill="1" applyBorder="1" applyAlignment="1" applyProtection="1">
      <alignment/>
      <protection/>
    </xf>
    <xf numFmtId="0" fontId="0" fillId="35" borderId="39" xfId="0" applyFill="1" applyBorder="1" applyAlignment="1" applyProtection="1">
      <alignment/>
      <protection/>
    </xf>
    <xf numFmtId="0" fontId="7" fillId="33" borderId="113" xfId="0" applyNumberFormat="1" applyFont="1" applyFill="1" applyBorder="1" applyAlignment="1" applyProtection="1">
      <alignment/>
      <protection/>
    </xf>
    <xf numFmtId="0" fontId="0" fillId="40" borderId="31" xfId="0" applyFill="1" applyBorder="1" applyAlignment="1" applyProtection="1">
      <alignment/>
      <protection/>
    </xf>
    <xf numFmtId="0" fontId="7" fillId="40" borderId="57" xfId="0" applyFont="1" applyFill="1" applyBorder="1" applyAlignment="1" applyProtection="1">
      <alignment/>
      <protection/>
    </xf>
    <xf numFmtId="0" fontId="7" fillId="40" borderId="33" xfId="0" applyFont="1" applyFill="1" applyBorder="1" applyAlignment="1" applyProtection="1">
      <alignment/>
      <protection/>
    </xf>
    <xf numFmtId="0" fontId="0" fillId="40" borderId="56" xfId="0" applyFill="1" applyBorder="1" applyAlignment="1" applyProtection="1">
      <alignment/>
      <protection/>
    </xf>
    <xf numFmtId="0" fontId="18" fillId="40" borderId="0" xfId="0" applyFont="1" applyFill="1" applyBorder="1" applyAlignment="1" applyProtection="1">
      <alignment horizontal="centerContinuous"/>
      <protection/>
    </xf>
    <xf numFmtId="0" fontId="7" fillId="40" borderId="0" xfId="0" applyFont="1" applyFill="1" applyBorder="1" applyAlignment="1" applyProtection="1">
      <alignment horizontal="centerContinuous"/>
      <protection/>
    </xf>
    <xf numFmtId="0" fontId="7" fillId="40" borderId="55" xfId="0" applyFont="1" applyFill="1" applyBorder="1" applyAlignment="1" applyProtection="1">
      <alignment horizontal="centerContinuous"/>
      <protection/>
    </xf>
    <xf numFmtId="0" fontId="0" fillId="40" borderId="55" xfId="0" applyFill="1" applyBorder="1" applyAlignment="1" applyProtection="1">
      <alignment wrapText="1"/>
      <protection/>
    </xf>
    <xf numFmtId="0" fontId="49" fillId="33" borderId="18" xfId="0" applyNumberFormat="1" applyFont="1" applyFill="1" applyBorder="1" applyAlignment="1" applyProtection="1">
      <alignment horizontal="left"/>
      <protection/>
    </xf>
    <xf numFmtId="0" fontId="0" fillId="40" borderId="37" xfId="0" applyFill="1" applyBorder="1" applyAlignment="1" applyProtection="1">
      <alignment/>
      <protection/>
    </xf>
    <xf numFmtId="0" fontId="0" fillId="40" borderId="39" xfId="0" applyFill="1" applyBorder="1" applyAlignment="1" applyProtection="1">
      <alignment wrapText="1"/>
      <protection/>
    </xf>
    <xf numFmtId="0" fontId="31" fillId="34" borderId="0" xfId="0" applyFont="1" applyFill="1" applyBorder="1" applyAlignment="1" applyProtection="1">
      <alignment/>
      <protection/>
    </xf>
    <xf numFmtId="0" fontId="0" fillId="34" borderId="0" xfId="0" applyFill="1" applyAlignment="1" applyProtection="1">
      <alignment/>
      <protection/>
    </xf>
    <xf numFmtId="0" fontId="18" fillId="34" borderId="14" xfId="0" applyFont="1" applyFill="1" applyBorder="1" applyAlignment="1" applyProtection="1">
      <alignment/>
      <protection/>
    </xf>
    <xf numFmtId="0" fontId="0" fillId="34" borderId="14" xfId="0" applyFill="1" applyBorder="1" applyAlignment="1" applyProtection="1">
      <alignment vertical="center"/>
      <protection/>
    </xf>
    <xf numFmtId="0" fontId="7" fillId="34" borderId="14" xfId="0" applyFont="1" applyFill="1" applyBorder="1" applyAlignment="1" applyProtection="1">
      <alignment/>
      <protection/>
    </xf>
    <xf numFmtId="42" fontId="7" fillId="33" borderId="114" xfId="0" applyNumberFormat="1" applyFont="1" applyFill="1" applyBorder="1" applyAlignment="1" applyProtection="1">
      <alignment/>
      <protection/>
    </xf>
    <xf numFmtId="42" fontId="7" fillId="33" borderId="115" xfId="0" applyNumberFormat="1" applyFont="1" applyFill="1" applyBorder="1" applyAlignment="1" applyProtection="1">
      <alignment/>
      <protection/>
    </xf>
    <xf numFmtId="0" fontId="7" fillId="33" borderId="116" xfId="0" applyNumberFormat="1" applyFont="1" applyFill="1" applyBorder="1" applyAlignment="1" applyProtection="1">
      <alignment/>
      <protection/>
    </xf>
    <xf numFmtId="0" fontId="11" fillId="0" borderId="0" xfId="0" applyFont="1" applyFill="1" applyBorder="1" applyAlignment="1" applyProtection="1">
      <alignment horizontal="centerContinuous" vertical="center" wrapText="1"/>
      <protection/>
    </xf>
    <xf numFmtId="0" fontId="0" fillId="34" borderId="0" xfId="0" applyFill="1" applyBorder="1" applyAlignment="1" applyProtection="1">
      <alignment vertical="center"/>
      <protection/>
    </xf>
    <xf numFmtId="0" fontId="105" fillId="36" borderId="0" xfId="0" applyFont="1" applyFill="1" applyBorder="1" applyAlignment="1" applyProtection="1">
      <alignment vertical="center"/>
      <protection/>
    </xf>
    <xf numFmtId="0" fontId="7" fillId="33" borderId="78" xfId="0" applyFont="1" applyFill="1" applyBorder="1" applyAlignment="1" applyProtection="1">
      <alignment/>
      <protection/>
    </xf>
    <xf numFmtId="6" fontId="7" fillId="34" borderId="117" xfId="0" applyNumberFormat="1" applyFont="1" applyFill="1" applyBorder="1" applyAlignment="1" applyProtection="1">
      <alignment/>
      <protection/>
    </xf>
    <xf numFmtId="42" fontId="7" fillId="33" borderId="50" xfId="0" applyNumberFormat="1" applyFont="1" applyFill="1" applyBorder="1" applyAlignment="1" applyProtection="1">
      <alignment/>
      <protection/>
    </xf>
    <xf numFmtId="0" fontId="11" fillId="33" borderId="0" xfId="0" applyFont="1" applyFill="1" applyBorder="1" applyAlignment="1" applyProtection="1">
      <alignment horizontal="right"/>
      <protection/>
    </xf>
    <xf numFmtId="0" fontId="0" fillId="33" borderId="37" xfId="0" applyFill="1" applyBorder="1" applyAlignment="1" applyProtection="1">
      <alignment/>
      <protection/>
    </xf>
    <xf numFmtId="0" fontId="8" fillId="33" borderId="54" xfId="0" applyFont="1" applyFill="1" applyBorder="1" applyAlignment="1" applyProtection="1">
      <alignment/>
      <protection/>
    </xf>
    <xf numFmtId="0" fontId="11" fillId="33" borderId="54" xfId="0" applyFont="1" applyFill="1" applyBorder="1" applyAlignment="1" applyProtection="1">
      <alignment horizontal="right"/>
      <protection/>
    </xf>
    <xf numFmtId="42" fontId="11" fillId="33" borderId="54" xfId="0" applyNumberFormat="1" applyFont="1" applyFill="1" applyBorder="1" applyAlignment="1" applyProtection="1">
      <alignment/>
      <protection/>
    </xf>
    <xf numFmtId="6" fontId="11" fillId="33" borderId="54" xfId="0" applyNumberFormat="1" applyFont="1" applyFill="1" applyBorder="1" applyAlignment="1" applyProtection="1">
      <alignment horizontal="right"/>
      <protection/>
    </xf>
    <xf numFmtId="0" fontId="0" fillId="33" borderId="54" xfId="0" applyFill="1" applyBorder="1" applyAlignment="1" applyProtection="1">
      <alignment horizontal="centerContinuous"/>
      <protection/>
    </xf>
    <xf numFmtId="0" fontId="11" fillId="34" borderId="0" xfId="0" applyFont="1" applyFill="1" applyBorder="1" applyAlignment="1" applyProtection="1">
      <alignment horizontal="right"/>
      <protection/>
    </xf>
    <xf numFmtId="6" fontId="11" fillId="34" borderId="0" xfId="0" applyNumberFormat="1" applyFont="1" applyFill="1" applyBorder="1" applyAlignment="1" applyProtection="1">
      <alignment horizontal="right"/>
      <protection/>
    </xf>
    <xf numFmtId="0" fontId="1" fillId="34" borderId="0" xfId="0" applyFont="1" applyFill="1" applyBorder="1" applyAlignment="1" applyProtection="1">
      <alignment horizontal="centerContinuous" wrapText="1"/>
      <protection/>
    </xf>
    <xf numFmtId="0" fontId="7" fillId="33" borderId="57" xfId="0" applyFont="1" applyFill="1" applyBorder="1" applyAlignment="1" applyProtection="1">
      <alignment/>
      <protection/>
    </xf>
    <xf numFmtId="0" fontId="7" fillId="33" borderId="33" xfId="0" applyFont="1" applyFill="1" applyBorder="1" applyAlignment="1" applyProtection="1">
      <alignment/>
      <protection/>
    </xf>
    <xf numFmtId="0" fontId="18" fillId="34" borderId="0" xfId="0" applyFont="1" applyFill="1" applyBorder="1" applyAlignment="1" applyProtection="1">
      <alignment/>
      <protection/>
    </xf>
    <xf numFmtId="0" fontId="23" fillId="34" borderId="0" xfId="0" applyFont="1" applyFill="1" applyBorder="1" applyAlignment="1" applyProtection="1">
      <alignment/>
      <protection/>
    </xf>
    <xf numFmtId="0" fontId="12" fillId="36" borderId="0" xfId="0" applyFont="1" applyFill="1" applyBorder="1" applyAlignment="1" applyProtection="1">
      <alignment vertical="center"/>
      <protection/>
    </xf>
    <xf numFmtId="0" fontId="13" fillId="36" borderId="0" xfId="0" applyFont="1" applyFill="1" applyBorder="1" applyAlignment="1" applyProtection="1">
      <alignment/>
      <protection/>
    </xf>
    <xf numFmtId="0" fontId="13" fillId="33" borderId="55" xfId="0" applyFont="1" applyFill="1" applyBorder="1" applyAlignment="1" applyProtection="1">
      <alignment/>
      <protection/>
    </xf>
    <xf numFmtId="0" fontId="13" fillId="34" borderId="0" xfId="0" applyFont="1" applyFill="1" applyBorder="1" applyAlignment="1" applyProtection="1">
      <alignment/>
      <protection/>
    </xf>
    <xf numFmtId="42" fontId="17" fillId="44" borderId="0" xfId="0" applyNumberFormat="1" applyFont="1" applyFill="1" applyBorder="1" applyAlignment="1" applyProtection="1">
      <alignment vertical="center"/>
      <protection/>
    </xf>
    <xf numFmtId="0" fontId="17" fillId="34" borderId="0" xfId="0" applyFont="1" applyFill="1" applyBorder="1" applyAlignment="1" applyProtection="1">
      <alignment/>
      <protection/>
    </xf>
    <xf numFmtId="0" fontId="17" fillId="34" borderId="0" xfId="0" applyFont="1" applyFill="1" applyBorder="1" applyAlignment="1" applyProtection="1">
      <alignment horizontal="centerContinuous"/>
      <protection/>
    </xf>
    <xf numFmtId="0" fontId="12" fillId="33" borderId="0" xfId="0" applyFont="1" applyFill="1" applyBorder="1" applyAlignment="1" applyProtection="1">
      <alignment vertical="center"/>
      <protection/>
    </xf>
    <xf numFmtId="0" fontId="13" fillId="33" borderId="0" xfId="0" applyFont="1" applyFill="1" applyBorder="1" applyAlignment="1" applyProtection="1">
      <alignment/>
      <protection/>
    </xf>
    <xf numFmtId="0" fontId="39" fillId="34" borderId="0" xfId="0" applyFont="1" applyFill="1" applyBorder="1" applyAlignment="1" applyProtection="1">
      <alignment/>
      <protection/>
    </xf>
    <xf numFmtId="0" fontId="17" fillId="33" borderId="56" xfId="0" applyFont="1" applyFill="1" applyBorder="1" applyAlignment="1" applyProtection="1">
      <alignment/>
      <protection/>
    </xf>
    <xf numFmtId="0" fontId="7" fillId="34" borderId="0" xfId="0" applyFont="1" applyFill="1" applyBorder="1" applyAlignment="1" applyProtection="1">
      <alignment horizontal="center" vertical="center" wrapText="1"/>
      <protection/>
    </xf>
    <xf numFmtId="0" fontId="17" fillId="34" borderId="0" xfId="0" applyFont="1" applyFill="1" applyBorder="1" applyAlignment="1" applyProtection="1">
      <alignment horizontal="left"/>
      <protection/>
    </xf>
    <xf numFmtId="0" fontId="23" fillId="34" borderId="0" xfId="0" applyFont="1" applyFill="1" applyBorder="1" applyAlignment="1" applyProtection="1">
      <alignment/>
      <protection/>
    </xf>
    <xf numFmtId="0" fontId="14" fillId="34" borderId="0" xfId="0" applyFont="1" applyFill="1" applyBorder="1" applyAlignment="1" applyProtection="1">
      <alignment/>
      <protection/>
    </xf>
    <xf numFmtId="0" fontId="7" fillId="33" borderId="18" xfId="0" applyNumberFormat="1" applyFont="1" applyFill="1" applyBorder="1" applyAlignment="1" applyProtection="1">
      <alignment horizontal="left"/>
      <protection/>
    </xf>
    <xf numFmtId="0" fontId="7" fillId="33" borderId="18" xfId="0" applyFont="1" applyFill="1" applyBorder="1" applyAlignment="1" applyProtection="1">
      <alignment/>
      <protection/>
    </xf>
    <xf numFmtId="42" fontId="7" fillId="33" borderId="60" xfId="0" applyNumberFormat="1" applyFont="1" applyFill="1" applyBorder="1" applyAlignment="1" applyProtection="1">
      <alignment/>
      <protection/>
    </xf>
    <xf numFmtId="6" fontId="7" fillId="34" borderId="0" xfId="0" applyNumberFormat="1" applyFont="1" applyFill="1" applyBorder="1" applyAlignment="1" applyProtection="1">
      <alignment/>
      <protection/>
    </xf>
    <xf numFmtId="0" fontId="23" fillId="34" borderId="0" xfId="0" applyFont="1" applyFill="1" applyBorder="1" applyAlignment="1" applyProtection="1">
      <alignment horizontal="centerContinuous"/>
      <protection/>
    </xf>
    <xf numFmtId="0" fontId="18" fillId="34" borderId="0" xfId="0" applyFont="1" applyFill="1" applyBorder="1" applyAlignment="1" applyProtection="1">
      <alignment horizontal="centerContinuous"/>
      <protection/>
    </xf>
    <xf numFmtId="0" fontId="0" fillId="34" borderId="0" xfId="0" applyFill="1" applyBorder="1" applyAlignment="1" applyProtection="1">
      <alignment vertical="center" wrapText="1"/>
      <protection/>
    </xf>
    <xf numFmtId="0" fontId="0" fillId="34" borderId="0" xfId="0" applyFill="1" applyAlignment="1" applyProtection="1">
      <alignment vertical="center" wrapText="1"/>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8"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wrapText="1"/>
      <protection/>
    </xf>
    <xf numFmtId="166" fontId="7" fillId="0" borderId="0" xfId="0" applyNumberFormat="1" applyFont="1" applyFill="1" applyBorder="1" applyAlignment="1" applyProtection="1">
      <alignment/>
      <protection/>
    </xf>
    <xf numFmtId="6" fontId="0" fillId="0" borderId="0" xfId="0" applyNumberFormat="1" applyFont="1" applyBorder="1" applyAlignment="1" applyProtection="1">
      <alignment/>
      <protection/>
    </xf>
    <xf numFmtId="0" fontId="8" fillId="0" borderId="0" xfId="0" applyFont="1" applyFill="1" applyBorder="1" applyAlignment="1" applyProtection="1">
      <alignment horizontal="center" wrapText="1"/>
      <protection/>
    </xf>
    <xf numFmtId="0" fontId="37" fillId="0" borderId="0" xfId="0" applyFont="1" applyBorder="1" applyAlignment="1" applyProtection="1">
      <alignment/>
      <protection/>
    </xf>
    <xf numFmtId="0" fontId="7" fillId="33" borderId="18" xfId="0" applyFont="1" applyFill="1" applyBorder="1" applyAlignment="1" applyProtection="1">
      <alignment/>
      <protection/>
    </xf>
    <xf numFmtId="0" fontId="32" fillId="34" borderId="0" xfId="0" applyFont="1" applyFill="1" applyBorder="1" applyAlignment="1" applyProtection="1">
      <alignment horizontal="centerContinuous"/>
      <protection/>
    </xf>
    <xf numFmtId="0" fontId="41" fillId="34" borderId="0" xfId="0" applyFont="1" applyFill="1" applyBorder="1" applyAlignment="1" applyProtection="1">
      <alignment horizontal="centerContinuous"/>
      <protection/>
    </xf>
    <xf numFmtId="0" fontId="7" fillId="33" borderId="18" xfId="0" applyNumberFormat="1" applyFont="1" applyFill="1" applyBorder="1" applyAlignment="1" applyProtection="1">
      <alignment vertical="center"/>
      <protection/>
    </xf>
    <xf numFmtId="0" fontId="33" fillId="34" borderId="0" xfId="0" applyFont="1" applyFill="1" applyBorder="1" applyAlignment="1" applyProtection="1">
      <alignment horizontal="centerContinuous"/>
      <protection/>
    </xf>
    <xf numFmtId="0" fontId="33" fillId="34" borderId="0" xfId="0" applyFont="1" applyFill="1" applyBorder="1" applyAlignment="1" applyProtection="1">
      <alignment horizontal="centerContinuous"/>
      <protection/>
    </xf>
    <xf numFmtId="0" fontId="7" fillId="33" borderId="18" xfId="0" applyNumberFormat="1" applyFont="1" applyFill="1" applyBorder="1" applyAlignment="1" applyProtection="1">
      <alignment horizontal="left" vertical="center"/>
      <protection/>
    </xf>
    <xf numFmtId="0" fontId="0" fillId="33" borderId="116" xfId="0" applyFont="1" applyFill="1" applyBorder="1" applyAlignment="1" applyProtection="1">
      <alignment/>
      <protection/>
    </xf>
    <xf numFmtId="42" fontId="7" fillId="33" borderId="60" xfId="0" applyNumberFormat="1" applyFont="1" applyFill="1" applyBorder="1" applyAlignment="1" applyProtection="1">
      <alignment vertical="center"/>
      <protection/>
    </xf>
    <xf numFmtId="0" fontId="7" fillId="33" borderId="113" xfId="0" applyFont="1" applyFill="1" applyBorder="1" applyAlignment="1" applyProtection="1">
      <alignment vertical="center"/>
      <protection/>
    </xf>
    <xf numFmtId="0" fontId="17" fillId="34" borderId="0" xfId="0" applyFont="1" applyFill="1" applyBorder="1" applyAlignment="1" applyProtection="1">
      <alignment/>
      <protection/>
    </xf>
    <xf numFmtId="7" fontId="14" fillId="34" borderId="0" xfId="0" applyNumberFormat="1" applyFont="1" applyFill="1" applyBorder="1" applyAlignment="1" applyProtection="1">
      <alignment horizontal="right"/>
      <protection/>
    </xf>
    <xf numFmtId="0" fontId="7" fillId="33" borderId="18" xfId="0" applyFont="1" applyFill="1" applyBorder="1" applyAlignment="1" applyProtection="1">
      <alignment vertical="center"/>
      <protection/>
    </xf>
    <xf numFmtId="0" fontId="1" fillId="33" borderId="18" xfId="0" applyFont="1" applyFill="1" applyBorder="1" applyAlignment="1" applyProtection="1">
      <alignment/>
      <protection/>
    </xf>
    <xf numFmtId="0" fontId="0" fillId="33" borderId="116" xfId="0" applyFont="1" applyFill="1" applyBorder="1" applyAlignment="1" applyProtection="1">
      <alignment/>
      <protection/>
    </xf>
    <xf numFmtId="0" fontId="1" fillId="33" borderId="0" xfId="0" applyFont="1" applyFill="1" applyBorder="1" applyAlignment="1" applyProtection="1">
      <alignment/>
      <protection/>
    </xf>
    <xf numFmtId="0" fontId="0" fillId="33" borderId="0" xfId="0" applyFont="1" applyFill="1" applyBorder="1" applyAlignment="1" applyProtection="1">
      <alignment/>
      <protection/>
    </xf>
    <xf numFmtId="42" fontId="7" fillId="33" borderId="118" xfId="0" applyNumberFormat="1" applyFont="1" applyFill="1" applyBorder="1" applyAlignment="1" applyProtection="1">
      <alignment/>
      <protection/>
    </xf>
    <xf numFmtId="42" fontId="11" fillId="33" borderId="0" xfId="0" applyNumberFormat="1" applyFont="1" applyFill="1" applyBorder="1" applyAlignment="1" applyProtection="1">
      <alignment/>
      <protection/>
    </xf>
    <xf numFmtId="6" fontId="11" fillId="33" borderId="55" xfId="0" applyNumberFormat="1" applyFont="1" applyFill="1" applyBorder="1" applyAlignment="1" applyProtection="1">
      <alignment/>
      <protection/>
    </xf>
    <xf numFmtId="6" fontId="11" fillId="34" borderId="0" xfId="0" applyNumberFormat="1" applyFont="1" applyFill="1" applyBorder="1" applyAlignment="1" applyProtection="1">
      <alignment/>
      <protection/>
    </xf>
    <xf numFmtId="0" fontId="14" fillId="34" borderId="0" xfId="0" applyFont="1" applyFill="1" applyBorder="1" applyAlignment="1" applyProtection="1">
      <alignment horizontal="center"/>
      <protection/>
    </xf>
    <xf numFmtId="0" fontId="19" fillId="33" borderId="0" xfId="0" applyFont="1" applyFill="1" applyBorder="1" applyAlignment="1" applyProtection="1">
      <alignment horizontal="right"/>
      <protection/>
    </xf>
    <xf numFmtId="42" fontId="0" fillId="34" borderId="0" xfId="0" applyNumberFormat="1" applyFill="1" applyAlignment="1" applyProtection="1">
      <alignment/>
      <protection/>
    </xf>
    <xf numFmtId="0" fontId="7" fillId="33" borderId="0" xfId="0" applyFont="1" applyFill="1" applyBorder="1" applyAlignment="1" applyProtection="1">
      <alignment horizontal="right" wrapText="1"/>
      <protection/>
    </xf>
    <xf numFmtId="42" fontId="0" fillId="34" borderId="0" xfId="0" applyNumberFormat="1" applyFill="1" applyBorder="1" applyAlignment="1" applyProtection="1">
      <alignment/>
      <protection/>
    </xf>
    <xf numFmtId="0" fontId="7" fillId="33" borderId="0" xfId="0" applyFont="1" applyFill="1" applyBorder="1" applyAlignment="1" applyProtection="1">
      <alignment horizontal="right"/>
      <protection/>
    </xf>
    <xf numFmtId="42" fontId="7" fillId="33" borderId="55" xfId="0" applyNumberFormat="1" applyFont="1" applyFill="1" applyBorder="1" applyAlignment="1" applyProtection="1">
      <alignment/>
      <protection/>
    </xf>
    <xf numFmtId="42" fontId="7" fillId="34" borderId="0" xfId="0" applyNumberFormat="1" applyFont="1" applyFill="1" applyBorder="1" applyAlignment="1" applyProtection="1">
      <alignment/>
      <protection/>
    </xf>
    <xf numFmtId="0" fontId="11" fillId="33" borderId="0" xfId="0" applyFont="1" applyFill="1" applyBorder="1" applyAlignment="1" applyProtection="1">
      <alignment horizontal="right" wrapText="1"/>
      <protection/>
    </xf>
    <xf numFmtId="42" fontId="17" fillId="33" borderId="74" xfId="0" applyNumberFormat="1" applyFont="1" applyFill="1" applyBorder="1" applyAlignment="1" applyProtection="1">
      <alignment/>
      <protection/>
    </xf>
    <xf numFmtId="6" fontId="17" fillId="33" borderId="55" xfId="0" applyNumberFormat="1" applyFont="1" applyFill="1" applyBorder="1" applyAlignment="1" applyProtection="1">
      <alignment/>
      <protection/>
    </xf>
    <xf numFmtId="6" fontId="17" fillId="34" borderId="0" xfId="0" applyNumberFormat="1" applyFont="1" applyFill="1" applyBorder="1" applyAlignment="1" applyProtection="1">
      <alignment/>
      <protection/>
    </xf>
    <xf numFmtId="0" fontId="7" fillId="33" borderId="54" xfId="0" applyFont="1" applyFill="1" applyBorder="1" applyAlignment="1" applyProtection="1">
      <alignment/>
      <protection/>
    </xf>
    <xf numFmtId="0" fontId="11" fillId="33" borderId="54" xfId="0" applyFont="1" applyFill="1" applyBorder="1" applyAlignment="1" applyProtection="1">
      <alignment horizontal="right" wrapText="1"/>
      <protection/>
    </xf>
    <xf numFmtId="6" fontId="17" fillId="33" borderId="54" xfId="0" applyNumberFormat="1" applyFont="1" applyFill="1" applyBorder="1" applyAlignment="1" applyProtection="1">
      <alignment/>
      <protection/>
    </xf>
    <xf numFmtId="6" fontId="17" fillId="33" borderId="39" xfId="0" applyNumberFormat="1" applyFont="1" applyFill="1" applyBorder="1" applyAlignment="1" applyProtection="1">
      <alignment/>
      <protection/>
    </xf>
    <xf numFmtId="0" fontId="28" fillId="34" borderId="0" xfId="0" applyFont="1" applyFill="1" applyBorder="1" applyAlignment="1" applyProtection="1">
      <alignment horizontal="left" vertical="center"/>
      <protection/>
    </xf>
    <xf numFmtId="0" fontId="39" fillId="34" borderId="0" xfId="0" applyFont="1" applyFill="1" applyBorder="1" applyAlignment="1" applyProtection="1">
      <alignment horizontal="centerContinuous" vertical="center" wrapText="1"/>
      <protection/>
    </xf>
    <xf numFmtId="0" fontId="7" fillId="34" borderId="0" xfId="0" applyFont="1" applyFill="1" applyBorder="1" applyAlignment="1" applyProtection="1">
      <alignment horizontal="centerContinuous" vertical="center" wrapText="1"/>
      <protection/>
    </xf>
    <xf numFmtId="0" fontId="14" fillId="34" borderId="0" xfId="0" applyFont="1" applyFill="1" applyBorder="1" applyAlignment="1" applyProtection="1">
      <alignment wrapText="1"/>
      <protection/>
    </xf>
    <xf numFmtId="0" fontId="14" fillId="34" borderId="0" xfId="0" applyFont="1" applyFill="1" applyBorder="1" applyAlignment="1" applyProtection="1">
      <alignment horizontal="left" wrapText="1"/>
      <protection/>
    </xf>
    <xf numFmtId="0" fontId="0" fillId="34" borderId="0" xfId="0" applyFill="1" applyBorder="1" applyAlignment="1" applyProtection="1">
      <alignment wrapText="1"/>
      <protection/>
    </xf>
    <xf numFmtId="0" fontId="0" fillId="34" borderId="0" xfId="0" applyFont="1" applyFill="1" applyBorder="1" applyAlignment="1" applyProtection="1">
      <alignment/>
      <protection/>
    </xf>
    <xf numFmtId="0" fontId="74" fillId="34" borderId="0" xfId="0" applyFont="1" applyFill="1" applyBorder="1" applyAlignment="1" applyProtection="1">
      <alignment vertical="center"/>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0" fillId="34" borderId="16" xfId="0" applyFont="1" applyFill="1" applyBorder="1" applyAlignment="1" applyProtection="1">
      <alignment/>
      <protection/>
    </xf>
    <xf numFmtId="0" fontId="7" fillId="34" borderId="17" xfId="0" applyFont="1" applyFill="1" applyBorder="1" applyAlignment="1" applyProtection="1">
      <alignment/>
      <protection/>
    </xf>
    <xf numFmtId="0" fontId="8" fillId="0" borderId="0" xfId="0" applyFont="1" applyAlignment="1" applyProtection="1">
      <alignment/>
      <protection/>
    </xf>
    <xf numFmtId="0" fontId="7" fillId="0" borderId="0" xfId="0" applyFont="1" applyAlignment="1" applyProtection="1">
      <alignment horizontal="center"/>
      <protection/>
    </xf>
    <xf numFmtId="0" fontId="7" fillId="34" borderId="10" xfId="0" applyFont="1" applyFill="1" applyBorder="1" applyAlignment="1" applyProtection="1">
      <alignment/>
      <protection/>
    </xf>
    <xf numFmtId="0" fontId="8" fillId="34" borderId="11" xfId="0" applyFont="1" applyFill="1" applyBorder="1" applyAlignment="1" applyProtection="1">
      <alignment/>
      <protection/>
    </xf>
    <xf numFmtId="0" fontId="7" fillId="34" borderId="11" xfId="0" applyFont="1" applyFill="1" applyBorder="1" applyAlignment="1" applyProtection="1">
      <alignment horizontal="center"/>
      <protection/>
    </xf>
    <xf numFmtId="0" fontId="7" fillId="34" borderId="0" xfId="0" applyFont="1" applyFill="1" applyBorder="1" applyAlignment="1" applyProtection="1">
      <alignment horizontal="center"/>
      <protection/>
    </xf>
    <xf numFmtId="0" fontId="14" fillId="34" borderId="0" xfId="0" applyFont="1" applyFill="1" applyAlignment="1" applyProtection="1">
      <alignment/>
      <protection/>
    </xf>
    <xf numFmtId="0" fontId="16" fillId="34" borderId="0" xfId="0" applyFont="1" applyFill="1" applyAlignment="1" applyProtection="1">
      <alignment horizontal="right"/>
      <protection/>
    </xf>
    <xf numFmtId="0" fontId="7" fillId="34" borderId="0" xfId="0" applyFont="1" applyFill="1" applyAlignment="1" applyProtection="1">
      <alignment horizontal="center"/>
      <protection/>
    </xf>
    <xf numFmtId="0" fontId="14" fillId="34" borderId="0" xfId="0" applyFont="1" applyFill="1" applyAlignment="1" applyProtection="1">
      <alignment horizontal="right"/>
      <protection/>
    </xf>
    <xf numFmtId="0" fontId="14" fillId="34" borderId="0" xfId="0" applyFont="1" applyFill="1" applyAlignment="1" applyProtection="1">
      <alignment horizontal="left"/>
      <protection/>
    </xf>
    <xf numFmtId="49" fontId="70" fillId="34" borderId="0" xfId="0" applyNumberFormat="1" applyFont="1" applyFill="1" applyAlignment="1" applyProtection="1">
      <alignment horizontal="right" vertical="center"/>
      <protection/>
    </xf>
    <xf numFmtId="0" fontId="70" fillId="34" borderId="0" xfId="0" applyFont="1" applyFill="1" applyAlignment="1" applyProtection="1">
      <alignment vertical="center"/>
      <protection/>
    </xf>
    <xf numFmtId="0" fontId="7" fillId="34" borderId="0" xfId="0" applyFont="1" applyFill="1" applyAlignment="1" applyProtection="1">
      <alignment horizontal="center" vertical="center"/>
      <protection/>
    </xf>
    <xf numFmtId="49" fontId="19" fillId="34" borderId="0" xfId="0" applyNumberFormat="1" applyFont="1" applyFill="1" applyAlignment="1" applyProtection="1">
      <alignment horizontal="right" vertical="center"/>
      <protection/>
    </xf>
    <xf numFmtId="0" fontId="19" fillId="34" borderId="0" xfId="0" applyFont="1" applyFill="1" applyAlignment="1" applyProtection="1">
      <alignment vertical="center"/>
      <protection/>
    </xf>
    <xf numFmtId="49" fontId="19" fillId="33" borderId="31" xfId="0" applyNumberFormat="1" applyFont="1" applyFill="1" applyBorder="1" applyAlignment="1" applyProtection="1">
      <alignment horizontal="right" vertical="center"/>
      <protection/>
    </xf>
    <xf numFmtId="0" fontId="19" fillId="33" borderId="57" xfId="0" applyFont="1" applyFill="1" applyBorder="1" applyAlignment="1" applyProtection="1">
      <alignment vertical="center"/>
      <protection/>
    </xf>
    <xf numFmtId="0" fontId="7" fillId="33" borderId="57" xfId="0" applyFont="1" applyFill="1" applyBorder="1" applyAlignment="1" applyProtection="1">
      <alignment vertical="center"/>
      <protection/>
    </xf>
    <xf numFmtId="0" fontId="7" fillId="33" borderId="57" xfId="0" applyFont="1" applyFill="1" applyBorder="1" applyAlignment="1" applyProtection="1">
      <alignment horizontal="center" vertical="center"/>
      <protection/>
    </xf>
    <xf numFmtId="0" fontId="7" fillId="33" borderId="33" xfId="0" applyFont="1" applyFill="1" applyBorder="1" applyAlignment="1" applyProtection="1">
      <alignment vertical="center"/>
      <protection/>
    </xf>
    <xf numFmtId="0" fontId="7" fillId="33" borderId="56" xfId="0" applyFont="1" applyFill="1" applyBorder="1" applyAlignment="1" applyProtection="1">
      <alignment/>
      <protection/>
    </xf>
    <xf numFmtId="0" fontId="7" fillId="33" borderId="29" xfId="0" applyFont="1" applyFill="1" applyBorder="1" applyAlignment="1" applyProtection="1">
      <alignment horizontal="center" wrapText="1"/>
      <protection/>
    </xf>
    <xf numFmtId="0" fontId="7" fillId="33" borderId="29" xfId="0" applyFont="1" applyFill="1" applyBorder="1" applyAlignment="1" applyProtection="1">
      <alignment horizontal="center"/>
      <protection/>
    </xf>
    <xf numFmtId="0" fontId="7" fillId="33" borderId="0" xfId="0" applyFont="1" applyFill="1" applyBorder="1" applyAlignment="1" applyProtection="1">
      <alignment horizontal="right"/>
      <protection/>
    </xf>
    <xf numFmtId="0" fontId="7" fillId="33" borderId="56"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7" fillId="33" borderId="0" xfId="0" applyFont="1" applyFill="1" applyBorder="1" applyAlignment="1" applyProtection="1">
      <alignment horizontal="right" vertical="center"/>
      <protection/>
    </xf>
    <xf numFmtId="0" fontId="7" fillId="33" borderId="55" xfId="0" applyFont="1" applyFill="1" applyBorder="1" applyAlignment="1" applyProtection="1">
      <alignment horizontal="center" vertical="center" wrapText="1"/>
      <protection/>
    </xf>
    <xf numFmtId="0" fontId="11" fillId="33" borderId="56" xfId="0" applyFont="1" applyFill="1" applyBorder="1" applyAlignment="1" applyProtection="1">
      <alignment horizontal="centerContinuous"/>
      <protection/>
    </xf>
    <xf numFmtId="0" fontId="11" fillId="33" borderId="119" xfId="0" applyFont="1" applyFill="1" applyBorder="1" applyAlignment="1" applyProtection="1">
      <alignment horizontal="center"/>
      <protection/>
    </xf>
    <xf numFmtId="0" fontId="11" fillId="33" borderId="37" xfId="0" applyFont="1" applyFill="1" applyBorder="1" applyAlignment="1" applyProtection="1">
      <alignment horizontal="centerContinuous"/>
      <protection/>
    </xf>
    <xf numFmtId="0" fontId="11" fillId="34" borderId="0" xfId="0" applyFont="1" applyFill="1" applyBorder="1" applyAlignment="1" applyProtection="1">
      <alignment horizontal="centerContinuous"/>
      <protection/>
    </xf>
    <xf numFmtId="0" fontId="11" fillId="33" borderId="31" xfId="0" applyFont="1" applyFill="1" applyBorder="1" applyAlignment="1" applyProtection="1">
      <alignment horizontal="centerContinuous"/>
      <protection/>
    </xf>
    <xf numFmtId="0" fontId="12" fillId="36"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5" fillId="36" borderId="0" xfId="0" applyNumberFormat="1" applyFont="1" applyFill="1" applyBorder="1" applyAlignment="1" applyProtection="1">
      <alignment horizontal="centerContinuous"/>
      <protection/>
    </xf>
    <xf numFmtId="164" fontId="15" fillId="36" borderId="0" xfId="0" applyNumberFormat="1" applyFont="1" applyFill="1" applyBorder="1" applyAlignment="1" applyProtection="1">
      <alignment horizontal="center"/>
      <protection/>
    </xf>
    <xf numFmtId="0" fontId="15" fillId="36" borderId="0" xfId="0" applyFont="1" applyFill="1" applyBorder="1" applyAlignment="1" applyProtection="1">
      <alignment horizontal="center"/>
      <protection/>
    </xf>
    <xf numFmtId="0" fontId="46" fillId="36" borderId="0" xfId="0" applyFont="1" applyFill="1" applyBorder="1" applyAlignment="1" applyProtection="1">
      <alignment wrapText="1"/>
      <protection/>
    </xf>
    <xf numFmtId="0" fontId="46" fillId="33" borderId="55" xfId="0" applyFont="1" applyFill="1" applyBorder="1" applyAlignment="1" applyProtection="1">
      <alignment wrapText="1"/>
      <protection/>
    </xf>
    <xf numFmtId="0" fontId="15" fillId="33" borderId="0" xfId="0" applyNumberFormat="1" applyFont="1" applyFill="1" applyBorder="1" applyAlignment="1" applyProtection="1">
      <alignment horizontal="centerContinuous"/>
      <protection/>
    </xf>
    <xf numFmtId="164" fontId="15" fillId="33" borderId="0" xfId="0" applyNumberFormat="1"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46" fillId="33" borderId="0" xfId="0" applyFont="1" applyFill="1" applyBorder="1" applyAlignment="1" applyProtection="1">
      <alignment wrapText="1"/>
      <protection/>
    </xf>
    <xf numFmtId="164" fontId="7" fillId="33" borderId="120" xfId="0" applyNumberFormat="1" applyFont="1" applyFill="1" applyBorder="1" applyAlignment="1" applyProtection="1">
      <alignment horizontal="center"/>
      <protection/>
    </xf>
    <xf numFmtId="164" fontId="7" fillId="33" borderId="111" xfId="0" applyNumberFormat="1" applyFont="1" applyFill="1" applyBorder="1" applyAlignment="1" applyProtection="1">
      <alignment horizontal="center"/>
      <protection/>
    </xf>
    <xf numFmtId="0" fontId="8" fillId="33" borderId="55" xfId="0" applyFont="1" applyFill="1" applyBorder="1" applyAlignment="1" applyProtection="1">
      <alignment wrapText="1"/>
      <protection/>
    </xf>
    <xf numFmtId="0" fontId="11" fillId="33" borderId="113" xfId="0" applyNumberFormat="1" applyFont="1" applyFill="1" applyBorder="1" applyAlignment="1" applyProtection="1">
      <alignment/>
      <protection/>
    </xf>
    <xf numFmtId="0" fontId="0" fillId="33" borderId="55" xfId="0" applyFill="1" applyBorder="1" applyAlignment="1" applyProtection="1">
      <alignment wrapText="1"/>
      <protection/>
    </xf>
    <xf numFmtId="0" fontId="24" fillId="33" borderId="0" xfId="0" applyNumberFormat="1" applyFont="1" applyFill="1" applyBorder="1" applyAlignment="1" applyProtection="1">
      <alignment/>
      <protection/>
    </xf>
    <xf numFmtId="0" fontId="48" fillId="36" borderId="0" xfId="0" applyNumberFormat="1" applyFont="1" applyFill="1" applyBorder="1" applyAlignment="1" applyProtection="1">
      <alignment horizontal="centerContinuous"/>
      <protection/>
    </xf>
    <xf numFmtId="6" fontId="7" fillId="36" borderId="0" xfId="0" applyNumberFormat="1" applyFont="1" applyFill="1" applyBorder="1" applyAlignment="1" applyProtection="1">
      <alignment/>
      <protection/>
    </xf>
    <xf numFmtId="0" fontId="7" fillId="36" borderId="0" xfId="0" applyFont="1" applyFill="1" applyBorder="1" applyAlignment="1" applyProtection="1">
      <alignment/>
      <protection/>
    </xf>
    <xf numFmtId="0" fontId="48" fillId="33" borderId="0" xfId="0" applyNumberFormat="1" applyFont="1" applyFill="1" applyBorder="1" applyAlignment="1" applyProtection="1">
      <alignment horizontal="centerContinuous"/>
      <protection/>
    </xf>
    <xf numFmtId="0" fontId="7" fillId="33" borderId="55" xfId="0" applyFont="1" applyFill="1" applyBorder="1" applyAlignment="1" applyProtection="1">
      <alignment wrapText="1"/>
      <protection/>
    </xf>
    <xf numFmtId="0" fontId="11" fillId="33" borderId="113" xfId="0" applyNumberFormat="1" applyFont="1" applyFill="1" applyBorder="1" applyAlignment="1" applyProtection="1">
      <alignment/>
      <protection/>
    </xf>
    <xf numFmtId="0" fontId="60" fillId="33" borderId="115" xfId="0" applyNumberFormat="1" applyFont="1" applyFill="1" applyBorder="1" applyAlignment="1" applyProtection="1">
      <alignment/>
      <protection/>
    </xf>
    <xf numFmtId="0" fontId="11" fillId="33" borderId="121" xfId="0" applyNumberFormat="1" applyFont="1" applyFill="1" applyBorder="1" applyAlignment="1" applyProtection="1">
      <alignment/>
      <protection/>
    </xf>
    <xf numFmtId="0" fontId="7" fillId="33" borderId="122" xfId="0" applyFont="1" applyFill="1" applyBorder="1" applyAlignment="1" applyProtection="1">
      <alignment/>
      <protection/>
    </xf>
    <xf numFmtId="164" fontId="7" fillId="33" borderId="72" xfId="0" applyNumberFormat="1" applyFont="1" applyFill="1" applyBorder="1" applyAlignment="1" applyProtection="1">
      <alignment horizontal="center"/>
      <protection/>
    </xf>
    <xf numFmtId="164" fontId="7" fillId="33" borderId="0" xfId="0" applyNumberFormat="1" applyFont="1" applyFill="1" applyBorder="1" applyAlignment="1" applyProtection="1">
      <alignment horizontal="center"/>
      <protection/>
    </xf>
    <xf numFmtId="0" fontId="7" fillId="33" borderId="113" xfId="0" applyFont="1" applyFill="1" applyBorder="1" applyAlignment="1" applyProtection="1">
      <alignment/>
      <protection/>
    </xf>
    <xf numFmtId="164" fontId="7" fillId="33" borderId="123" xfId="0" applyNumberFormat="1" applyFont="1" applyFill="1" applyBorder="1" applyAlignment="1" applyProtection="1">
      <alignment horizontal="center"/>
      <protection/>
    </xf>
    <xf numFmtId="0" fontId="0" fillId="33" borderId="0" xfId="0" applyFont="1" applyFill="1" applyBorder="1" applyAlignment="1" applyProtection="1">
      <alignment/>
      <protection/>
    </xf>
    <xf numFmtId="6" fontId="11" fillId="33" borderId="53" xfId="0" applyNumberFormat="1" applyFont="1" applyFill="1" applyBorder="1" applyAlignment="1" applyProtection="1">
      <alignment/>
      <protection/>
    </xf>
    <xf numFmtId="6" fontId="11" fillId="33" borderId="50" xfId="0" applyNumberFormat="1" applyFont="1" applyFill="1" applyBorder="1" applyAlignment="1" applyProtection="1">
      <alignment/>
      <protection/>
    </xf>
    <xf numFmtId="164" fontId="11" fillId="33" borderId="109" xfId="0" applyNumberFormat="1" applyFont="1" applyFill="1" applyBorder="1" applyAlignment="1" applyProtection="1">
      <alignment horizontal="center"/>
      <protection/>
    </xf>
    <xf numFmtId="0" fontId="7" fillId="33" borderId="124" xfId="0" applyFont="1" applyFill="1" applyBorder="1" applyAlignment="1" applyProtection="1">
      <alignment/>
      <protection/>
    </xf>
    <xf numFmtId="0" fontId="8" fillId="33" borderId="25" xfId="0" applyFont="1" applyFill="1" applyBorder="1" applyAlignment="1" applyProtection="1">
      <alignment/>
      <protection/>
    </xf>
    <xf numFmtId="0" fontId="11" fillId="33" borderId="25" xfId="0" applyFont="1" applyFill="1" applyBorder="1" applyAlignment="1" applyProtection="1">
      <alignment horizontal="right"/>
      <protection/>
    </xf>
    <xf numFmtId="6" fontId="11" fillId="33" borderId="125" xfId="0" applyNumberFormat="1" applyFont="1" applyFill="1" applyBorder="1" applyAlignment="1" applyProtection="1">
      <alignment/>
      <protection/>
    </xf>
    <xf numFmtId="6" fontId="11" fillId="33" borderId="25" xfId="0" applyNumberFormat="1" applyFont="1" applyFill="1" applyBorder="1" applyAlignment="1" applyProtection="1">
      <alignment/>
      <protection/>
    </xf>
    <xf numFmtId="164" fontId="11" fillId="33" borderId="25" xfId="0" applyNumberFormat="1" applyFont="1" applyFill="1" applyBorder="1" applyAlignment="1" applyProtection="1">
      <alignment horizontal="center"/>
      <protection/>
    </xf>
    <xf numFmtId="0" fontId="7" fillId="34" borderId="126" xfId="0" applyFont="1" applyFill="1" applyBorder="1" applyAlignment="1" applyProtection="1">
      <alignment/>
      <protection/>
    </xf>
    <xf numFmtId="0" fontId="8" fillId="34" borderId="126" xfId="0" applyFont="1" applyFill="1" applyBorder="1" applyAlignment="1" applyProtection="1">
      <alignment/>
      <protection/>
    </xf>
    <xf numFmtId="0" fontId="29" fillId="34" borderId="126" xfId="0" applyFont="1" applyFill="1" applyBorder="1" applyAlignment="1" applyProtection="1">
      <alignment horizontal="centerContinuous"/>
      <protection/>
    </xf>
    <xf numFmtId="0" fontId="29" fillId="34" borderId="126" xfId="0" applyFont="1" applyFill="1" applyBorder="1" applyAlignment="1" applyProtection="1">
      <alignment horizontal="center"/>
      <protection/>
    </xf>
    <xf numFmtId="0" fontId="7" fillId="34" borderId="126" xfId="0" applyFont="1" applyFill="1" applyBorder="1" applyAlignment="1" applyProtection="1">
      <alignment horizontal="center" wrapText="1"/>
      <protection/>
    </xf>
    <xf numFmtId="0" fontId="7" fillId="34" borderId="126" xfId="0" applyFont="1" applyFill="1" applyBorder="1" applyAlignment="1" applyProtection="1">
      <alignment horizontal="center"/>
      <protection/>
    </xf>
    <xf numFmtId="0" fontId="29" fillId="34" borderId="0" xfId="0" applyFont="1" applyFill="1" applyBorder="1" applyAlignment="1" applyProtection="1">
      <alignment horizontal="centerContinuous"/>
      <protection/>
    </xf>
    <xf numFmtId="0" fontId="7" fillId="34" borderId="77" xfId="0" applyFont="1" applyFill="1" applyBorder="1" applyAlignment="1" applyProtection="1">
      <alignment/>
      <protection/>
    </xf>
    <xf numFmtId="0" fontId="7" fillId="33" borderId="31" xfId="0" applyFont="1" applyFill="1" applyBorder="1" applyAlignment="1" applyProtection="1">
      <alignment/>
      <protection/>
    </xf>
    <xf numFmtId="0" fontId="8" fillId="33" borderId="57" xfId="0" applyFont="1" applyFill="1" applyBorder="1" applyAlignment="1" applyProtection="1">
      <alignment/>
      <protection/>
    </xf>
    <xf numFmtId="0" fontId="29" fillId="33" borderId="57" xfId="0" applyFont="1" applyFill="1" applyBorder="1" applyAlignment="1" applyProtection="1">
      <alignment horizontal="centerContinuous"/>
      <protection/>
    </xf>
    <xf numFmtId="0" fontId="29" fillId="33" borderId="57" xfId="0" applyFont="1" applyFill="1" applyBorder="1" applyAlignment="1" applyProtection="1">
      <alignment horizontal="center"/>
      <protection/>
    </xf>
    <xf numFmtId="0" fontId="7" fillId="33" borderId="57" xfId="0" applyFont="1" applyFill="1" applyBorder="1" applyAlignment="1" applyProtection="1">
      <alignment horizontal="center"/>
      <protection/>
    </xf>
    <xf numFmtId="0" fontId="11" fillId="33" borderId="56" xfId="0" applyFont="1" applyFill="1" applyBorder="1" applyAlignment="1" applyProtection="1">
      <alignment horizontal="centerContinuous"/>
      <protection/>
    </xf>
    <xf numFmtId="0" fontId="8" fillId="33" borderId="0" xfId="0" applyFont="1" applyFill="1" applyBorder="1" applyAlignment="1" applyProtection="1">
      <alignment horizontal="centerContinuous" vertical="center"/>
      <protection/>
    </xf>
    <xf numFmtId="0" fontId="13" fillId="36" borderId="0"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17" fillId="33" borderId="56" xfId="0" applyFont="1" applyFill="1" applyBorder="1" applyAlignment="1" applyProtection="1">
      <alignment/>
      <protection/>
    </xf>
    <xf numFmtId="0" fontId="17" fillId="33" borderId="0" xfId="0" applyFont="1" applyFill="1" applyBorder="1" applyAlignment="1" applyProtection="1">
      <alignment/>
      <protection/>
    </xf>
    <xf numFmtId="0" fontId="7" fillId="33" borderId="18" xfId="0" applyNumberFormat="1" applyFont="1" applyFill="1" applyBorder="1" applyAlignment="1" applyProtection="1">
      <alignment horizontal="left" vertical="center"/>
      <protection/>
    </xf>
    <xf numFmtId="0" fontId="7" fillId="33" borderId="113" xfId="0" applyFont="1" applyFill="1" applyBorder="1" applyAlignment="1" applyProtection="1">
      <alignment/>
      <protection/>
    </xf>
    <xf numFmtId="0" fontId="7" fillId="33" borderId="18" xfId="0" applyFont="1" applyFill="1" applyBorder="1" applyAlignment="1" applyProtection="1">
      <alignment/>
      <protection/>
    </xf>
    <xf numFmtId="0" fontId="24" fillId="33" borderId="56" xfId="0" applyFont="1" applyFill="1" applyBorder="1" applyAlignment="1" applyProtection="1">
      <alignment/>
      <protection/>
    </xf>
    <xf numFmtId="0" fontId="7" fillId="33" borderId="18" xfId="0" applyFont="1" applyFill="1" applyBorder="1" applyAlignment="1" applyProtection="1">
      <alignment vertical="center"/>
      <protection/>
    </xf>
    <xf numFmtId="0" fontId="7" fillId="33" borderId="113" xfId="0" applyNumberFormat="1" applyFont="1" applyFill="1" applyBorder="1" applyAlignment="1" applyProtection="1">
      <alignment/>
      <protection/>
    </xf>
    <xf numFmtId="0" fontId="0" fillId="33" borderId="113" xfId="0" applyFont="1" applyFill="1" applyBorder="1" applyAlignment="1" applyProtection="1">
      <alignment vertical="center"/>
      <protection/>
    </xf>
    <xf numFmtId="0" fontId="7" fillId="33" borderId="127" xfId="0" applyFont="1" applyFill="1" applyBorder="1" applyAlignment="1" applyProtection="1">
      <alignment/>
      <protection/>
    </xf>
    <xf numFmtId="0" fontId="63" fillId="33" borderId="113" xfId="0" applyFont="1" applyFill="1" applyBorder="1" applyAlignment="1" applyProtection="1">
      <alignment vertical="center" wrapText="1"/>
      <protection/>
    </xf>
    <xf numFmtId="0" fontId="11" fillId="33" borderId="18" xfId="0" applyFont="1" applyFill="1" applyBorder="1" applyAlignment="1" applyProtection="1">
      <alignment/>
      <protection/>
    </xf>
    <xf numFmtId="0" fontId="24" fillId="33" borderId="113" xfId="0" applyFont="1" applyFill="1" applyBorder="1" applyAlignment="1" applyProtection="1">
      <alignment horizontal="right"/>
      <protection/>
    </xf>
    <xf numFmtId="0" fontId="25" fillId="33" borderId="0" xfId="0" applyNumberFormat="1" applyFont="1" applyFill="1" applyBorder="1" applyAlignment="1" applyProtection="1">
      <alignment horizontal="left" wrapText="1"/>
      <protection/>
    </xf>
    <xf numFmtId="164" fontId="19" fillId="33" borderId="72" xfId="0" applyNumberFormat="1" applyFont="1" applyFill="1" applyBorder="1" applyAlignment="1" applyProtection="1">
      <alignment horizontal="center"/>
      <protection/>
    </xf>
    <xf numFmtId="164" fontId="7" fillId="33" borderId="109" xfId="0" applyNumberFormat="1" applyFont="1" applyFill="1" applyBorder="1" applyAlignment="1" applyProtection="1">
      <alignment horizontal="center"/>
      <protection/>
    </xf>
    <xf numFmtId="0" fontId="0" fillId="33" borderId="0" xfId="0" applyFill="1" applyBorder="1" applyAlignment="1" applyProtection="1">
      <alignment horizontal="center" wrapText="1"/>
      <protection/>
    </xf>
    <xf numFmtId="0" fontId="7" fillId="33" borderId="37" xfId="0" applyFont="1" applyFill="1" applyBorder="1" applyAlignment="1" applyProtection="1">
      <alignment/>
      <protection/>
    </xf>
    <xf numFmtId="0" fontId="7" fillId="33" borderId="54" xfId="0" applyFont="1" applyFill="1" applyBorder="1" applyAlignment="1" applyProtection="1">
      <alignment horizontal="center"/>
      <protection/>
    </xf>
    <xf numFmtId="0" fontId="7" fillId="33" borderId="39" xfId="0" applyFont="1" applyFill="1" applyBorder="1" applyAlignment="1" applyProtection="1">
      <alignment/>
      <protection/>
    </xf>
    <xf numFmtId="0" fontId="8" fillId="34" borderId="0" xfId="0" applyFont="1" applyFill="1" applyAlignment="1" applyProtection="1">
      <alignment/>
      <protection/>
    </xf>
    <xf numFmtId="0" fontId="74" fillId="34" borderId="0" xfId="0" applyFont="1" applyFill="1" applyAlignment="1" applyProtection="1">
      <alignment vertical="center"/>
      <protection/>
    </xf>
    <xf numFmtId="0" fontId="7" fillId="34" borderId="15" xfId="0" applyFont="1" applyFill="1" applyBorder="1" applyAlignment="1" applyProtection="1">
      <alignment/>
      <protection/>
    </xf>
    <xf numFmtId="0" fontId="8" fillId="34" borderId="16" xfId="0" applyFont="1" applyFill="1" applyBorder="1" applyAlignment="1" applyProtection="1">
      <alignment/>
      <protection/>
    </xf>
    <xf numFmtId="0" fontId="6" fillId="33" borderId="21" xfId="0" applyFont="1" applyFill="1" applyBorder="1" applyAlignment="1" applyProtection="1">
      <alignment horizontal="center" wrapText="1"/>
      <protection locked="0"/>
    </xf>
    <xf numFmtId="0" fontId="0" fillId="34" borderId="12" xfId="0" applyFill="1" applyBorder="1" applyAlignment="1" applyProtection="1">
      <alignment/>
      <protection/>
    </xf>
    <xf numFmtId="0" fontId="21" fillId="34" borderId="0" xfId="0" applyFont="1" applyFill="1" applyAlignment="1" applyProtection="1">
      <alignment/>
      <protection/>
    </xf>
    <xf numFmtId="0" fontId="18" fillId="34" borderId="0" xfId="0" applyFont="1" applyFill="1" applyAlignment="1" applyProtection="1">
      <alignment/>
      <protection/>
    </xf>
    <xf numFmtId="0" fontId="107" fillId="34" borderId="0" xfId="0" applyFont="1" applyFill="1" applyAlignment="1" applyProtection="1">
      <alignment/>
      <protection/>
    </xf>
    <xf numFmtId="49" fontId="70" fillId="34" borderId="0" xfId="0" applyNumberFormat="1" applyFont="1" applyFill="1" applyAlignment="1" applyProtection="1">
      <alignment horizontal="right" vertical="center"/>
      <protection/>
    </xf>
    <xf numFmtId="0" fontId="70" fillId="34" borderId="0" xfId="0" applyFont="1" applyFill="1" applyAlignment="1" applyProtection="1">
      <alignment vertical="center"/>
      <protection/>
    </xf>
    <xf numFmtId="0" fontId="72" fillId="34" borderId="0" xfId="0" applyFont="1" applyFill="1" applyAlignment="1" applyProtection="1">
      <alignment horizontal="right"/>
      <protection/>
    </xf>
    <xf numFmtId="0" fontId="7" fillId="34" borderId="0" xfId="0" applyFont="1" applyFill="1" applyAlignment="1" applyProtection="1">
      <alignment vertical="center"/>
      <protection/>
    </xf>
    <xf numFmtId="0" fontId="39" fillId="33" borderId="128" xfId="0" applyFont="1" applyFill="1" applyBorder="1" applyAlignment="1" applyProtection="1">
      <alignment horizontal="center" wrapText="1"/>
      <protection/>
    </xf>
    <xf numFmtId="0" fontId="39" fillId="33" borderId="71" xfId="0" applyFont="1" applyFill="1" applyBorder="1" applyAlignment="1" applyProtection="1">
      <alignment horizontal="center" wrapText="1"/>
      <protection/>
    </xf>
    <xf numFmtId="0" fontId="39" fillId="33" borderId="73" xfId="0" applyFont="1" applyFill="1" applyBorder="1" applyAlignment="1" applyProtection="1">
      <alignment horizontal="center" wrapText="1"/>
      <protection/>
    </xf>
    <xf numFmtId="0" fontId="11" fillId="33" borderId="85" xfId="0" applyFont="1" applyFill="1" applyBorder="1" applyAlignment="1" applyProtection="1">
      <alignment horizontal="center"/>
      <protection/>
    </xf>
    <xf numFmtId="0" fontId="7" fillId="37" borderId="33" xfId="0" applyFont="1" applyFill="1" applyBorder="1" applyAlignment="1" applyProtection="1">
      <alignment/>
      <protection/>
    </xf>
    <xf numFmtId="0" fontId="7" fillId="38" borderId="33" xfId="0" applyFont="1" applyFill="1" applyBorder="1" applyAlignment="1" applyProtection="1">
      <alignment/>
      <protection/>
    </xf>
    <xf numFmtId="0" fontId="46" fillId="33" borderId="0" xfId="0" applyFont="1" applyFill="1" applyBorder="1" applyAlignment="1" applyProtection="1">
      <alignment/>
      <protection/>
    </xf>
    <xf numFmtId="0" fontId="24" fillId="33" borderId="91" xfId="0" applyNumberFormat="1" applyFont="1" applyFill="1" applyBorder="1" applyAlignment="1" applyProtection="1">
      <alignment/>
      <protection/>
    </xf>
    <xf numFmtId="0" fontId="15" fillId="36" borderId="0" xfId="0" applyFont="1" applyFill="1" applyBorder="1" applyAlignment="1" applyProtection="1">
      <alignment/>
      <protection/>
    </xf>
    <xf numFmtId="0" fontId="15" fillId="33" borderId="0" xfId="0" applyFont="1" applyFill="1" applyBorder="1" applyAlignment="1" applyProtection="1">
      <alignment/>
      <protection/>
    </xf>
    <xf numFmtId="0" fontId="15" fillId="33" borderId="78" xfId="0" applyFont="1" applyFill="1" applyBorder="1" applyAlignment="1" applyProtection="1">
      <alignment/>
      <protection/>
    </xf>
    <xf numFmtId="42" fontId="7" fillId="33" borderId="57" xfId="0" applyNumberFormat="1" applyFont="1" applyFill="1" applyBorder="1" applyAlignment="1" applyProtection="1">
      <alignment/>
      <protection/>
    </xf>
    <xf numFmtId="0" fontId="52" fillId="34" borderId="0" xfId="0" applyFont="1" applyFill="1" applyBorder="1" applyAlignment="1" applyProtection="1">
      <alignment wrapText="1"/>
      <protection/>
    </xf>
    <xf numFmtId="0" fontId="0" fillId="34" borderId="17" xfId="0" applyFill="1" applyBorder="1" applyAlignment="1" applyProtection="1">
      <alignment/>
      <protection/>
    </xf>
    <xf numFmtId="0" fontId="8" fillId="0" borderId="20" xfId="0" applyFont="1" applyFill="1" applyBorder="1" applyAlignment="1" applyProtection="1">
      <alignment/>
      <protection/>
    </xf>
    <xf numFmtId="0" fontId="11" fillId="0" borderId="20" xfId="0" applyFont="1" applyFill="1" applyBorder="1" applyAlignment="1" applyProtection="1">
      <alignment horizontal="right"/>
      <protection/>
    </xf>
    <xf numFmtId="0" fontId="7" fillId="0" borderId="20" xfId="0" applyFont="1" applyFill="1" applyBorder="1" applyAlignment="1" applyProtection="1">
      <alignment horizontal="center" vertical="center" wrapText="1"/>
      <protection/>
    </xf>
    <xf numFmtId="0" fontId="52" fillId="0" borderId="20" xfId="0" applyFont="1" applyFill="1" applyBorder="1" applyAlignment="1" applyProtection="1">
      <alignment wrapText="1"/>
      <protection/>
    </xf>
    <xf numFmtId="0" fontId="0" fillId="0" borderId="20" xfId="0" applyFill="1" applyBorder="1" applyAlignment="1" applyProtection="1">
      <alignment/>
      <protection/>
    </xf>
    <xf numFmtId="0" fontId="7" fillId="0" borderId="19" xfId="0" applyFont="1" applyFill="1" applyBorder="1" applyAlignment="1" applyProtection="1">
      <alignment/>
      <protection/>
    </xf>
    <xf numFmtId="0" fontId="8" fillId="0" borderId="19" xfId="0" applyFont="1" applyFill="1" applyBorder="1" applyAlignment="1" applyProtection="1">
      <alignment/>
      <protection/>
    </xf>
    <xf numFmtId="0" fontId="11" fillId="0" borderId="19" xfId="0" applyFont="1" applyFill="1" applyBorder="1" applyAlignment="1" applyProtection="1">
      <alignment horizontal="right"/>
      <protection/>
    </xf>
    <xf numFmtId="0" fontId="7" fillId="0" borderId="19" xfId="0" applyFont="1" applyFill="1" applyBorder="1" applyAlignment="1" applyProtection="1">
      <alignment horizontal="center" vertical="center" wrapText="1"/>
      <protection/>
    </xf>
    <xf numFmtId="0" fontId="52" fillId="0" borderId="19" xfId="0" applyFont="1" applyFill="1" applyBorder="1" applyAlignment="1" applyProtection="1">
      <alignment wrapText="1"/>
      <protection/>
    </xf>
    <xf numFmtId="0" fontId="0" fillId="0" borderId="19" xfId="0" applyFill="1" applyBorder="1" applyAlignment="1" applyProtection="1">
      <alignment/>
      <protection/>
    </xf>
    <xf numFmtId="49" fontId="70" fillId="34" borderId="0" xfId="0" applyNumberFormat="1" applyFont="1" applyFill="1" applyBorder="1" applyAlignment="1" applyProtection="1">
      <alignment vertical="top"/>
      <protection/>
    </xf>
    <xf numFmtId="0" fontId="25" fillId="34" borderId="0" xfId="0" applyFont="1" applyFill="1" applyAlignment="1" applyProtection="1">
      <alignment vertical="top"/>
      <protection/>
    </xf>
    <xf numFmtId="0" fontId="70" fillId="34" borderId="0" xfId="0" applyFont="1" applyFill="1" applyBorder="1" applyAlignment="1" applyProtection="1">
      <alignment vertical="top"/>
      <protection/>
    </xf>
    <xf numFmtId="0" fontId="32" fillId="34" borderId="0" xfId="0" applyFont="1" applyFill="1" applyBorder="1" applyAlignment="1" applyProtection="1">
      <alignment/>
      <protection/>
    </xf>
    <xf numFmtId="0" fontId="14" fillId="34" borderId="0" xfId="0" applyFont="1" applyFill="1" applyAlignment="1" applyProtection="1">
      <alignment vertical="center" wrapText="1"/>
      <protection/>
    </xf>
    <xf numFmtId="0" fontId="14" fillId="34" borderId="0" xfId="0" applyFont="1" applyFill="1" applyAlignment="1" applyProtection="1">
      <alignment vertical="center"/>
      <protection/>
    </xf>
    <xf numFmtId="0" fontId="56" fillId="34" borderId="0" xfId="0" applyFont="1" applyFill="1" applyBorder="1" applyAlignment="1" applyProtection="1">
      <alignment horizontal="center" vertical="center"/>
      <protection/>
    </xf>
    <xf numFmtId="0" fontId="11" fillId="33" borderId="57" xfId="0" applyFont="1" applyFill="1" applyBorder="1" applyAlignment="1" applyProtection="1">
      <alignment horizontal="right"/>
      <protection/>
    </xf>
    <xf numFmtId="0" fontId="7" fillId="33" borderId="0" xfId="0" applyFont="1" applyFill="1" applyBorder="1" applyAlignment="1" applyProtection="1">
      <alignment vertical="center"/>
      <protection/>
    </xf>
    <xf numFmtId="0" fontId="11" fillId="33" borderId="0" xfId="0" applyFont="1" applyFill="1" applyBorder="1" applyAlignment="1" applyProtection="1">
      <alignment horizontal="right" vertical="center"/>
      <protection/>
    </xf>
    <xf numFmtId="0" fontId="39" fillId="33" borderId="0" xfId="0" applyFont="1" applyFill="1" applyBorder="1" applyAlignment="1" applyProtection="1">
      <alignment horizontal="center" vertical="center"/>
      <protection/>
    </xf>
    <xf numFmtId="42" fontId="64" fillId="33" borderId="55" xfId="0" applyNumberFormat="1" applyFont="1" applyFill="1" applyBorder="1" applyAlignment="1" applyProtection="1">
      <alignment vertical="center"/>
      <protection/>
    </xf>
    <xf numFmtId="0" fontId="50" fillId="34" borderId="0" xfId="0" applyFont="1" applyFill="1" applyBorder="1" applyAlignment="1" applyProtection="1">
      <alignment/>
      <protection/>
    </xf>
    <xf numFmtId="0" fontId="20" fillId="33" borderId="0" xfId="0" applyFont="1" applyFill="1" applyBorder="1" applyAlignment="1" applyProtection="1">
      <alignment horizontal="right" vertical="center"/>
      <protection/>
    </xf>
    <xf numFmtId="0" fontId="20" fillId="33" borderId="0" xfId="0" applyFont="1" applyFill="1" applyBorder="1" applyAlignment="1" applyProtection="1">
      <alignment horizontal="center" vertical="center"/>
      <protection/>
    </xf>
    <xf numFmtId="0" fontId="57" fillId="34" borderId="0" xfId="0" applyFont="1" applyFill="1" applyBorder="1" applyAlignment="1" applyProtection="1">
      <alignment/>
      <protection/>
    </xf>
    <xf numFmtId="0" fontId="39" fillId="33" borderId="54" xfId="0" applyFont="1" applyFill="1" applyBorder="1" applyAlignment="1" applyProtection="1">
      <alignment horizontal="center" vertical="center"/>
      <protection/>
    </xf>
    <xf numFmtId="0" fontId="0" fillId="33" borderId="54" xfId="0" applyFont="1" applyFill="1" applyBorder="1" applyAlignment="1" applyProtection="1">
      <alignment wrapText="1"/>
      <protection/>
    </xf>
    <xf numFmtId="0" fontId="65" fillId="33" borderId="87" xfId="0" applyFont="1" applyFill="1" applyBorder="1" applyAlignment="1" applyProtection="1">
      <alignment horizontal="center" vertical="center" wrapText="1"/>
      <protection/>
    </xf>
    <xf numFmtId="0" fontId="65" fillId="34" borderId="0" xfId="0" applyFont="1" applyFill="1" applyBorder="1" applyAlignment="1" applyProtection="1">
      <alignment horizontal="center" vertical="center" wrapText="1"/>
      <protection/>
    </xf>
    <xf numFmtId="0" fontId="51" fillId="34" borderId="0" xfId="0" applyFont="1" applyFill="1" applyBorder="1" applyAlignment="1" applyProtection="1">
      <alignment horizontal="center" vertical="center" wrapText="1"/>
      <protection/>
    </xf>
    <xf numFmtId="0" fontId="7" fillId="34" borderId="0" xfId="0" applyFont="1" applyFill="1" applyAlignment="1" applyProtection="1">
      <alignment horizontal="centerContinuous" wrapText="1"/>
      <protection/>
    </xf>
    <xf numFmtId="0" fontId="7" fillId="34" borderId="0" xfId="0" applyFont="1" applyFill="1" applyAlignment="1" applyProtection="1">
      <alignment horizontal="centerContinuous" wrapText="1"/>
      <protection/>
    </xf>
    <xf numFmtId="0" fontId="7" fillId="34" borderId="0" xfId="0" applyFont="1" applyFill="1" applyAlignment="1" applyProtection="1">
      <alignment horizontal="centerContinuous"/>
      <protection/>
    </xf>
    <xf numFmtId="0" fontId="52" fillId="34" borderId="0" xfId="0" applyFont="1" applyFill="1" applyBorder="1" applyAlignment="1" applyProtection="1">
      <alignment/>
      <protection/>
    </xf>
    <xf numFmtId="6" fontId="7" fillId="34" borderId="16" xfId="0" applyNumberFormat="1" applyFont="1" applyFill="1" applyBorder="1" applyAlignment="1" applyProtection="1">
      <alignment/>
      <protection/>
    </xf>
    <xf numFmtId="6" fontId="7"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0" fontId="33"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0" fontId="33" fillId="0" borderId="0" xfId="0" applyFont="1" applyFill="1" applyBorder="1" applyAlignment="1" applyProtection="1">
      <alignment horizontal="centerContinuous"/>
      <protection/>
    </xf>
    <xf numFmtId="6" fontId="11" fillId="0" borderId="0" xfId="0" applyNumberFormat="1" applyFont="1" applyFill="1" applyBorder="1" applyAlignment="1" applyProtection="1">
      <alignment/>
      <protection/>
    </xf>
    <xf numFmtId="6" fontId="7" fillId="0" borderId="0" xfId="0" applyNumberFormat="1" applyFont="1" applyFill="1" applyBorder="1" applyAlignment="1" applyProtection="1">
      <alignment/>
      <protection/>
    </xf>
    <xf numFmtId="42" fontId="7" fillId="0" borderId="0" xfId="0" applyNumberFormat="1" applyFont="1" applyFill="1" applyBorder="1" applyAlignment="1" applyProtection="1">
      <alignment/>
      <protection/>
    </xf>
    <xf numFmtId="6" fontId="17" fillId="0" borderId="0" xfId="0" applyNumberFormat="1" applyFont="1" applyFill="1" applyBorder="1" applyAlignment="1" applyProtection="1">
      <alignment/>
      <protection/>
    </xf>
    <xf numFmtId="0" fontId="0" fillId="0" borderId="0" xfId="0" applyFill="1" applyBorder="1" applyAlignment="1" applyProtection="1">
      <alignment horizontal="centerContinuous" vertical="center" wrapText="1"/>
      <protection/>
    </xf>
    <xf numFmtId="0" fontId="0" fillId="0" borderId="0" xfId="0" applyFill="1" applyBorder="1" applyAlignment="1" applyProtection="1">
      <alignment horizontal="centerContinuous" wrapText="1"/>
      <protection/>
    </xf>
    <xf numFmtId="0" fontId="0" fillId="0" borderId="0" xfId="0" applyFill="1" applyBorder="1" applyAlignment="1" applyProtection="1">
      <alignment wrapText="1"/>
      <protection/>
    </xf>
    <xf numFmtId="0" fontId="7" fillId="0" borderId="0" xfId="0" applyFont="1" applyBorder="1" applyAlignment="1" applyProtection="1">
      <alignment/>
      <protection/>
    </xf>
    <xf numFmtId="0" fontId="0" fillId="34" borderId="12" xfId="0" applyFont="1" applyFill="1" applyBorder="1" applyAlignment="1" applyProtection="1">
      <alignment/>
      <protection/>
    </xf>
    <xf numFmtId="0" fontId="14" fillId="34" borderId="0" xfId="0" applyFont="1" applyFill="1" applyBorder="1" applyAlignment="1" applyProtection="1">
      <alignment horizontal="right" vertical="top"/>
      <protection/>
    </xf>
    <xf numFmtId="0" fontId="14" fillId="34" borderId="0" xfId="0" applyFont="1" applyFill="1" applyBorder="1" applyAlignment="1" applyProtection="1">
      <alignment vertical="top"/>
      <protection/>
    </xf>
    <xf numFmtId="0" fontId="14" fillId="34" borderId="0" xfId="0" applyFont="1" applyFill="1" applyBorder="1" applyAlignment="1" applyProtection="1">
      <alignment horizontal="left" vertical="top"/>
      <protection/>
    </xf>
    <xf numFmtId="49" fontId="70" fillId="34" borderId="0" xfId="0" applyNumberFormat="1" applyFont="1" applyFill="1" applyBorder="1" applyAlignment="1" applyProtection="1">
      <alignment horizontal="right" vertical="top"/>
      <protection/>
    </xf>
    <xf numFmtId="0" fontId="70" fillId="34" borderId="0" xfId="0" applyFont="1" applyFill="1" applyBorder="1" applyAlignment="1" applyProtection="1">
      <alignment vertical="top"/>
      <protection/>
    </xf>
    <xf numFmtId="0" fontId="47" fillId="34" borderId="0" xfId="0" applyFont="1" applyFill="1" applyBorder="1" applyAlignment="1" applyProtection="1">
      <alignment vertical="top"/>
      <protection/>
    </xf>
    <xf numFmtId="0" fontId="0" fillId="34" borderId="0" xfId="0" applyFill="1" applyAlignment="1" applyProtection="1">
      <alignment/>
      <protection/>
    </xf>
    <xf numFmtId="0" fontId="17" fillId="34" borderId="0" xfId="0" applyFont="1" applyFill="1" applyBorder="1" applyAlignment="1" applyProtection="1">
      <alignment/>
      <protection/>
    </xf>
    <xf numFmtId="0" fontId="0" fillId="33" borderId="105" xfId="0" applyFill="1" applyBorder="1" applyAlignment="1" applyProtection="1">
      <alignment/>
      <protection/>
    </xf>
    <xf numFmtId="0" fontId="0" fillId="33" borderId="107" xfId="0" applyFill="1" applyBorder="1" applyAlignment="1" applyProtection="1">
      <alignment/>
      <protection/>
    </xf>
    <xf numFmtId="0" fontId="47" fillId="33" borderId="108" xfId="0" applyFont="1" applyFill="1" applyBorder="1" applyAlignment="1" applyProtection="1">
      <alignment/>
      <protection/>
    </xf>
    <xf numFmtId="0" fontId="14" fillId="33" borderId="0" xfId="0" applyFont="1" applyFill="1" applyBorder="1" applyAlignment="1" applyProtection="1">
      <alignment horizontal="centerContinuous" vertical="center"/>
      <protection/>
    </xf>
    <xf numFmtId="0" fontId="0" fillId="33" borderId="55" xfId="0" applyFill="1" applyBorder="1" applyAlignment="1" applyProtection="1">
      <alignment vertical="center"/>
      <protection/>
    </xf>
    <xf numFmtId="0" fontId="7" fillId="33" borderId="0" xfId="0" applyFont="1" applyFill="1" applyBorder="1" applyAlignment="1" applyProtection="1">
      <alignment/>
      <protection/>
    </xf>
    <xf numFmtId="0" fontId="7" fillId="33" borderId="129" xfId="0" applyFont="1" applyFill="1" applyBorder="1" applyAlignment="1" applyProtection="1">
      <alignment/>
      <protection/>
    </xf>
    <xf numFmtId="0" fontId="39" fillId="33" borderId="0" xfId="0" applyFont="1" applyFill="1" applyBorder="1" applyAlignment="1" applyProtection="1">
      <alignment horizontal="right"/>
      <protection/>
    </xf>
    <xf numFmtId="6" fontId="7" fillId="33" borderId="30" xfId="0" applyNumberFormat="1" applyFont="1" applyFill="1" applyBorder="1" applyAlignment="1" applyProtection="1">
      <alignment/>
      <protection/>
    </xf>
    <xf numFmtId="0" fontId="15" fillId="36" borderId="0" xfId="0" applyFont="1" applyFill="1" applyBorder="1" applyAlignment="1" applyProtection="1">
      <alignment vertical="center"/>
      <protection/>
    </xf>
    <xf numFmtId="0" fontId="12" fillId="36" borderId="0" xfId="0" applyFont="1" applyFill="1" applyBorder="1" applyAlignment="1" applyProtection="1">
      <alignment horizontal="right" vertical="center"/>
      <protection/>
    </xf>
    <xf numFmtId="44" fontId="12" fillId="36" borderId="71" xfId="0" applyNumberFormat="1" applyFont="1" applyFill="1" applyBorder="1" applyAlignment="1" applyProtection="1">
      <alignment vertical="center"/>
      <protection/>
    </xf>
    <xf numFmtId="6" fontId="7" fillId="33" borderId="0" xfId="0" applyNumberFormat="1" applyFont="1" applyFill="1" applyBorder="1" applyAlignment="1" applyProtection="1">
      <alignment/>
      <protection/>
    </xf>
    <xf numFmtId="44" fontId="12" fillId="36" borderId="0" xfId="0" applyNumberFormat="1" applyFont="1" applyFill="1" applyBorder="1" applyAlignment="1" applyProtection="1">
      <alignment vertical="center"/>
      <protection/>
    </xf>
    <xf numFmtId="0" fontId="7" fillId="33" borderId="110" xfId="0" applyFont="1" applyFill="1" applyBorder="1" applyAlignment="1" applyProtection="1">
      <alignment/>
      <protection/>
    </xf>
    <xf numFmtId="0" fontId="7" fillId="33" borderId="54" xfId="0" applyFont="1" applyFill="1" applyBorder="1" applyAlignment="1" applyProtection="1">
      <alignment/>
      <protection/>
    </xf>
    <xf numFmtId="0" fontId="0" fillId="33" borderId="54" xfId="0" applyFill="1" applyBorder="1" applyAlignment="1" applyProtection="1">
      <alignment/>
      <protection/>
    </xf>
    <xf numFmtId="0" fontId="0" fillId="33" borderId="39" xfId="0" applyFill="1" applyBorder="1" applyAlignment="1" applyProtection="1">
      <alignment/>
      <protection/>
    </xf>
    <xf numFmtId="0" fontId="23" fillId="34" borderId="0" xfId="0" applyFont="1" applyFill="1" applyBorder="1" applyAlignment="1" applyProtection="1">
      <alignment horizontal="centerContinuous"/>
      <protection/>
    </xf>
    <xf numFmtId="0" fontId="7" fillId="42" borderId="104" xfId="0" applyFont="1" applyFill="1" applyBorder="1" applyAlignment="1" applyProtection="1">
      <alignment/>
      <protection/>
    </xf>
    <xf numFmtId="0" fontId="7" fillId="42" borderId="105" xfId="0" applyFont="1" applyFill="1" applyBorder="1" applyAlignment="1" applyProtection="1">
      <alignment/>
      <protection/>
    </xf>
    <xf numFmtId="0" fontId="0" fillId="42" borderId="105" xfId="0" applyFill="1" applyBorder="1" applyAlignment="1" applyProtection="1">
      <alignment/>
      <protection/>
    </xf>
    <xf numFmtId="0" fontId="0" fillId="42" borderId="107" xfId="0" applyFill="1" applyBorder="1" applyAlignment="1" applyProtection="1">
      <alignment/>
      <protection/>
    </xf>
    <xf numFmtId="0" fontId="7" fillId="42" borderId="108" xfId="0" applyFont="1" applyFill="1" applyBorder="1" applyAlignment="1" applyProtection="1">
      <alignment/>
      <protection/>
    </xf>
    <xf numFmtId="0" fontId="17" fillId="42" borderId="55" xfId="0" applyFont="1" applyFill="1" applyBorder="1" applyAlignment="1" applyProtection="1">
      <alignment/>
      <protection/>
    </xf>
    <xf numFmtId="0" fontId="35" fillId="42" borderId="0" xfId="0" applyFont="1" applyFill="1" applyBorder="1" applyAlignment="1" applyProtection="1">
      <alignment horizontal="centerContinuous" vertical="center"/>
      <protection/>
    </xf>
    <xf numFmtId="0" fontId="0" fillId="42" borderId="0" xfId="0" applyFill="1" applyBorder="1" applyAlignment="1" applyProtection="1">
      <alignment horizontal="centerContinuous"/>
      <protection/>
    </xf>
    <xf numFmtId="0" fontId="17" fillId="42" borderId="0" xfId="0" applyFont="1" applyFill="1" applyBorder="1" applyAlignment="1" applyProtection="1">
      <alignment/>
      <protection/>
    </xf>
    <xf numFmtId="0" fontId="37" fillId="36" borderId="0" xfId="0" applyFont="1" applyFill="1" applyBorder="1" applyAlignment="1" applyProtection="1">
      <alignment vertical="center"/>
      <protection/>
    </xf>
    <xf numFmtId="44" fontId="12" fillId="36" borderId="0" xfId="0" applyNumberFormat="1" applyFont="1" applyFill="1" applyBorder="1" applyAlignment="1" applyProtection="1">
      <alignment horizontal="right" vertical="center"/>
      <protection/>
    </xf>
    <xf numFmtId="7" fontId="14" fillId="42" borderId="55" xfId="0" applyNumberFormat="1" applyFont="1" applyFill="1" applyBorder="1" applyAlignment="1" applyProtection="1">
      <alignment horizontal="right"/>
      <protection/>
    </xf>
    <xf numFmtId="0" fontId="0" fillId="42" borderId="0" xfId="0" applyFill="1" applyBorder="1" applyAlignment="1" applyProtection="1">
      <alignment/>
      <protection/>
    </xf>
    <xf numFmtId="0" fontId="12" fillId="42" borderId="0" xfId="0" applyFont="1" applyFill="1" applyBorder="1" applyAlignment="1" applyProtection="1">
      <alignment horizontal="right"/>
      <protection/>
    </xf>
    <xf numFmtId="7" fontId="14" fillId="42" borderId="0" xfId="0" applyNumberFormat="1" applyFont="1" applyFill="1" applyBorder="1" applyAlignment="1" applyProtection="1">
      <alignment horizontal="right"/>
      <protection/>
    </xf>
    <xf numFmtId="0" fontId="12" fillId="36" borderId="0" xfId="0" applyFont="1" applyFill="1" applyBorder="1" applyAlignment="1" applyProtection="1">
      <alignment horizontal="right" vertical="center"/>
      <protection/>
    </xf>
    <xf numFmtId="0" fontId="0" fillId="42" borderId="110" xfId="0" applyFill="1" applyBorder="1" applyAlignment="1" applyProtection="1">
      <alignment/>
      <protection/>
    </xf>
    <xf numFmtId="0" fontId="0" fillId="42" borderId="54" xfId="0" applyFill="1" applyBorder="1" applyAlignment="1" applyProtection="1">
      <alignment/>
      <protection/>
    </xf>
    <xf numFmtId="0" fontId="0" fillId="42" borderId="39" xfId="0" applyFill="1" applyBorder="1" applyAlignment="1" applyProtection="1">
      <alignment/>
      <protection/>
    </xf>
    <xf numFmtId="0" fontId="11" fillId="0" borderId="0" xfId="0" applyFont="1" applyAlignment="1" applyProtection="1">
      <alignment/>
      <protection/>
    </xf>
    <xf numFmtId="0" fontId="7" fillId="0" borderId="0" xfId="0" applyFont="1" applyAlignment="1" applyProtection="1">
      <alignment/>
      <protection/>
    </xf>
    <xf numFmtId="0" fontId="0" fillId="0" borderId="0" xfId="0" applyAlignment="1" applyProtection="1">
      <alignment horizontal="left" indent="1"/>
      <protection/>
    </xf>
    <xf numFmtId="0" fontId="7" fillId="0" borderId="0" xfId="0" applyFont="1" applyAlignment="1" applyProtection="1">
      <alignment horizontal="left" indent="1"/>
      <protection/>
    </xf>
    <xf numFmtId="42" fontId="44" fillId="34" borderId="0" xfId="0" applyNumberFormat="1" applyFont="1" applyFill="1" applyAlignment="1" applyProtection="1">
      <alignment/>
      <protection/>
    </xf>
    <xf numFmtId="0" fontId="0" fillId="0" borderId="0" xfId="0" applyFont="1" applyAlignment="1">
      <alignment/>
    </xf>
    <xf numFmtId="0" fontId="0" fillId="35" borderId="54" xfId="0" applyFont="1" applyFill="1" applyBorder="1" applyAlignment="1" applyProtection="1">
      <alignment/>
      <protection/>
    </xf>
    <xf numFmtId="0" fontId="0" fillId="0" borderId="0" xfId="0" applyFont="1" applyAlignment="1">
      <alignment/>
    </xf>
    <xf numFmtId="0" fontId="0" fillId="0" borderId="0" xfId="0" applyFont="1" applyAlignment="1" applyProtection="1">
      <alignment/>
      <protection/>
    </xf>
    <xf numFmtId="0" fontId="7" fillId="34" borderId="0" xfId="0" applyFont="1" applyFill="1" applyBorder="1" applyAlignment="1" applyProtection="1">
      <alignment horizontal="right"/>
      <protection/>
    </xf>
    <xf numFmtId="6" fontId="7" fillId="34" borderId="0" xfId="0" applyNumberFormat="1" applyFont="1" applyFill="1" applyBorder="1" applyAlignment="1" applyProtection="1">
      <alignment vertical="center"/>
      <protection/>
    </xf>
    <xf numFmtId="42" fontId="7" fillId="34" borderId="0" xfId="0" applyNumberFormat="1" applyFont="1" applyFill="1" applyBorder="1" applyAlignment="1" applyProtection="1">
      <alignment/>
      <protection/>
    </xf>
    <xf numFmtId="0" fontId="161" fillId="33" borderId="0" xfId="0" applyFont="1" applyFill="1" applyBorder="1" applyAlignment="1" applyProtection="1">
      <alignment horizontal="center" vertical="center" wrapText="1"/>
      <protection/>
    </xf>
    <xf numFmtId="182" fontId="12" fillId="36" borderId="0" xfId="0" applyNumberFormat="1" applyFont="1" applyFill="1" applyBorder="1" applyAlignment="1" applyProtection="1">
      <alignment vertical="center"/>
      <protection/>
    </xf>
    <xf numFmtId="0" fontId="0" fillId="33" borderId="130" xfId="0" applyFill="1" applyBorder="1" applyAlignment="1" applyProtection="1">
      <alignment/>
      <protection/>
    </xf>
    <xf numFmtId="0" fontId="0" fillId="33" borderId="131" xfId="0" applyFill="1" applyBorder="1" applyAlignment="1" applyProtection="1">
      <alignment/>
      <protection/>
    </xf>
    <xf numFmtId="0" fontId="7" fillId="33" borderId="132" xfId="0" applyFont="1" applyFill="1" applyBorder="1" applyAlignment="1" applyProtection="1">
      <alignment/>
      <protection/>
    </xf>
    <xf numFmtId="0" fontId="12" fillId="36" borderId="108" xfId="0" applyFont="1" applyFill="1" applyBorder="1" applyAlignment="1" applyProtection="1">
      <alignment vertical="center"/>
      <protection/>
    </xf>
    <xf numFmtId="0" fontId="12" fillId="36" borderId="133" xfId="0" applyFont="1" applyFill="1" applyBorder="1" applyAlignment="1" applyProtection="1">
      <alignment vertical="center"/>
      <protection/>
    </xf>
    <xf numFmtId="0" fontId="7" fillId="33" borderId="21" xfId="0" applyFont="1" applyFill="1" applyBorder="1" applyAlignment="1" applyProtection="1">
      <alignment horizontal="center" vertical="center"/>
      <protection/>
    </xf>
    <xf numFmtId="0" fontId="162" fillId="33" borderId="0" xfId="0" applyFont="1" applyFill="1" applyBorder="1" applyAlignment="1" applyProtection="1">
      <alignment horizontal="left" vertical="center" wrapText="1"/>
      <protection/>
    </xf>
    <xf numFmtId="0" fontId="14" fillId="45" borderId="0" xfId="0" applyFont="1" applyFill="1" applyBorder="1" applyAlignment="1" applyProtection="1">
      <alignment horizontal="center" vertical="center" wrapText="1"/>
      <protection/>
    </xf>
    <xf numFmtId="0" fontId="7" fillId="33" borderId="0" xfId="0" applyFont="1" applyFill="1" applyBorder="1" applyAlignment="1" applyProtection="1">
      <alignment/>
      <protection/>
    </xf>
    <xf numFmtId="42" fontId="60" fillId="33" borderId="0" xfId="0" applyNumberFormat="1" applyFont="1" applyFill="1" applyBorder="1" applyAlignment="1" applyProtection="1">
      <alignment/>
      <protection/>
    </xf>
    <xf numFmtId="42" fontId="60" fillId="33" borderId="0" xfId="0" applyNumberFormat="1" applyFont="1" applyFill="1" applyBorder="1" applyAlignment="1" applyProtection="1">
      <alignment/>
      <protection/>
    </xf>
    <xf numFmtId="49" fontId="18" fillId="34" borderId="0" xfId="0" applyNumberFormat="1" applyFont="1" applyFill="1" applyBorder="1" applyAlignment="1">
      <alignment horizontal="right"/>
    </xf>
    <xf numFmtId="0" fontId="18" fillId="34" borderId="0" xfId="0" applyFont="1" applyFill="1" applyBorder="1" applyAlignment="1">
      <alignment/>
    </xf>
    <xf numFmtId="49" fontId="18" fillId="34" borderId="0" xfId="0" applyNumberFormat="1" applyFont="1" applyFill="1" applyBorder="1" applyAlignment="1">
      <alignment horizontal="right" vertical="top"/>
    </xf>
    <xf numFmtId="0" fontId="18" fillId="34" borderId="0" xfId="0" applyFont="1" applyFill="1" applyBorder="1" applyAlignment="1">
      <alignment vertical="top"/>
    </xf>
    <xf numFmtId="49" fontId="113" fillId="33" borderId="0" xfId="0" applyNumberFormat="1" applyFont="1" applyFill="1" applyBorder="1" applyAlignment="1">
      <alignment horizontal="right"/>
    </xf>
    <xf numFmtId="49" fontId="18" fillId="33" borderId="0" xfId="0" applyNumberFormat="1" applyFont="1" applyFill="1" applyBorder="1" applyAlignment="1">
      <alignment horizontal="right"/>
    </xf>
    <xf numFmtId="49" fontId="18" fillId="33" borderId="0" xfId="0" applyNumberFormat="1" applyFont="1" applyFill="1" applyBorder="1" applyAlignment="1">
      <alignment horizontal="right" vertical="top"/>
    </xf>
    <xf numFmtId="0" fontId="113" fillId="33" borderId="0" xfId="0" applyFont="1" applyFill="1" applyBorder="1" applyAlignment="1">
      <alignment/>
    </xf>
    <xf numFmtId="0" fontId="113" fillId="33" borderId="56" xfId="0" applyFont="1" applyFill="1" applyBorder="1" applyAlignment="1">
      <alignment/>
    </xf>
    <xf numFmtId="49" fontId="18" fillId="33" borderId="0" xfId="0" applyNumberFormat="1" applyFont="1" applyFill="1" applyBorder="1" applyAlignment="1">
      <alignment horizontal="right" vertical="center"/>
    </xf>
    <xf numFmtId="0" fontId="18" fillId="33" borderId="0" xfId="0" applyFont="1" applyFill="1" applyBorder="1" applyAlignment="1">
      <alignment horizontal="left" vertical="center"/>
    </xf>
    <xf numFmtId="0" fontId="18" fillId="33" borderId="0" xfId="0" applyFont="1" applyFill="1" applyAlignment="1">
      <alignment/>
    </xf>
    <xf numFmtId="0" fontId="18" fillId="33" borderId="0" xfId="0" applyFont="1" applyFill="1" applyBorder="1" applyAlignment="1">
      <alignment horizontal="right" vertical="center"/>
    </xf>
    <xf numFmtId="0" fontId="18" fillId="33" borderId="0" xfId="0" applyFont="1" applyFill="1" applyBorder="1" applyAlignment="1">
      <alignment horizontal="right"/>
    </xf>
    <xf numFmtId="0" fontId="39" fillId="33" borderId="0" xfId="0" applyFont="1" applyFill="1" applyBorder="1" applyAlignment="1">
      <alignment/>
    </xf>
    <xf numFmtId="0" fontId="18" fillId="33" borderId="0" xfId="0" applyFont="1" applyFill="1" applyBorder="1" applyAlignment="1">
      <alignment horizontal="left"/>
    </xf>
    <xf numFmtId="0" fontId="18" fillId="34" borderId="0" xfId="0" applyFont="1" applyFill="1" applyAlignment="1">
      <alignment/>
    </xf>
    <xf numFmtId="0" fontId="18" fillId="33" borderId="0" xfId="0" applyFont="1" applyFill="1" applyBorder="1" applyAlignment="1">
      <alignment horizontal="centerContinuous"/>
    </xf>
    <xf numFmtId="0" fontId="18" fillId="33" borderId="0" xfId="0" applyFont="1" applyFill="1" applyBorder="1" applyAlignment="1">
      <alignment horizontal="right" vertical="center" wrapText="1"/>
    </xf>
    <xf numFmtId="0" fontId="18" fillId="33" borderId="0" xfId="0" applyFont="1" applyFill="1" applyBorder="1" applyAlignment="1">
      <alignment horizontal="left" wrapText="1"/>
    </xf>
    <xf numFmtId="42" fontId="7" fillId="35" borderId="134" xfId="0" applyNumberFormat="1" applyFont="1" applyFill="1" applyBorder="1" applyAlignment="1" applyProtection="1">
      <alignment/>
      <protection locked="0"/>
    </xf>
    <xf numFmtId="42" fontId="7" fillId="37" borderId="134" xfId="0" applyNumberFormat="1" applyFont="1" applyFill="1" applyBorder="1" applyAlignment="1" applyProtection="1">
      <alignment/>
      <protection/>
    </xf>
    <xf numFmtId="42" fontId="7" fillId="37" borderId="35" xfId="0" applyNumberFormat="1" applyFont="1" applyFill="1" applyBorder="1" applyAlignment="1" applyProtection="1">
      <alignment/>
      <protection/>
    </xf>
    <xf numFmtId="42" fontId="7" fillId="35" borderId="135" xfId="0" applyNumberFormat="1" applyFont="1" applyFill="1" applyBorder="1" applyAlignment="1" applyProtection="1">
      <alignment/>
      <protection locked="0"/>
    </xf>
    <xf numFmtId="0" fontId="7" fillId="0" borderId="136" xfId="0" applyFont="1" applyBorder="1" applyAlignment="1" applyProtection="1">
      <alignment/>
      <protection/>
    </xf>
    <xf numFmtId="0" fontId="8" fillId="34" borderId="72" xfId="0" applyFont="1" applyFill="1" applyBorder="1" applyAlignment="1" applyProtection="1">
      <alignment/>
      <protection/>
    </xf>
    <xf numFmtId="0" fontId="8" fillId="0" borderId="109" xfId="0" applyFont="1" applyBorder="1" applyAlignment="1" applyProtection="1">
      <alignment/>
      <protection/>
    </xf>
    <xf numFmtId="0" fontId="163" fillId="34" borderId="0" xfId="0" applyFont="1" applyFill="1" applyBorder="1" applyAlignment="1" applyProtection="1">
      <alignment/>
      <protection/>
    </xf>
    <xf numFmtId="42" fontId="7" fillId="46" borderId="65" xfId="0" applyNumberFormat="1" applyFont="1" applyFill="1" applyBorder="1" applyAlignment="1" applyProtection="1">
      <alignment/>
      <protection locked="0"/>
    </xf>
    <xf numFmtId="6" fontId="19" fillId="47" borderId="50" xfId="0" applyNumberFormat="1" applyFont="1" applyFill="1" applyBorder="1" applyAlignment="1" applyProtection="1">
      <alignment horizontal="right"/>
      <protection/>
    </xf>
    <xf numFmtId="42" fontId="64" fillId="35" borderId="63" xfId="0" applyNumberFormat="1" applyFont="1" applyFill="1" applyBorder="1" applyAlignment="1" applyProtection="1">
      <alignment vertical="center"/>
      <protection/>
    </xf>
    <xf numFmtId="0" fontId="7" fillId="33" borderId="21" xfId="0" applyFont="1" applyFill="1" applyBorder="1" applyAlignment="1" applyProtection="1">
      <alignment horizontal="center" vertical="center" shrinkToFit="1"/>
      <protection/>
    </xf>
    <xf numFmtId="42" fontId="7" fillId="35" borderId="134" xfId="0" applyNumberFormat="1" applyFont="1" applyFill="1" applyBorder="1" applyAlignment="1" applyProtection="1">
      <alignment/>
      <protection/>
    </xf>
    <xf numFmtId="42" fontId="7" fillId="40" borderId="75" xfId="0" applyNumberFormat="1" applyFont="1" applyFill="1" applyBorder="1" applyAlignment="1" applyProtection="1">
      <alignment/>
      <protection/>
    </xf>
    <xf numFmtId="42" fontId="7" fillId="40" borderId="83" xfId="0" applyNumberFormat="1" applyFont="1" applyFill="1" applyBorder="1" applyAlignment="1" applyProtection="1">
      <alignment/>
      <protection/>
    </xf>
    <xf numFmtId="42" fontId="7" fillId="40" borderId="67" xfId="0" applyNumberFormat="1" applyFont="1" applyFill="1" applyBorder="1" applyAlignment="1" applyProtection="1">
      <alignment/>
      <protection/>
    </xf>
    <xf numFmtId="42" fontId="7" fillId="40" borderId="63" xfId="0" applyNumberFormat="1" applyFont="1" applyFill="1" applyBorder="1" applyAlignment="1" applyProtection="1">
      <alignment/>
      <protection/>
    </xf>
    <xf numFmtId="42" fontId="7" fillId="35" borderId="35" xfId="0" applyNumberFormat="1" applyFont="1" applyFill="1" applyBorder="1" applyAlignment="1" applyProtection="1">
      <alignment/>
      <protection/>
    </xf>
    <xf numFmtId="42" fontId="7" fillId="40" borderId="137" xfId="0" applyNumberFormat="1" applyFont="1" applyFill="1" applyBorder="1" applyAlignment="1" applyProtection="1">
      <alignment/>
      <protection/>
    </xf>
    <xf numFmtId="42" fontId="7" fillId="35" borderId="138" xfId="0" applyNumberFormat="1" applyFont="1" applyFill="1" applyBorder="1" applyAlignment="1" applyProtection="1">
      <alignment/>
      <protection/>
    </xf>
    <xf numFmtId="42" fontId="7" fillId="40" borderId="137" xfId="0" applyNumberFormat="1" applyFont="1" applyFill="1" applyBorder="1" applyAlignment="1" applyProtection="1">
      <alignment/>
      <protection/>
    </xf>
    <xf numFmtId="42" fontId="7" fillId="35" borderId="135" xfId="0" applyNumberFormat="1" applyFont="1" applyFill="1" applyBorder="1" applyAlignment="1" applyProtection="1">
      <alignment/>
      <protection/>
    </xf>
    <xf numFmtId="42" fontId="7" fillId="40" borderId="65" xfId="0" applyNumberFormat="1" applyFont="1" applyFill="1" applyBorder="1" applyAlignment="1" applyProtection="1">
      <alignment/>
      <protection/>
    </xf>
    <xf numFmtId="42" fontId="7" fillId="35" borderId="139" xfId="0" applyNumberFormat="1" applyFont="1" applyFill="1" applyBorder="1" applyAlignment="1" applyProtection="1">
      <alignment/>
      <protection/>
    </xf>
    <xf numFmtId="42" fontId="7" fillId="35" borderId="140" xfId="0" applyNumberFormat="1" applyFont="1" applyFill="1" applyBorder="1" applyAlignment="1" applyProtection="1">
      <alignment/>
      <protection/>
    </xf>
    <xf numFmtId="42" fontId="7" fillId="35" borderId="63" xfId="0" applyNumberFormat="1" applyFont="1" applyFill="1" applyBorder="1" applyAlignment="1" applyProtection="1">
      <alignment/>
      <protection/>
    </xf>
    <xf numFmtId="42" fontId="7" fillId="35" borderId="68" xfId="0" applyNumberFormat="1" applyFont="1" applyFill="1" applyBorder="1" applyAlignment="1" applyProtection="1">
      <alignment/>
      <protection/>
    </xf>
    <xf numFmtId="42" fontId="7" fillId="40" borderId="75" xfId="0" applyNumberFormat="1" applyFont="1" applyFill="1" applyBorder="1" applyAlignment="1" applyProtection="1">
      <alignment/>
      <protection/>
    </xf>
    <xf numFmtId="42" fontId="7" fillId="35" borderId="65" xfId="0" applyNumberFormat="1" applyFont="1" applyFill="1" applyBorder="1" applyAlignment="1" applyProtection="1">
      <alignment/>
      <protection/>
    </xf>
    <xf numFmtId="42" fontId="7" fillId="35" borderId="67" xfId="0" applyNumberFormat="1" applyFont="1" applyFill="1" applyBorder="1" applyAlignment="1" applyProtection="1">
      <alignment/>
      <protection/>
    </xf>
    <xf numFmtId="42" fontId="7" fillId="40" borderId="67" xfId="0" applyNumberFormat="1" applyFont="1" applyFill="1" applyBorder="1" applyAlignment="1" applyProtection="1">
      <alignment/>
      <protection/>
    </xf>
    <xf numFmtId="42" fontId="7" fillId="40" borderId="83" xfId="0" applyNumberFormat="1" applyFont="1" applyFill="1" applyBorder="1" applyAlignment="1" applyProtection="1">
      <alignment/>
      <protection/>
    </xf>
    <xf numFmtId="42" fontId="7" fillId="35" borderId="83" xfId="0" applyNumberFormat="1" applyFont="1" applyFill="1" applyBorder="1" applyAlignment="1" applyProtection="1">
      <alignment/>
      <protection/>
    </xf>
    <xf numFmtId="0" fontId="0" fillId="0" borderId="0" xfId="0" applyAlignment="1" applyProtection="1">
      <alignment/>
      <protection hidden="1"/>
    </xf>
    <xf numFmtId="0" fontId="0" fillId="0" borderId="0" xfId="0"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7" fillId="34" borderId="13" xfId="0" applyFont="1" applyFill="1" applyBorder="1" applyAlignment="1" applyProtection="1">
      <alignment/>
      <protection hidden="1"/>
    </xf>
    <xf numFmtId="0" fontId="7" fillId="34" borderId="0" xfId="0" applyFont="1" applyFill="1" applyBorder="1" applyAlignment="1" applyProtection="1">
      <alignment/>
      <protection hidden="1"/>
    </xf>
    <xf numFmtId="0" fontId="21" fillId="34" borderId="0" xfId="0" applyFont="1" applyFill="1" applyBorder="1" applyAlignment="1" applyProtection="1">
      <alignment/>
      <protection hidden="1"/>
    </xf>
    <xf numFmtId="0" fontId="8" fillId="34" borderId="0" xfId="0" applyFont="1" applyFill="1" applyBorder="1" applyAlignment="1" applyProtection="1">
      <alignment/>
      <protection hidden="1"/>
    </xf>
    <xf numFmtId="0" fontId="7" fillId="34" borderId="0" xfId="0" applyFont="1" applyFill="1" applyAlignment="1" applyProtection="1">
      <alignment/>
      <protection hidden="1"/>
    </xf>
    <xf numFmtId="0" fontId="14" fillId="34" borderId="0" xfId="0" applyFont="1" applyFill="1" applyBorder="1" applyAlignment="1" applyProtection="1">
      <alignment horizontal="right"/>
      <protection hidden="1"/>
    </xf>
    <xf numFmtId="0" fontId="14" fillId="34" borderId="0" xfId="0" applyFont="1" applyFill="1" applyBorder="1" applyAlignment="1" applyProtection="1">
      <alignment/>
      <protection hidden="1"/>
    </xf>
    <xf numFmtId="0" fontId="14" fillId="34" borderId="0" xfId="0" applyFont="1" applyFill="1" applyBorder="1" applyAlignment="1" applyProtection="1">
      <alignment horizontal="left"/>
      <protection hidden="1"/>
    </xf>
    <xf numFmtId="0" fontId="7" fillId="34" borderId="14" xfId="0" applyFont="1" applyFill="1" applyBorder="1" applyAlignment="1" applyProtection="1">
      <alignment/>
      <protection hidden="1"/>
    </xf>
    <xf numFmtId="0" fontId="7" fillId="0" borderId="0" xfId="0" applyFont="1" applyAlignment="1" applyProtection="1">
      <alignment/>
      <protection hidden="1"/>
    </xf>
    <xf numFmtId="0" fontId="7" fillId="0" borderId="0" xfId="0" applyFont="1" applyFill="1" applyAlignment="1" applyProtection="1">
      <alignment/>
      <protection hidden="1"/>
    </xf>
    <xf numFmtId="0" fontId="0" fillId="34" borderId="13" xfId="0" applyFill="1" applyBorder="1" applyAlignment="1" applyProtection="1">
      <alignment/>
      <protection hidden="1"/>
    </xf>
    <xf numFmtId="0" fontId="0" fillId="34" borderId="0" xfId="0" applyFill="1" applyBorder="1" applyAlignment="1" applyProtection="1">
      <alignment/>
      <protection hidden="1"/>
    </xf>
    <xf numFmtId="0" fontId="19" fillId="34" borderId="0" xfId="0" applyFont="1" applyFill="1" applyBorder="1" applyAlignment="1" applyProtection="1">
      <alignment/>
      <protection hidden="1"/>
    </xf>
    <xf numFmtId="49" fontId="94" fillId="34" borderId="0" xfId="0" applyNumberFormat="1" applyFont="1" applyFill="1" applyBorder="1" applyAlignment="1" applyProtection="1">
      <alignment horizontal="right" vertical="top"/>
      <protection hidden="1"/>
    </xf>
    <xf numFmtId="0" fontId="11" fillId="34" borderId="0" xfId="0" applyFont="1" applyFill="1" applyBorder="1" applyAlignment="1" applyProtection="1">
      <alignment horizontal="center"/>
      <protection hidden="1"/>
    </xf>
    <xf numFmtId="0" fontId="17" fillId="34" borderId="0" xfId="0" applyFont="1" applyFill="1" applyBorder="1" applyAlignment="1" applyProtection="1">
      <alignment horizontal="center"/>
      <protection hidden="1"/>
    </xf>
    <xf numFmtId="0" fontId="80" fillId="34" borderId="0" xfId="0" applyFont="1" applyFill="1" applyBorder="1" applyAlignment="1" applyProtection="1">
      <alignment/>
      <protection hidden="1"/>
    </xf>
    <xf numFmtId="0" fontId="0" fillId="34" borderId="14" xfId="0" applyFill="1" applyBorder="1" applyAlignment="1" applyProtection="1">
      <alignment/>
      <protection hidden="1"/>
    </xf>
    <xf numFmtId="0" fontId="0" fillId="33" borderId="31" xfId="0" applyFill="1" applyBorder="1" applyAlignment="1" applyProtection="1">
      <alignment/>
      <protection hidden="1"/>
    </xf>
    <xf numFmtId="0" fontId="7" fillId="33" borderId="57" xfId="0" applyFont="1" applyFill="1" applyBorder="1" applyAlignment="1" applyProtection="1">
      <alignment/>
      <protection hidden="1"/>
    </xf>
    <xf numFmtId="0" fontId="11" fillId="33" borderId="57" xfId="0" applyFont="1" applyFill="1" applyBorder="1" applyAlignment="1" applyProtection="1">
      <alignment horizontal="center"/>
      <protection hidden="1"/>
    </xf>
    <xf numFmtId="0" fontId="17" fillId="33" borderId="57" xfId="0" applyFont="1" applyFill="1" applyBorder="1" applyAlignment="1" applyProtection="1">
      <alignment horizontal="center"/>
      <protection hidden="1"/>
    </xf>
    <xf numFmtId="0" fontId="17" fillId="33" borderId="33" xfId="0" applyFont="1" applyFill="1" applyBorder="1" applyAlignment="1" applyProtection="1">
      <alignment horizontal="center"/>
      <protection hidden="1"/>
    </xf>
    <xf numFmtId="0" fontId="0" fillId="33" borderId="56" xfId="0" applyFill="1" applyBorder="1" applyAlignment="1" applyProtection="1">
      <alignment/>
      <protection hidden="1"/>
    </xf>
    <xf numFmtId="0" fontId="16" fillId="33" borderId="0" xfId="0" applyFont="1" applyFill="1" applyBorder="1" applyAlignment="1" applyProtection="1">
      <alignment/>
      <protection hidden="1"/>
    </xf>
    <xf numFmtId="0" fontId="7" fillId="33" borderId="0" xfId="0" applyFont="1" applyFill="1" applyBorder="1" applyAlignment="1" applyProtection="1">
      <alignment/>
      <protection hidden="1"/>
    </xf>
    <xf numFmtId="0" fontId="11" fillId="33" borderId="0" xfId="0" applyFont="1" applyFill="1" applyBorder="1" applyAlignment="1" applyProtection="1">
      <alignment horizontal="center"/>
      <protection hidden="1"/>
    </xf>
    <xf numFmtId="0" fontId="17" fillId="33" borderId="0" xfId="0" applyFont="1" applyFill="1" applyBorder="1" applyAlignment="1" applyProtection="1">
      <alignment horizontal="center"/>
      <protection hidden="1"/>
    </xf>
    <xf numFmtId="0" fontId="17" fillId="33" borderId="55" xfId="0" applyFont="1" applyFill="1" applyBorder="1" applyAlignment="1" applyProtection="1">
      <alignment horizontal="center"/>
      <protection hidden="1"/>
    </xf>
    <xf numFmtId="0" fontId="0" fillId="33" borderId="0" xfId="0" applyFill="1" applyBorder="1" applyAlignment="1" applyProtection="1">
      <alignment/>
      <protection hidden="1"/>
    </xf>
    <xf numFmtId="0" fontId="81" fillId="33" borderId="0" xfId="0" applyFont="1" applyFill="1" applyBorder="1" applyAlignment="1" applyProtection="1">
      <alignment/>
      <protection hidden="1"/>
    </xf>
    <xf numFmtId="0" fontId="11" fillId="33" borderId="0" xfId="0" applyFont="1" applyFill="1" applyBorder="1" applyAlignment="1" applyProtection="1">
      <alignment horizontal="center" vertical="center"/>
      <protection hidden="1"/>
    </xf>
    <xf numFmtId="0" fontId="80" fillId="33" borderId="0" xfId="0" applyFont="1" applyFill="1" applyBorder="1" applyAlignment="1" applyProtection="1">
      <alignment vertical="center"/>
      <protection hidden="1"/>
    </xf>
    <xf numFmtId="0" fontId="80" fillId="33" borderId="0" xfId="0" applyFont="1" applyFill="1" applyBorder="1" applyAlignment="1" applyProtection="1">
      <alignment horizontal="center" vertical="center"/>
      <protection hidden="1"/>
    </xf>
    <xf numFmtId="0" fontId="11" fillId="33" borderId="55" xfId="0" applyFont="1" applyFill="1" applyBorder="1" applyAlignment="1" applyProtection="1">
      <alignment horizontal="center" vertical="center"/>
      <protection hidden="1"/>
    </xf>
    <xf numFmtId="49" fontId="94" fillId="33" borderId="0" xfId="0" applyNumberFormat="1" applyFont="1" applyFill="1" applyBorder="1" applyAlignment="1" applyProtection="1">
      <alignment horizontal="right"/>
      <protection hidden="1"/>
    </xf>
    <xf numFmtId="0" fontId="94" fillId="33" borderId="0" xfId="0" applyFont="1" applyFill="1" applyBorder="1" applyAlignment="1" applyProtection="1">
      <alignment/>
      <protection hidden="1"/>
    </xf>
    <xf numFmtId="0" fontId="7" fillId="35" borderId="0" xfId="0" applyFont="1" applyFill="1" applyBorder="1" applyAlignment="1" applyProtection="1">
      <alignment horizontal="right" vertical="center"/>
      <protection hidden="1"/>
    </xf>
    <xf numFmtId="0" fontId="80" fillId="33" borderId="0" xfId="0" applyFont="1" applyFill="1" applyBorder="1" applyAlignment="1" applyProtection="1">
      <alignment horizontal="left" vertical="center"/>
      <protection hidden="1"/>
    </xf>
    <xf numFmtId="0" fontId="85" fillId="33" borderId="0" xfId="0" applyFont="1" applyFill="1" applyBorder="1" applyAlignment="1" applyProtection="1">
      <alignment horizontal="left" vertical="center"/>
      <protection hidden="1"/>
    </xf>
    <xf numFmtId="0" fontId="80" fillId="33" borderId="0" xfId="0" applyFont="1" applyFill="1" applyBorder="1" applyAlignment="1" applyProtection="1">
      <alignment vertical="center"/>
      <protection hidden="1"/>
    </xf>
    <xf numFmtId="0" fontId="7" fillId="33" borderId="55" xfId="0" applyFont="1" applyFill="1" applyBorder="1" applyAlignment="1" applyProtection="1">
      <alignment horizontal="right"/>
      <protection hidden="1"/>
    </xf>
    <xf numFmtId="49" fontId="7" fillId="33" borderId="0" xfId="0" applyNumberFormat="1" applyFont="1" applyFill="1" applyBorder="1" applyAlignment="1" applyProtection="1">
      <alignment horizontal="right"/>
      <protection hidden="1"/>
    </xf>
    <xf numFmtId="0" fontId="80" fillId="33" borderId="0" xfId="0" applyFont="1" applyFill="1" applyBorder="1" applyAlignment="1" applyProtection="1">
      <alignment vertical="top"/>
      <protection hidden="1"/>
    </xf>
    <xf numFmtId="0" fontId="85" fillId="33" borderId="0" xfId="0" applyFont="1" applyFill="1" applyBorder="1" applyAlignment="1" applyProtection="1">
      <alignment horizontal="left" vertical="top"/>
      <protection hidden="1"/>
    </xf>
    <xf numFmtId="0" fontId="0" fillId="33" borderId="55" xfId="0" applyFill="1" applyBorder="1" applyAlignment="1" applyProtection="1">
      <alignment/>
      <protection hidden="1"/>
    </xf>
    <xf numFmtId="0" fontId="24" fillId="34" borderId="0" xfId="0" applyFont="1" applyFill="1" applyBorder="1" applyAlignment="1" applyProtection="1">
      <alignment/>
      <protection hidden="1"/>
    </xf>
    <xf numFmtId="0" fontId="65" fillId="33" borderId="0" xfId="0" applyFont="1" applyFill="1" applyBorder="1" applyAlignment="1" applyProtection="1">
      <alignment horizontal="center" vertical="top" wrapText="1"/>
      <protection hidden="1"/>
    </xf>
    <xf numFmtId="0" fontId="17" fillId="33" borderId="0" xfId="0" applyFont="1" applyFill="1" applyBorder="1" applyAlignment="1" applyProtection="1">
      <alignment horizontal="center" vertical="top"/>
      <protection hidden="1"/>
    </xf>
    <xf numFmtId="0" fontId="0" fillId="33" borderId="37" xfId="0" applyFill="1" applyBorder="1" applyAlignment="1" applyProtection="1">
      <alignment/>
      <protection hidden="1"/>
    </xf>
    <xf numFmtId="0" fontId="7" fillId="33" borderId="54" xfId="0" applyFont="1" applyFill="1" applyBorder="1" applyAlignment="1" applyProtection="1">
      <alignment/>
      <protection hidden="1"/>
    </xf>
    <xf numFmtId="0" fontId="11" fillId="33" borderId="54" xfId="0" applyFont="1" applyFill="1" applyBorder="1" applyAlignment="1" applyProtection="1">
      <alignment horizontal="center"/>
      <protection hidden="1"/>
    </xf>
    <xf numFmtId="0" fontId="17" fillId="33" borderId="54" xfId="0" applyFont="1" applyFill="1" applyBorder="1" applyAlignment="1" applyProtection="1">
      <alignment horizontal="center"/>
      <protection hidden="1"/>
    </xf>
    <xf numFmtId="0" fontId="17" fillId="33" borderId="39" xfId="0" applyFont="1" applyFill="1" applyBorder="1" applyAlignment="1" applyProtection="1">
      <alignment horizontal="center"/>
      <protection hidden="1"/>
    </xf>
    <xf numFmtId="0" fontId="7" fillId="33" borderId="33" xfId="0" applyFont="1" applyFill="1" applyBorder="1" applyAlignment="1" applyProtection="1">
      <alignment/>
      <protection hidden="1"/>
    </xf>
    <xf numFmtId="0" fontId="16" fillId="33" borderId="0" xfId="0" applyFont="1" applyFill="1" applyBorder="1" applyAlignment="1" applyProtection="1">
      <alignment horizontal="left"/>
      <protection hidden="1"/>
    </xf>
    <xf numFmtId="0" fontId="80" fillId="33" borderId="0" xfId="0" applyFont="1" applyFill="1" applyBorder="1" applyAlignment="1" applyProtection="1">
      <alignment/>
      <protection hidden="1"/>
    </xf>
    <xf numFmtId="0" fontId="7" fillId="33" borderId="55" xfId="0" applyFont="1" applyFill="1" applyBorder="1" applyAlignment="1" applyProtection="1">
      <alignment/>
      <protection hidden="1"/>
    </xf>
    <xf numFmtId="0" fontId="24" fillId="34" borderId="0" xfId="0" applyFont="1" applyFill="1" applyBorder="1" applyAlignment="1" applyProtection="1">
      <alignment vertical="center"/>
      <protection hidden="1"/>
    </xf>
    <xf numFmtId="0" fontId="97" fillId="33" borderId="0" xfId="0" applyFont="1" applyFill="1" applyBorder="1" applyAlignment="1" applyProtection="1">
      <alignment horizontal="center" vertical="top" wrapText="1"/>
      <protection hidden="1"/>
    </xf>
    <xf numFmtId="0" fontId="85" fillId="33" borderId="0" xfId="0" applyFont="1" applyFill="1" applyBorder="1" applyAlignment="1" applyProtection="1">
      <alignment horizontal="center"/>
      <protection hidden="1"/>
    </xf>
    <xf numFmtId="49" fontId="94" fillId="33" borderId="0" xfId="0" applyNumberFormat="1" applyFont="1" applyFill="1" applyBorder="1" applyAlignment="1" applyProtection="1">
      <alignment horizontal="right" vertical="top"/>
      <protection hidden="1"/>
    </xf>
    <xf numFmtId="0" fontId="80" fillId="33" borderId="0" xfId="0" applyFont="1" applyFill="1" applyBorder="1" applyAlignment="1" applyProtection="1">
      <alignment vertical="center" wrapText="1"/>
      <protection hidden="1"/>
    </xf>
    <xf numFmtId="0" fontId="81" fillId="33" borderId="0" xfId="0" applyFont="1" applyFill="1" applyBorder="1" applyAlignment="1" applyProtection="1">
      <alignment vertical="center"/>
      <protection hidden="1"/>
    </xf>
    <xf numFmtId="0" fontId="24" fillId="34" borderId="0" xfId="0" applyFont="1" applyFill="1" applyBorder="1" applyAlignment="1" applyProtection="1">
      <alignment horizontal="left"/>
      <protection hidden="1"/>
    </xf>
    <xf numFmtId="0" fontId="7" fillId="33" borderId="0" xfId="0" applyFont="1" applyFill="1" applyBorder="1" applyAlignment="1" applyProtection="1">
      <alignment vertical="center" wrapText="1"/>
      <protection hidden="1"/>
    </xf>
    <xf numFmtId="0" fontId="80" fillId="33" borderId="0" xfId="0" applyFont="1" applyFill="1" applyBorder="1" applyAlignment="1" applyProtection="1">
      <alignment horizontal="right" vertical="top"/>
      <protection hidden="1"/>
    </xf>
    <xf numFmtId="0" fontId="24" fillId="34" borderId="0" xfId="0" applyFont="1" applyFill="1" applyBorder="1" applyAlignment="1" applyProtection="1">
      <alignment horizontal="left" vertical="center"/>
      <protection hidden="1"/>
    </xf>
    <xf numFmtId="0" fontId="29" fillId="33" borderId="0" xfId="0" applyFont="1" applyFill="1" applyBorder="1" applyAlignment="1" applyProtection="1">
      <alignment horizontal="center"/>
      <protection hidden="1"/>
    </xf>
    <xf numFmtId="0" fontId="65" fillId="33" borderId="0" xfId="0" applyFont="1" applyFill="1" applyBorder="1" applyAlignment="1" applyProtection="1">
      <alignment horizontal="center" wrapText="1"/>
      <protection hidden="1"/>
    </xf>
    <xf numFmtId="0" fontId="11" fillId="33" borderId="0" xfId="0" applyFont="1" applyFill="1" applyBorder="1" applyAlignment="1" applyProtection="1">
      <alignment wrapText="1"/>
      <protection hidden="1"/>
    </xf>
    <xf numFmtId="0" fontId="24" fillId="33" borderId="0" xfId="0" applyFont="1" applyFill="1" applyBorder="1" applyAlignment="1" applyProtection="1">
      <alignment horizontal="center" wrapText="1"/>
      <protection hidden="1"/>
    </xf>
    <xf numFmtId="0" fontId="95" fillId="33" borderId="0" xfId="0" applyFont="1" applyFill="1" applyBorder="1" applyAlignment="1" applyProtection="1">
      <alignment wrapText="1"/>
      <protection hidden="1"/>
    </xf>
    <xf numFmtId="0" fontId="24" fillId="33" borderId="55" xfId="0" applyFont="1" applyFill="1" applyBorder="1" applyAlignment="1" applyProtection="1">
      <alignment horizontal="center" vertical="center" wrapText="1"/>
      <protection hidden="1"/>
    </xf>
    <xf numFmtId="0" fontId="81" fillId="34" borderId="0" xfId="0" applyFont="1" applyFill="1" applyBorder="1" applyAlignment="1" applyProtection="1">
      <alignment/>
      <protection hidden="1"/>
    </xf>
    <xf numFmtId="0" fontId="94" fillId="33" borderId="0" xfId="0" applyFont="1" applyFill="1" applyBorder="1" applyAlignment="1" applyProtection="1">
      <alignment horizontal="left"/>
      <protection hidden="1"/>
    </xf>
    <xf numFmtId="0" fontId="0" fillId="33" borderId="0" xfId="0" applyFill="1" applyBorder="1" applyAlignment="1" applyProtection="1">
      <alignment vertical="center"/>
      <protection hidden="1"/>
    </xf>
    <xf numFmtId="0" fontId="7" fillId="33" borderId="0" xfId="0" applyFont="1" applyFill="1" applyBorder="1" applyAlignment="1" applyProtection="1">
      <alignment vertical="center"/>
      <protection hidden="1"/>
    </xf>
    <xf numFmtId="42" fontId="39" fillId="35" borderId="75" xfId="0" applyNumberFormat="1" applyFont="1" applyFill="1" applyBorder="1" applyAlignment="1" applyProtection="1">
      <alignment vertical="center"/>
      <protection hidden="1"/>
    </xf>
    <xf numFmtId="42" fontId="7" fillId="33" borderId="0" xfId="0" applyNumberFormat="1" applyFont="1" applyFill="1" applyBorder="1" applyAlignment="1" applyProtection="1">
      <alignment vertical="center"/>
      <protection hidden="1"/>
    </xf>
    <xf numFmtId="42" fontId="79" fillId="34" borderId="0" xfId="0" applyNumberFormat="1" applyFont="1" applyFill="1" applyBorder="1" applyAlignment="1" applyProtection="1">
      <alignment vertical="center"/>
      <protection hidden="1"/>
    </xf>
    <xf numFmtId="0" fontId="0" fillId="34" borderId="0" xfId="0" applyFill="1" applyAlignment="1" applyProtection="1">
      <alignment/>
      <protection hidden="1"/>
    </xf>
    <xf numFmtId="0" fontId="94" fillId="33" borderId="0" xfId="0" applyFont="1" applyFill="1" applyBorder="1" applyAlignment="1" applyProtection="1">
      <alignment horizontal="right" vertical="center"/>
      <protection hidden="1"/>
    </xf>
    <xf numFmtId="3" fontId="39" fillId="35" borderId="65" xfId="0" applyNumberFormat="1" applyFont="1" applyFill="1" applyBorder="1" applyAlignment="1" applyProtection="1">
      <alignment vertical="center"/>
      <protection hidden="1"/>
    </xf>
    <xf numFmtId="3" fontId="7" fillId="33" borderId="0" xfId="0" applyNumberFormat="1" applyFont="1" applyFill="1" applyBorder="1" applyAlignment="1" applyProtection="1">
      <alignment vertical="center"/>
      <protection hidden="1"/>
    </xf>
    <xf numFmtId="37" fontId="79" fillId="34" borderId="0" xfId="0" applyNumberFormat="1" applyFont="1" applyFill="1" applyBorder="1" applyAlignment="1" applyProtection="1">
      <alignment vertical="center"/>
      <protection hidden="1"/>
    </xf>
    <xf numFmtId="44" fontId="7" fillId="34" borderId="14" xfId="0" applyNumberFormat="1" applyFont="1" applyFill="1" applyBorder="1" applyAlignment="1" applyProtection="1">
      <alignment/>
      <protection hidden="1"/>
    </xf>
    <xf numFmtId="3" fontId="39" fillId="35" borderId="67" xfId="0" applyNumberFormat="1" applyFont="1" applyFill="1" applyBorder="1" applyAlignment="1" applyProtection="1">
      <alignment vertical="center"/>
      <protection hidden="1"/>
    </xf>
    <xf numFmtId="0" fontId="65" fillId="33" borderId="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Continuous" vertical="center" wrapText="1"/>
      <protection hidden="1"/>
    </xf>
    <xf numFmtId="0" fontId="18" fillId="33" borderId="0" xfId="0" applyFont="1" applyFill="1" applyBorder="1" applyAlignment="1" applyProtection="1">
      <alignment horizontal="right"/>
      <protection hidden="1"/>
    </xf>
    <xf numFmtId="0" fontId="11" fillId="33" borderId="0" xfId="0" applyFont="1" applyFill="1" applyBorder="1" applyAlignment="1" applyProtection="1">
      <alignment horizontal="center" wrapText="1"/>
      <protection hidden="1"/>
    </xf>
    <xf numFmtId="0" fontId="39" fillId="33" borderId="0" xfId="0" applyFont="1" applyFill="1" applyBorder="1" applyAlignment="1" applyProtection="1">
      <alignment horizontal="right" vertical="center"/>
      <protection hidden="1"/>
    </xf>
    <xf numFmtId="44" fontId="12" fillId="36" borderId="78" xfId="0" applyNumberFormat="1" applyFont="1" applyFill="1" applyBorder="1" applyAlignment="1" applyProtection="1">
      <alignment vertical="center"/>
      <protection hidden="1"/>
    </xf>
    <xf numFmtId="0" fontId="18" fillId="33" borderId="0" xfId="0" applyFont="1" applyFill="1" applyBorder="1" applyAlignment="1" applyProtection="1">
      <alignment vertical="center"/>
      <protection hidden="1"/>
    </xf>
    <xf numFmtId="0" fontId="71" fillId="33" borderId="0" xfId="0" applyFont="1" applyFill="1" applyBorder="1" applyAlignment="1" applyProtection="1">
      <alignment horizontal="center" vertical="center"/>
      <protection hidden="1"/>
    </xf>
    <xf numFmtId="44" fontId="18" fillId="33" borderId="0" xfId="0" applyNumberFormat="1" applyFont="1" applyFill="1" applyBorder="1" applyAlignment="1" applyProtection="1">
      <alignment vertical="center"/>
      <protection hidden="1"/>
    </xf>
    <xf numFmtId="44" fontId="7" fillId="33" borderId="55" xfId="0" applyNumberFormat="1" applyFont="1" applyFill="1" applyBorder="1" applyAlignment="1" applyProtection="1">
      <alignment vertical="center"/>
      <protection hidden="1"/>
    </xf>
    <xf numFmtId="44" fontId="12" fillId="36" borderId="79" xfId="0" applyNumberFormat="1" applyFont="1" applyFill="1" applyBorder="1" applyAlignment="1" applyProtection="1">
      <alignment vertical="center"/>
      <protection hidden="1"/>
    </xf>
    <xf numFmtId="0" fontId="11"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centerContinuous" vertical="center"/>
      <protection hidden="1"/>
    </xf>
    <xf numFmtId="0" fontId="29" fillId="33" borderId="0" xfId="0" applyFont="1" applyFill="1" applyBorder="1" applyAlignment="1" applyProtection="1">
      <alignment horizontal="centerContinuous" vertical="center"/>
      <protection hidden="1"/>
    </xf>
    <xf numFmtId="0" fontId="11" fillId="33" borderId="0" xfId="0" applyFont="1" applyFill="1" applyBorder="1" applyAlignment="1" applyProtection="1">
      <alignment horizontal="centerContinuous" vertical="center"/>
      <protection hidden="1"/>
    </xf>
    <xf numFmtId="0" fontId="7" fillId="33" borderId="55" xfId="0" applyFont="1" applyFill="1" applyBorder="1" applyAlignment="1" applyProtection="1">
      <alignment vertical="center"/>
      <protection hidden="1"/>
    </xf>
    <xf numFmtId="0" fontId="12" fillId="36" borderId="25" xfId="0" applyFont="1" applyFill="1" applyBorder="1" applyAlignment="1" applyProtection="1">
      <alignment horizontal="centerContinuous" vertical="center"/>
      <protection hidden="1"/>
    </xf>
    <xf numFmtId="0" fontId="13" fillId="36" borderId="25" xfId="0" applyFont="1" applyFill="1" applyBorder="1" applyAlignment="1" applyProtection="1">
      <alignment horizontal="centerContinuous" vertical="center"/>
      <protection hidden="1"/>
    </xf>
    <xf numFmtId="0" fontId="87" fillId="36" borderId="25" xfId="0" applyFont="1" applyFill="1" applyBorder="1" applyAlignment="1" applyProtection="1">
      <alignment horizontal="centerContinuous" vertical="center"/>
      <protection hidden="1"/>
    </xf>
    <xf numFmtId="44" fontId="39" fillId="35" borderId="63" xfId="0" applyNumberFormat="1" applyFont="1" applyFill="1" applyBorder="1" applyAlignment="1" applyProtection="1">
      <alignment horizontal="center" vertical="center"/>
      <protection hidden="1"/>
    </xf>
    <xf numFmtId="44" fontId="14" fillId="33" borderId="0" xfId="0" applyNumberFormat="1" applyFont="1" applyFill="1" applyBorder="1" applyAlignment="1" applyProtection="1">
      <alignment vertical="center"/>
      <protection hidden="1"/>
    </xf>
    <xf numFmtId="44" fontId="71" fillId="33" borderId="0" xfId="0" applyNumberFormat="1" applyFont="1" applyFill="1" applyBorder="1" applyAlignment="1" applyProtection="1">
      <alignment horizontal="center" vertical="center"/>
      <protection hidden="1"/>
    </xf>
    <xf numFmtId="44" fontId="14" fillId="33" borderId="0" xfId="0" applyNumberFormat="1" applyFont="1" applyFill="1" applyBorder="1" applyAlignment="1" applyProtection="1">
      <alignment horizontal="center" vertical="center"/>
      <protection hidden="1"/>
    </xf>
    <xf numFmtId="44" fontId="7" fillId="33" borderId="55" xfId="0" applyNumberFormat="1" applyFont="1" applyFill="1" applyBorder="1" applyAlignment="1" applyProtection="1">
      <alignment horizontal="center" vertical="center"/>
      <protection hidden="1"/>
    </xf>
    <xf numFmtId="0" fontId="17" fillId="33" borderId="0" xfId="0" applyFont="1" applyFill="1" applyBorder="1" applyAlignment="1" applyProtection="1">
      <alignment horizontal="right" vertical="center"/>
      <protection hidden="1"/>
    </xf>
    <xf numFmtId="44" fontId="12" fillId="36" borderId="77" xfId="0" applyNumberFormat="1" applyFont="1" applyFill="1" applyBorder="1" applyAlignment="1" applyProtection="1">
      <alignment horizontal="center" vertical="center"/>
      <protection hidden="1"/>
    </xf>
    <xf numFmtId="44" fontId="18" fillId="33" borderId="0" xfId="0" applyNumberFormat="1" applyFont="1" applyFill="1" applyBorder="1" applyAlignment="1" applyProtection="1">
      <alignment horizontal="center" vertical="center"/>
      <protection hidden="1"/>
    </xf>
    <xf numFmtId="0" fontId="0" fillId="33" borderId="54" xfId="0" applyFill="1" applyBorder="1" applyAlignment="1" applyProtection="1">
      <alignment/>
      <protection hidden="1"/>
    </xf>
    <xf numFmtId="0" fontId="7" fillId="33" borderId="54" xfId="0" applyFont="1" applyFill="1" applyBorder="1" applyAlignment="1" applyProtection="1">
      <alignment horizontal="right" vertical="center"/>
      <protection hidden="1"/>
    </xf>
    <xf numFmtId="0" fontId="7" fillId="33" borderId="54" xfId="0" applyFont="1" applyFill="1" applyBorder="1" applyAlignment="1" applyProtection="1">
      <alignment vertical="center"/>
      <protection hidden="1"/>
    </xf>
    <xf numFmtId="44" fontId="65" fillId="33" borderId="54" xfId="0" applyNumberFormat="1" applyFont="1" applyFill="1" applyBorder="1" applyAlignment="1" applyProtection="1">
      <alignment horizontal="center" vertical="top" wrapText="1"/>
      <protection hidden="1"/>
    </xf>
    <xf numFmtId="44" fontId="7" fillId="33" borderId="54" xfId="0" applyNumberFormat="1" applyFont="1" applyFill="1" applyBorder="1" applyAlignment="1" applyProtection="1">
      <alignment vertical="top"/>
      <protection hidden="1"/>
    </xf>
    <xf numFmtId="44" fontId="29" fillId="33" borderId="54" xfId="0" applyNumberFormat="1" applyFont="1" applyFill="1" applyBorder="1" applyAlignment="1" applyProtection="1">
      <alignment horizontal="center" vertical="top"/>
      <protection hidden="1"/>
    </xf>
    <xf numFmtId="44" fontId="7" fillId="33" borderId="54" xfId="0" applyNumberFormat="1" applyFont="1" applyFill="1" applyBorder="1" applyAlignment="1" applyProtection="1">
      <alignment horizontal="center" vertical="top"/>
      <protection hidden="1"/>
    </xf>
    <xf numFmtId="44" fontId="7" fillId="33" borderId="39" xfId="0" applyNumberFormat="1" applyFont="1" applyFill="1" applyBorder="1" applyAlignment="1" applyProtection="1">
      <alignment horizontal="center" vertical="center"/>
      <protection hidden="1"/>
    </xf>
    <xf numFmtId="0" fontId="7" fillId="34" borderId="0" xfId="0" applyFont="1" applyFill="1" applyBorder="1" applyAlignment="1" applyProtection="1">
      <alignment horizontal="right"/>
      <protection hidden="1"/>
    </xf>
    <xf numFmtId="173" fontId="7" fillId="34" borderId="0" xfId="0" applyNumberFormat="1" applyFont="1" applyFill="1" applyBorder="1" applyAlignment="1" applyProtection="1">
      <alignment horizontal="center"/>
      <protection hidden="1"/>
    </xf>
    <xf numFmtId="0" fontId="29" fillId="34" borderId="0" xfId="0" applyFont="1" applyFill="1" applyBorder="1" applyAlignment="1" applyProtection="1">
      <alignment horizontal="center"/>
      <protection hidden="1"/>
    </xf>
    <xf numFmtId="0" fontId="19" fillId="33" borderId="57" xfId="0" applyFont="1" applyFill="1" applyBorder="1" applyAlignment="1" applyProtection="1">
      <alignment/>
      <protection hidden="1"/>
    </xf>
    <xf numFmtId="0" fontId="83" fillId="33" borderId="57" xfId="0" applyFont="1" applyFill="1" applyBorder="1" applyAlignment="1" applyProtection="1">
      <alignment/>
      <protection hidden="1"/>
    </xf>
    <xf numFmtId="0" fontId="83" fillId="33" borderId="33" xfId="0" applyFont="1" applyFill="1" applyBorder="1" applyAlignment="1" applyProtection="1">
      <alignment/>
      <protection hidden="1"/>
    </xf>
    <xf numFmtId="0" fontId="83" fillId="34" borderId="0" xfId="0" applyFont="1" applyFill="1" applyBorder="1" applyAlignment="1" applyProtection="1">
      <alignment/>
      <protection hidden="1"/>
    </xf>
    <xf numFmtId="0" fontId="16" fillId="33" borderId="0" xfId="0" applyFont="1" applyFill="1" applyBorder="1" applyAlignment="1" applyProtection="1">
      <alignment horizontal="left" vertical="center"/>
      <protection hidden="1"/>
    </xf>
    <xf numFmtId="0" fontId="19" fillId="33" borderId="0" xfId="0" applyFont="1" applyFill="1" applyBorder="1" applyAlignment="1" applyProtection="1">
      <alignment/>
      <protection hidden="1"/>
    </xf>
    <xf numFmtId="0" fontId="83" fillId="33" borderId="0" xfId="0" applyFont="1" applyFill="1" applyBorder="1" applyAlignment="1" applyProtection="1">
      <alignment/>
      <protection hidden="1"/>
    </xf>
    <xf numFmtId="0" fontId="83" fillId="33" borderId="55" xfId="0" applyFont="1" applyFill="1" applyBorder="1" applyAlignment="1" applyProtection="1">
      <alignment/>
      <protection hidden="1"/>
    </xf>
    <xf numFmtId="49" fontId="94" fillId="33" borderId="0" xfId="0" applyNumberFormat="1" applyFont="1" applyFill="1" applyBorder="1" applyAlignment="1" applyProtection="1">
      <alignment horizontal="right" vertical="center"/>
      <protection hidden="1"/>
    </xf>
    <xf numFmtId="0" fontId="94" fillId="33" borderId="0" xfId="0" applyFont="1" applyFill="1" applyBorder="1" applyAlignment="1" applyProtection="1">
      <alignment horizontal="left" vertical="center"/>
      <protection hidden="1"/>
    </xf>
    <xf numFmtId="0" fontId="24" fillId="33" borderId="0" xfId="0" applyFont="1" applyFill="1" applyBorder="1" applyAlignment="1" applyProtection="1">
      <alignment horizontal="left" vertical="center"/>
      <protection hidden="1"/>
    </xf>
    <xf numFmtId="0" fontId="84" fillId="33" borderId="0" xfId="0" applyFont="1" applyFill="1" applyBorder="1" applyAlignment="1" applyProtection="1">
      <alignment/>
      <protection hidden="1"/>
    </xf>
    <xf numFmtId="0" fontId="7" fillId="35" borderId="0" xfId="0" applyFont="1" applyFill="1" applyBorder="1" applyAlignment="1" applyProtection="1">
      <alignment horizontal="right" vertical="center"/>
      <protection hidden="1"/>
    </xf>
    <xf numFmtId="0" fontId="80" fillId="33" borderId="0" xfId="0" applyFont="1" applyFill="1" applyBorder="1" applyAlignment="1" applyProtection="1">
      <alignment horizontal="left"/>
      <protection hidden="1"/>
    </xf>
    <xf numFmtId="0" fontId="102" fillId="33" borderId="0" xfId="0" applyFont="1" applyFill="1" applyAlignment="1" applyProtection="1">
      <alignment/>
      <protection hidden="1"/>
    </xf>
    <xf numFmtId="0" fontId="39" fillId="33" borderId="0" xfId="0" applyFont="1" applyFill="1" applyBorder="1" applyAlignment="1" applyProtection="1">
      <alignment/>
      <protection hidden="1"/>
    </xf>
    <xf numFmtId="0" fontId="24" fillId="33" borderId="55" xfId="0" applyFont="1" applyFill="1" applyBorder="1" applyAlignment="1" applyProtection="1">
      <alignment horizontal="left" vertical="center"/>
      <protection hidden="1"/>
    </xf>
    <xf numFmtId="0" fontId="7" fillId="33" borderId="0" xfId="0" applyFont="1" applyFill="1" applyBorder="1" applyAlignment="1" applyProtection="1">
      <alignment horizontal="right" vertical="center"/>
      <protection hidden="1"/>
    </xf>
    <xf numFmtId="0" fontId="94" fillId="33" borderId="0" xfId="0" applyFont="1" applyFill="1" applyBorder="1" applyAlignment="1" applyProtection="1">
      <alignment/>
      <protection hidden="1"/>
    </xf>
    <xf numFmtId="3" fontId="86" fillId="35" borderId="63" xfId="0" applyNumberFormat="1" applyFont="1" applyFill="1" applyBorder="1" applyAlignment="1" applyProtection="1">
      <alignment vertical="center"/>
      <protection hidden="1"/>
    </xf>
    <xf numFmtId="0" fontId="7" fillId="33" borderId="0" xfId="0" applyFont="1" applyFill="1" applyBorder="1" applyAlignment="1" applyProtection="1">
      <alignment/>
      <protection hidden="1"/>
    </xf>
    <xf numFmtId="0" fontId="11" fillId="33" borderId="0" xfId="0" applyFont="1" applyFill="1" applyBorder="1" applyAlignment="1" applyProtection="1">
      <alignment/>
      <protection hidden="1"/>
    </xf>
    <xf numFmtId="49" fontId="39" fillId="33" borderId="0" xfId="0" applyNumberFormat="1" applyFont="1" applyFill="1" applyBorder="1" applyAlignment="1" applyProtection="1">
      <alignment horizontal="right" vertical="top"/>
      <protection hidden="1"/>
    </xf>
    <xf numFmtId="0" fontId="7" fillId="33" borderId="0" xfId="0" applyFont="1" applyFill="1" applyBorder="1" applyAlignment="1" applyProtection="1">
      <alignment horizontal="left" wrapText="1"/>
      <protection hidden="1"/>
    </xf>
    <xf numFmtId="0" fontId="0" fillId="33" borderId="0" xfId="0" applyFill="1" applyBorder="1" applyAlignment="1" applyProtection="1">
      <alignment horizontal="left"/>
      <protection hidden="1"/>
    </xf>
    <xf numFmtId="44" fontId="80" fillId="33" borderId="0" xfId="0" applyNumberFormat="1" applyFont="1" applyFill="1" applyBorder="1" applyAlignment="1" applyProtection="1">
      <alignment vertical="center"/>
      <protection hidden="1"/>
    </xf>
    <xf numFmtId="44" fontId="86" fillId="35" borderId="63" xfId="0" applyNumberFormat="1" applyFont="1" applyFill="1" applyBorder="1" applyAlignment="1" applyProtection="1">
      <alignment vertical="center"/>
      <protection hidden="1"/>
    </xf>
    <xf numFmtId="0" fontId="0" fillId="33" borderId="55" xfId="0" applyFont="1" applyFill="1" applyBorder="1" applyAlignment="1" applyProtection="1">
      <alignment/>
      <protection hidden="1"/>
    </xf>
    <xf numFmtId="49" fontId="7" fillId="33" borderId="54" xfId="0" applyNumberFormat="1" applyFont="1" applyFill="1" applyBorder="1" applyAlignment="1" applyProtection="1">
      <alignment horizontal="right" vertical="top"/>
      <protection hidden="1"/>
    </xf>
    <xf numFmtId="0" fontId="7" fillId="33" borderId="54" xfId="0" applyFont="1" applyFill="1" applyBorder="1" applyAlignment="1" applyProtection="1">
      <alignment horizontal="left" wrapText="1"/>
      <protection hidden="1"/>
    </xf>
    <xf numFmtId="0" fontId="7" fillId="33" borderId="54" xfId="0" applyFont="1" applyFill="1" applyBorder="1" applyAlignment="1" applyProtection="1">
      <alignment horizontal="right"/>
      <protection hidden="1"/>
    </xf>
    <xf numFmtId="44" fontId="24" fillId="33" borderId="54" xfId="0" applyNumberFormat="1" applyFont="1" applyFill="1" applyBorder="1" applyAlignment="1" applyProtection="1">
      <alignment horizontal="center" vertical="center"/>
      <protection hidden="1"/>
    </xf>
    <xf numFmtId="0" fontId="83" fillId="33" borderId="54" xfId="0" applyFont="1" applyFill="1" applyBorder="1" applyAlignment="1" applyProtection="1">
      <alignment/>
      <protection hidden="1"/>
    </xf>
    <xf numFmtId="0" fontId="83" fillId="33" borderId="39" xfId="0" applyFont="1" applyFill="1" applyBorder="1" applyAlignment="1" applyProtection="1">
      <alignment/>
      <protection hidden="1"/>
    </xf>
    <xf numFmtId="49" fontId="7" fillId="34" borderId="0" xfId="0" applyNumberFormat="1" applyFont="1" applyFill="1" applyBorder="1" applyAlignment="1" applyProtection="1">
      <alignment horizontal="right" vertical="top"/>
      <protection hidden="1"/>
    </xf>
    <xf numFmtId="0" fontId="7" fillId="34" borderId="0" xfId="0" applyFont="1" applyFill="1" applyBorder="1" applyAlignment="1" applyProtection="1">
      <alignment horizontal="left" wrapText="1"/>
      <protection hidden="1"/>
    </xf>
    <xf numFmtId="0" fontId="7" fillId="34" borderId="0" xfId="0" applyFont="1" applyFill="1" applyBorder="1" applyAlignment="1" applyProtection="1">
      <alignment horizontal="right"/>
      <protection hidden="1"/>
    </xf>
    <xf numFmtId="44" fontId="24" fillId="34" borderId="0" xfId="0" applyNumberFormat="1" applyFont="1" applyFill="1" applyBorder="1" applyAlignment="1" applyProtection="1">
      <alignment horizontal="center" vertical="center"/>
      <protection hidden="1"/>
    </xf>
    <xf numFmtId="49" fontId="7" fillId="33" borderId="57" xfId="0" applyNumberFormat="1" applyFont="1" applyFill="1" applyBorder="1" applyAlignment="1" applyProtection="1">
      <alignment horizontal="right" vertical="top"/>
      <protection hidden="1"/>
    </xf>
    <xf numFmtId="0" fontId="7" fillId="33" borderId="57" xfId="0" applyFont="1" applyFill="1" applyBorder="1" applyAlignment="1" applyProtection="1">
      <alignment horizontal="left" wrapText="1"/>
      <protection hidden="1"/>
    </xf>
    <xf numFmtId="0" fontId="7" fillId="33" borderId="57" xfId="0" applyFont="1" applyFill="1" applyBorder="1" applyAlignment="1" applyProtection="1">
      <alignment horizontal="right"/>
      <protection hidden="1"/>
    </xf>
    <xf numFmtId="0" fontId="0" fillId="33" borderId="57" xfId="0" applyFill="1" applyBorder="1" applyAlignment="1" applyProtection="1">
      <alignment/>
      <protection hidden="1"/>
    </xf>
    <xf numFmtId="49" fontId="92" fillId="33" borderId="0" xfId="0" applyNumberFormat="1" applyFont="1" applyFill="1" applyBorder="1" applyAlignment="1" applyProtection="1">
      <alignment horizontal="right" vertical="center"/>
      <protection hidden="1"/>
    </xf>
    <xf numFmtId="0" fontId="0" fillId="33" borderId="0" xfId="0" applyFill="1" applyAlignment="1" applyProtection="1">
      <alignment/>
      <protection hidden="1"/>
    </xf>
    <xf numFmtId="0" fontId="94" fillId="33" borderId="0" xfId="0" applyFont="1" applyFill="1" applyAlignment="1" applyProtection="1">
      <alignment/>
      <protection hidden="1"/>
    </xf>
    <xf numFmtId="0" fontId="50" fillId="33" borderId="0" xfId="0" applyFont="1" applyFill="1" applyAlignment="1" applyProtection="1">
      <alignment/>
      <protection hidden="1"/>
    </xf>
    <xf numFmtId="3" fontId="7" fillId="35" borderId="63" xfId="0" applyNumberFormat="1" applyFont="1" applyFill="1" applyBorder="1" applyAlignment="1" applyProtection="1">
      <alignment vertical="center"/>
      <protection hidden="1"/>
    </xf>
    <xf numFmtId="49" fontId="7" fillId="33" borderId="0" xfId="0" applyNumberFormat="1" applyFont="1" applyFill="1" applyBorder="1" applyAlignment="1" applyProtection="1">
      <alignment horizontal="right" vertical="top"/>
      <protection hidden="1"/>
    </xf>
    <xf numFmtId="0" fontId="7" fillId="33" borderId="0" xfId="0" applyFont="1" applyFill="1" applyBorder="1" applyAlignment="1" applyProtection="1">
      <alignment horizontal="right"/>
      <protection hidden="1"/>
    </xf>
    <xf numFmtId="3" fontId="7" fillId="33" borderId="0" xfId="0" applyNumberFormat="1" applyFont="1" applyFill="1" applyBorder="1" applyAlignment="1" applyProtection="1">
      <alignment/>
      <protection hidden="1"/>
    </xf>
    <xf numFmtId="0" fontId="86" fillId="33" borderId="0" xfId="0" applyFont="1" applyFill="1" applyBorder="1" applyAlignment="1" applyProtection="1">
      <alignment horizontal="right" vertical="center"/>
      <protection hidden="1"/>
    </xf>
    <xf numFmtId="0" fontId="7" fillId="33" borderId="39" xfId="0" applyFont="1" applyFill="1" applyBorder="1" applyAlignment="1" applyProtection="1">
      <alignment/>
      <protection hidden="1"/>
    </xf>
    <xf numFmtId="0" fontId="16" fillId="34" borderId="0" xfId="0" applyFont="1" applyFill="1" applyBorder="1" applyAlignment="1" applyProtection="1">
      <alignment horizontal="left"/>
      <protection hidden="1"/>
    </xf>
    <xf numFmtId="173" fontId="7" fillId="34" borderId="14" xfId="0" applyNumberFormat="1" applyFont="1" applyFill="1" applyBorder="1" applyAlignment="1" applyProtection="1">
      <alignment/>
      <protection hidden="1"/>
    </xf>
    <xf numFmtId="8" fontId="7" fillId="34" borderId="0" xfId="0" applyNumberFormat="1" applyFont="1" applyFill="1" applyBorder="1" applyAlignment="1" applyProtection="1">
      <alignment/>
      <protection hidden="1"/>
    </xf>
    <xf numFmtId="0" fontId="7" fillId="34" borderId="22" xfId="0" applyFont="1" applyFill="1" applyBorder="1" applyAlignment="1" applyProtection="1">
      <alignment/>
      <protection hidden="1"/>
    </xf>
    <xf numFmtId="0" fontId="7" fillId="34" borderId="23" xfId="0" applyFont="1" applyFill="1" applyBorder="1" applyAlignment="1" applyProtection="1">
      <alignment/>
      <protection hidden="1"/>
    </xf>
    <xf numFmtId="0" fontId="7" fillId="34" borderId="23" xfId="0" applyFont="1" applyFill="1" applyBorder="1" applyAlignment="1" applyProtection="1">
      <alignment horizontal="right"/>
      <protection hidden="1"/>
    </xf>
    <xf numFmtId="8" fontId="7" fillId="34" borderId="23" xfId="0" applyNumberFormat="1" applyFont="1" applyFill="1" applyBorder="1" applyAlignment="1" applyProtection="1">
      <alignment/>
      <protection hidden="1"/>
    </xf>
    <xf numFmtId="0" fontId="7" fillId="34" borderId="70" xfId="0" applyFont="1" applyFill="1" applyBorder="1" applyAlignment="1" applyProtection="1">
      <alignment/>
      <protection hidden="1"/>
    </xf>
    <xf numFmtId="0" fontId="7" fillId="34" borderId="21" xfId="0" applyFont="1" applyFill="1" applyBorder="1" applyAlignment="1" applyProtection="1">
      <alignment/>
      <protection hidden="1"/>
    </xf>
    <xf numFmtId="0" fontId="14" fillId="34" borderId="0" xfId="0" applyFont="1" applyFill="1" applyBorder="1" applyAlignment="1" applyProtection="1">
      <alignment/>
      <protection hidden="1"/>
    </xf>
    <xf numFmtId="0" fontId="7" fillId="34" borderId="71" xfId="0" applyFont="1" applyFill="1" applyBorder="1" applyAlignment="1" applyProtection="1">
      <alignment/>
      <protection hidden="1"/>
    </xf>
    <xf numFmtId="0" fontId="0" fillId="34" borderId="21" xfId="0" applyFill="1" applyBorder="1" applyAlignment="1" applyProtection="1">
      <alignment/>
      <protection hidden="1"/>
    </xf>
    <xf numFmtId="0" fontId="14" fillId="34" borderId="0" xfId="0" applyFont="1" applyFill="1" applyBorder="1" applyAlignment="1" applyProtection="1">
      <alignment horizontal="center" wrapText="1"/>
      <protection hidden="1"/>
    </xf>
    <xf numFmtId="0" fontId="7" fillId="34" borderId="0" xfId="0" applyFont="1" applyFill="1" applyBorder="1" applyAlignment="1" applyProtection="1">
      <alignment horizontal="center"/>
      <protection hidden="1"/>
    </xf>
    <xf numFmtId="0" fontId="7" fillId="34" borderId="0" xfId="0" applyFont="1" applyFill="1" applyBorder="1" applyAlignment="1" applyProtection="1">
      <alignment horizontal="center"/>
      <protection hidden="1"/>
    </xf>
    <xf numFmtId="164" fontId="7" fillId="35" borderId="63" xfId="0" applyNumberFormat="1" applyFont="1" applyFill="1" applyBorder="1" applyAlignment="1" applyProtection="1">
      <alignment horizontal="center"/>
      <protection hidden="1"/>
    </xf>
    <xf numFmtId="0" fontId="17" fillId="34" borderId="0" xfId="0" applyFont="1" applyFill="1" applyBorder="1" applyAlignment="1" applyProtection="1">
      <alignment/>
      <protection hidden="1"/>
    </xf>
    <xf numFmtId="40" fontId="7" fillId="34" borderId="0" xfId="0" applyNumberFormat="1" applyFont="1" applyFill="1" applyBorder="1" applyAlignment="1" applyProtection="1">
      <alignment horizontal="center"/>
      <protection hidden="1"/>
    </xf>
    <xf numFmtId="164" fontId="7" fillId="34" borderId="0" xfId="0" applyNumberFormat="1" applyFont="1" applyFill="1" applyBorder="1" applyAlignment="1" applyProtection="1">
      <alignment horizontal="center"/>
      <protection hidden="1"/>
    </xf>
    <xf numFmtId="38" fontId="7" fillId="35" borderId="63" xfId="0" applyNumberFormat="1" applyFont="1" applyFill="1" applyBorder="1" applyAlignment="1" applyProtection="1">
      <alignment horizontal="center"/>
      <protection hidden="1"/>
    </xf>
    <xf numFmtId="38" fontId="7" fillId="34" borderId="0" xfId="0" applyNumberFormat="1" applyFont="1" applyFill="1" applyBorder="1" applyAlignment="1" applyProtection="1">
      <alignment horizontal="center"/>
      <protection hidden="1"/>
    </xf>
    <xf numFmtId="38" fontId="7" fillId="34" borderId="50" xfId="0" applyNumberFormat="1" applyFont="1" applyFill="1" applyBorder="1" applyAlignment="1" applyProtection="1">
      <alignment horizontal="center"/>
      <protection hidden="1"/>
    </xf>
    <xf numFmtId="40" fontId="7" fillId="34" borderId="74" xfId="0" applyNumberFormat="1" applyFont="1" applyFill="1" applyBorder="1" applyAlignment="1" applyProtection="1">
      <alignment horizontal="center"/>
      <protection hidden="1"/>
    </xf>
    <xf numFmtId="40" fontId="7" fillId="37" borderId="74" xfId="0" applyNumberFormat="1" applyFont="1" applyFill="1" applyBorder="1" applyAlignment="1" applyProtection="1">
      <alignment horizontal="center"/>
      <protection hidden="1"/>
    </xf>
    <xf numFmtId="0" fontId="44" fillId="0" borderId="0" xfId="0" applyFont="1" applyFill="1" applyAlignment="1" applyProtection="1">
      <alignment/>
      <protection hidden="1"/>
    </xf>
    <xf numFmtId="0" fontId="44" fillId="34" borderId="13" xfId="0" applyFont="1" applyFill="1" applyBorder="1" applyAlignment="1" applyProtection="1">
      <alignment/>
      <protection hidden="1"/>
    </xf>
    <xf numFmtId="0" fontId="44" fillId="34" borderId="0" xfId="0" applyFont="1" applyFill="1" applyBorder="1" applyAlignment="1" applyProtection="1">
      <alignment/>
      <protection hidden="1"/>
    </xf>
    <xf numFmtId="0" fontId="44" fillId="34" borderId="21" xfId="0" applyFont="1" applyFill="1" applyBorder="1" applyAlignment="1" applyProtection="1">
      <alignment/>
      <protection hidden="1"/>
    </xf>
    <xf numFmtId="164" fontId="7" fillId="34" borderId="0" xfId="0" applyNumberFormat="1" applyFont="1" applyFill="1" applyBorder="1" applyAlignment="1" applyProtection="1">
      <alignment/>
      <protection hidden="1"/>
    </xf>
    <xf numFmtId="38" fontId="7" fillId="34" borderId="0" xfId="0" applyNumberFormat="1" applyFont="1" applyFill="1" applyBorder="1" applyAlignment="1" applyProtection="1">
      <alignment horizontal="right"/>
      <protection hidden="1"/>
    </xf>
    <xf numFmtId="38" fontId="7" fillId="37" borderId="75" xfId="0" applyNumberFormat="1" applyFont="1" applyFill="1" applyBorder="1" applyAlignment="1" applyProtection="1">
      <alignment horizontal="center"/>
      <protection hidden="1"/>
    </xf>
    <xf numFmtId="38" fontId="7" fillId="37" borderId="67" xfId="0" applyNumberFormat="1" applyFont="1" applyFill="1" applyBorder="1" applyAlignment="1" applyProtection="1">
      <alignment horizontal="center"/>
      <protection hidden="1"/>
    </xf>
    <xf numFmtId="164" fontId="7" fillId="34" borderId="50" xfId="0" applyNumberFormat="1" applyFont="1" applyFill="1" applyBorder="1" applyAlignment="1" applyProtection="1">
      <alignment/>
      <protection hidden="1"/>
    </xf>
    <xf numFmtId="0" fontId="23" fillId="34" borderId="0" xfId="0" applyFont="1" applyFill="1" applyBorder="1" applyAlignment="1" applyProtection="1">
      <alignment horizontal="center" wrapText="1"/>
      <protection hidden="1"/>
    </xf>
    <xf numFmtId="40" fontId="11" fillId="34" borderId="0" xfId="0" applyNumberFormat="1" applyFont="1" applyFill="1" applyBorder="1" applyAlignment="1" applyProtection="1">
      <alignment horizontal="center"/>
      <protection hidden="1"/>
    </xf>
    <xf numFmtId="2" fontId="7" fillId="34" borderId="0" xfId="0" applyNumberFormat="1" applyFont="1" applyFill="1" applyBorder="1" applyAlignment="1" applyProtection="1">
      <alignment horizontal="center"/>
      <protection hidden="1"/>
    </xf>
    <xf numFmtId="0" fontId="79" fillId="34" borderId="61" xfId="0" applyFont="1" applyFill="1" applyBorder="1" applyAlignment="1" applyProtection="1">
      <alignment/>
      <protection hidden="1"/>
    </xf>
    <xf numFmtId="0" fontId="7" fillId="34" borderId="72" xfId="0" applyFont="1" applyFill="1" applyBorder="1" applyAlignment="1" applyProtection="1">
      <alignment/>
      <protection hidden="1"/>
    </xf>
    <xf numFmtId="0" fontId="0" fillId="34" borderId="72" xfId="0" applyFill="1" applyBorder="1" applyAlignment="1" applyProtection="1">
      <alignment/>
      <protection hidden="1"/>
    </xf>
    <xf numFmtId="0" fontId="7" fillId="34" borderId="72" xfId="0" applyFont="1" applyFill="1" applyBorder="1" applyAlignment="1" applyProtection="1">
      <alignment horizontal="center"/>
      <protection hidden="1"/>
    </xf>
    <xf numFmtId="0" fontId="7" fillId="34" borderId="73" xfId="0" applyFont="1" applyFill="1" applyBorder="1" applyAlignment="1" applyProtection="1">
      <alignment/>
      <protection hidden="1"/>
    </xf>
    <xf numFmtId="0" fontId="79" fillId="34" borderId="0" xfId="0" applyFont="1" applyFill="1" applyBorder="1" applyAlignment="1" applyProtection="1">
      <alignment/>
      <protection hidden="1"/>
    </xf>
    <xf numFmtId="0" fontId="89" fillId="34" borderId="0" xfId="0" applyFont="1" applyFill="1" applyBorder="1" applyAlignment="1" applyProtection="1">
      <alignment horizontal="left"/>
      <protection hidden="1"/>
    </xf>
    <xf numFmtId="0" fontId="90" fillId="34" borderId="0" xfId="0" applyFont="1" applyFill="1" applyBorder="1" applyAlignment="1" applyProtection="1">
      <alignment/>
      <protection hidden="1"/>
    </xf>
    <xf numFmtId="0" fontId="91" fillId="34" borderId="0" xfId="0" applyFont="1" applyFill="1" applyBorder="1" applyAlignment="1" applyProtection="1">
      <alignment/>
      <protection hidden="1"/>
    </xf>
    <xf numFmtId="0" fontId="14" fillId="34" borderId="0" xfId="0" applyFont="1" applyFill="1" applyBorder="1" applyAlignment="1" applyProtection="1">
      <alignment horizontal="center"/>
      <protection hidden="1"/>
    </xf>
    <xf numFmtId="0" fontId="88" fillId="34" borderId="0" xfId="0" applyFont="1" applyFill="1" applyBorder="1" applyAlignment="1" applyProtection="1">
      <alignment horizontal="center" vertical="center" wrapText="1"/>
      <protection hidden="1"/>
    </xf>
    <xf numFmtId="0" fontId="11" fillId="34" borderId="0" xfId="0" applyFont="1" applyFill="1" applyBorder="1" applyAlignment="1" applyProtection="1">
      <alignment horizontal="right" vertical="center"/>
      <protection hidden="1"/>
    </xf>
    <xf numFmtId="40" fontId="11" fillId="34" borderId="0" xfId="0" applyNumberFormat="1" applyFont="1" applyFill="1" applyBorder="1" applyAlignment="1" applyProtection="1">
      <alignment horizontal="center" vertical="center" wrapText="1"/>
      <protection hidden="1"/>
    </xf>
    <xf numFmtId="40" fontId="88" fillId="34" borderId="0" xfId="0" applyNumberFormat="1" applyFont="1" applyFill="1" applyBorder="1" applyAlignment="1" applyProtection="1">
      <alignment horizontal="center" vertical="center"/>
      <protection hidden="1"/>
    </xf>
    <xf numFmtId="0" fontId="11" fillId="34" borderId="0" xfId="0" applyFont="1" applyFill="1" applyBorder="1" applyAlignment="1" applyProtection="1">
      <alignment horizontal="right"/>
      <protection hidden="1"/>
    </xf>
    <xf numFmtId="0" fontId="44" fillId="34" borderId="69" xfId="0" applyFont="1" applyFill="1" applyBorder="1" applyAlignment="1" applyProtection="1">
      <alignment/>
      <protection hidden="1"/>
    </xf>
    <xf numFmtId="0" fontId="7" fillId="34" borderId="69" xfId="0" applyFont="1" applyFill="1" applyBorder="1" applyAlignment="1" applyProtection="1">
      <alignment/>
      <protection hidden="1"/>
    </xf>
    <xf numFmtId="0" fontId="0" fillId="34" borderId="69" xfId="0" applyFill="1" applyBorder="1" applyAlignment="1" applyProtection="1">
      <alignment/>
      <protection hidden="1"/>
    </xf>
    <xf numFmtId="6" fontId="7" fillId="34" borderId="0" xfId="0" applyNumberFormat="1" applyFont="1" applyFill="1" applyBorder="1" applyAlignment="1" applyProtection="1">
      <alignment horizontal="right"/>
      <protection hidden="1"/>
    </xf>
    <xf numFmtId="6" fontId="7" fillId="34" borderId="0" xfId="0" applyNumberFormat="1" applyFont="1" applyFill="1" applyBorder="1" applyAlignment="1" applyProtection="1">
      <alignment/>
      <protection hidden="1"/>
    </xf>
    <xf numFmtId="6" fontId="7" fillId="34" borderId="14" xfId="0" applyNumberFormat="1" applyFont="1" applyFill="1" applyBorder="1" applyAlignment="1" applyProtection="1">
      <alignment/>
      <protection hidden="1"/>
    </xf>
    <xf numFmtId="0" fontId="7" fillId="33" borderId="57" xfId="0" applyFont="1" applyFill="1" applyBorder="1" applyAlignment="1" applyProtection="1">
      <alignment horizontal="right"/>
      <protection hidden="1"/>
    </xf>
    <xf numFmtId="6" fontId="7" fillId="33" borderId="57" xfId="0" applyNumberFormat="1" applyFont="1" applyFill="1" applyBorder="1" applyAlignment="1" applyProtection="1">
      <alignment horizontal="right"/>
      <protection hidden="1"/>
    </xf>
    <xf numFmtId="169" fontId="7" fillId="33" borderId="57" xfId="0" applyNumberFormat="1" applyFont="1" applyFill="1" applyBorder="1" applyAlignment="1" applyProtection="1">
      <alignment/>
      <protection hidden="1"/>
    </xf>
    <xf numFmtId="6" fontId="7" fillId="33" borderId="57" xfId="0" applyNumberFormat="1" applyFont="1" applyFill="1" applyBorder="1" applyAlignment="1" applyProtection="1">
      <alignment/>
      <protection hidden="1"/>
    </xf>
    <xf numFmtId="6" fontId="7" fillId="33" borderId="33" xfId="0" applyNumberFormat="1" applyFont="1" applyFill="1" applyBorder="1" applyAlignment="1" applyProtection="1">
      <alignment/>
      <protection hidden="1"/>
    </xf>
    <xf numFmtId="44" fontId="0" fillId="0" borderId="0" xfId="0" applyNumberFormat="1" applyAlignment="1" applyProtection="1">
      <alignment/>
      <protection hidden="1"/>
    </xf>
    <xf numFmtId="0" fontId="0" fillId="34" borderId="13" xfId="0" applyFill="1" applyBorder="1" applyAlignment="1" applyProtection="1">
      <alignment vertical="center"/>
      <protection hidden="1"/>
    </xf>
    <xf numFmtId="0" fontId="0" fillId="33" borderId="56" xfId="0" applyFill="1" applyBorder="1" applyAlignment="1" applyProtection="1">
      <alignment vertical="center"/>
      <protection hidden="1"/>
    </xf>
    <xf numFmtId="0" fontId="94" fillId="33" borderId="0" xfId="0" applyFont="1" applyFill="1" applyBorder="1" applyAlignment="1" applyProtection="1">
      <alignment vertical="center"/>
      <protection hidden="1"/>
    </xf>
    <xf numFmtId="0" fontId="0" fillId="33" borderId="55" xfId="0" applyFill="1" applyBorder="1" applyAlignment="1" applyProtection="1">
      <alignment vertical="center" wrapText="1"/>
      <protection hidden="1"/>
    </xf>
    <xf numFmtId="0" fontId="0" fillId="34" borderId="14" xfId="0" applyFill="1" applyBorder="1" applyAlignment="1" applyProtection="1">
      <alignment vertical="center" wrapText="1"/>
      <protection hidden="1"/>
    </xf>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94" fillId="33" borderId="0" xfId="0" applyFont="1" applyFill="1" applyBorder="1" applyAlignment="1" applyProtection="1">
      <alignment vertical="center"/>
      <protection hidden="1"/>
    </xf>
    <xf numFmtId="8" fontId="0" fillId="0" borderId="0" xfId="0" applyNumberFormat="1" applyAlignment="1" applyProtection="1">
      <alignment vertical="center"/>
      <protection hidden="1"/>
    </xf>
    <xf numFmtId="49" fontId="19" fillId="33" borderId="0" xfId="0" applyNumberFormat="1" applyFont="1" applyFill="1" applyBorder="1" applyAlignment="1" applyProtection="1">
      <alignment horizontal="right" vertical="top"/>
      <protection hidden="1"/>
    </xf>
    <xf numFmtId="0" fontId="12" fillId="36" borderId="0" xfId="0" applyFont="1" applyFill="1" applyBorder="1" applyAlignment="1" applyProtection="1">
      <alignment vertical="center"/>
      <protection hidden="1"/>
    </xf>
    <xf numFmtId="0" fontId="12" fillId="36" borderId="0" xfId="0" applyFont="1" applyFill="1" applyBorder="1" applyAlignment="1" applyProtection="1">
      <alignment horizontal="centerContinuous" vertical="center"/>
      <protection hidden="1"/>
    </xf>
    <xf numFmtId="0" fontId="14" fillId="36" borderId="0" xfId="0" applyFont="1" applyFill="1" applyBorder="1" applyAlignment="1" applyProtection="1">
      <alignment horizontal="centerContinuous" vertical="center"/>
      <protection hidden="1"/>
    </xf>
    <xf numFmtId="0" fontId="12" fillId="36" borderId="0" xfId="0" applyFont="1" applyFill="1" applyBorder="1" applyAlignment="1" applyProtection="1">
      <alignment horizontal="right" vertical="center"/>
      <protection hidden="1"/>
    </xf>
    <xf numFmtId="0" fontId="12" fillId="36" borderId="0" xfId="0" applyFont="1" applyFill="1" applyBorder="1" applyAlignment="1" applyProtection="1">
      <alignment horizontal="center" vertical="center"/>
      <protection hidden="1"/>
    </xf>
    <xf numFmtId="0" fontId="12" fillId="36" borderId="0" xfId="0" applyFont="1" applyFill="1" applyBorder="1" applyAlignment="1" applyProtection="1">
      <alignment horizontal="left" vertical="center"/>
      <protection hidden="1"/>
    </xf>
    <xf numFmtId="0" fontId="14" fillId="36" borderId="0" xfId="0" applyFont="1" applyFill="1" applyBorder="1" applyAlignment="1" applyProtection="1">
      <alignment vertical="center"/>
      <protection hidden="1"/>
    </xf>
    <xf numFmtId="0" fontId="7" fillId="33" borderId="0" xfId="0" applyFont="1" applyFill="1" applyBorder="1" applyAlignment="1" applyProtection="1">
      <alignment horizontal="center"/>
      <protection hidden="1"/>
    </xf>
    <xf numFmtId="0" fontId="17" fillId="33" borderId="0" xfId="0" applyFont="1" applyFill="1" applyBorder="1" applyAlignment="1" applyProtection="1">
      <alignment horizontal="center" wrapText="1"/>
      <protection hidden="1"/>
    </xf>
    <xf numFmtId="0" fontId="17" fillId="33" borderId="0" xfId="0" applyFont="1" applyFill="1" applyBorder="1" applyAlignment="1" applyProtection="1">
      <alignment horizontal="centerContinuous" wrapText="1"/>
      <protection hidden="1"/>
    </xf>
    <xf numFmtId="38" fontId="0" fillId="33" borderId="55" xfId="0" applyNumberFormat="1" applyFill="1" applyBorder="1" applyAlignment="1" applyProtection="1">
      <alignment/>
      <protection hidden="1"/>
    </xf>
    <xf numFmtId="38" fontId="0" fillId="0" borderId="0" xfId="0" applyNumberFormat="1" applyAlignment="1" applyProtection="1">
      <alignment/>
      <protection hidden="1"/>
    </xf>
    <xf numFmtId="0" fontId="65" fillId="33" borderId="0" xfId="0" applyFont="1" applyFill="1" applyBorder="1" applyAlignment="1" applyProtection="1">
      <alignment horizontal="center" vertical="center" wrapText="1"/>
      <protection hidden="1"/>
    </xf>
    <xf numFmtId="0" fontId="17" fillId="33" borderId="0" xfId="0" applyFont="1" applyFill="1" applyBorder="1" applyAlignment="1" applyProtection="1">
      <alignment horizontal="center" vertical="center" wrapText="1"/>
      <protection hidden="1"/>
    </xf>
    <xf numFmtId="40" fontId="65" fillId="33" borderId="0" xfId="0" applyNumberFormat="1" applyFont="1" applyFill="1" applyBorder="1" applyAlignment="1" applyProtection="1">
      <alignment horizontal="center" vertical="center"/>
      <protection hidden="1"/>
    </xf>
    <xf numFmtId="40" fontId="24" fillId="33" borderId="0" xfId="0" applyNumberFormat="1" applyFont="1" applyFill="1" applyBorder="1" applyAlignment="1" applyProtection="1">
      <alignment horizontal="center" vertical="center"/>
      <protection hidden="1"/>
    </xf>
    <xf numFmtId="0" fontId="33" fillId="33" borderId="0" xfId="0" applyFont="1" applyFill="1" applyBorder="1" applyAlignment="1" applyProtection="1">
      <alignment horizontal="centerContinuous" vertical="center" wrapText="1"/>
      <protection hidden="1"/>
    </xf>
    <xf numFmtId="0" fontId="104" fillId="33" borderId="0" xfId="0" applyFont="1" applyFill="1" applyBorder="1" applyAlignment="1" applyProtection="1">
      <alignment horizontal="right"/>
      <protection hidden="1"/>
    </xf>
    <xf numFmtId="38" fontId="18" fillId="33" borderId="0" xfId="0" applyNumberFormat="1" applyFont="1" applyFill="1" applyBorder="1" applyAlignment="1" applyProtection="1">
      <alignment horizontal="center"/>
      <protection hidden="1"/>
    </xf>
    <xf numFmtId="38" fontId="7" fillId="33" borderId="0" xfId="0" applyNumberFormat="1" applyFont="1" applyFill="1" applyBorder="1" applyAlignment="1" applyProtection="1">
      <alignment/>
      <protection hidden="1"/>
    </xf>
    <xf numFmtId="38" fontId="18" fillId="35" borderId="63" xfId="0" applyNumberFormat="1" applyFont="1" applyFill="1" applyBorder="1" applyAlignment="1" applyProtection="1">
      <alignment vertical="center"/>
      <protection hidden="1"/>
    </xf>
    <xf numFmtId="38" fontId="18" fillId="33" borderId="0" xfId="0" applyNumberFormat="1" applyFont="1" applyFill="1" applyBorder="1" applyAlignment="1" applyProtection="1">
      <alignment/>
      <protection hidden="1"/>
    </xf>
    <xf numFmtId="169" fontId="7" fillId="33" borderId="0" xfId="0" applyNumberFormat="1" applyFont="1" applyFill="1" applyBorder="1" applyAlignment="1" applyProtection="1">
      <alignment/>
      <protection hidden="1"/>
    </xf>
    <xf numFmtId="8" fontId="0" fillId="0" borderId="0" xfId="0" applyNumberFormat="1" applyAlignment="1" applyProtection="1">
      <alignment/>
      <protection hidden="1"/>
    </xf>
    <xf numFmtId="0" fontId="7" fillId="33" borderId="0" xfId="0" applyFont="1" applyFill="1" applyBorder="1" applyAlignment="1" applyProtection="1">
      <alignment horizontal="right"/>
      <protection hidden="1"/>
    </xf>
    <xf numFmtId="0" fontId="14" fillId="33" borderId="0" xfId="0" applyFont="1" applyFill="1" applyBorder="1" applyAlignment="1" applyProtection="1">
      <alignment horizontal="right"/>
      <protection hidden="1"/>
    </xf>
    <xf numFmtId="8" fontId="14" fillId="33" borderId="0" xfId="0" applyNumberFormat="1" applyFont="1" applyFill="1" applyBorder="1" applyAlignment="1" applyProtection="1">
      <alignment/>
      <protection hidden="1"/>
    </xf>
    <xf numFmtId="8" fontId="14" fillId="33" borderId="0" xfId="0" applyNumberFormat="1" applyFont="1" applyFill="1" applyBorder="1" applyAlignment="1" applyProtection="1">
      <alignment/>
      <protection hidden="1"/>
    </xf>
    <xf numFmtId="8" fontId="0" fillId="33" borderId="55" xfId="0" applyNumberFormat="1" applyFill="1" applyBorder="1" applyAlignment="1" applyProtection="1">
      <alignment/>
      <protection hidden="1"/>
    </xf>
    <xf numFmtId="38" fontId="7" fillId="34" borderId="14" xfId="0" applyNumberFormat="1" applyFont="1" applyFill="1" applyBorder="1" applyAlignment="1" applyProtection="1">
      <alignment/>
      <protection hidden="1"/>
    </xf>
    <xf numFmtId="40" fontId="24" fillId="33" borderId="0" xfId="0" applyNumberFormat="1" applyFont="1" applyFill="1" applyBorder="1" applyAlignment="1" applyProtection="1">
      <alignment horizontal="center"/>
      <protection hidden="1"/>
    </xf>
    <xf numFmtId="8" fontId="7" fillId="33" borderId="0" xfId="0" applyNumberFormat="1" applyFont="1" applyFill="1" applyBorder="1" applyAlignment="1" applyProtection="1">
      <alignment horizontal="right" vertical="top"/>
      <protection hidden="1"/>
    </xf>
    <xf numFmtId="40" fontId="7" fillId="33" borderId="0" xfId="0" applyNumberFormat="1" applyFont="1" applyFill="1" applyBorder="1" applyAlignment="1" applyProtection="1">
      <alignment/>
      <protection hidden="1"/>
    </xf>
    <xf numFmtId="8" fontId="30" fillId="33" borderId="55" xfId="0" applyNumberFormat="1" applyFont="1" applyFill="1" applyBorder="1" applyAlignment="1" applyProtection="1">
      <alignment/>
      <protection hidden="1"/>
    </xf>
    <xf numFmtId="38" fontId="0" fillId="33" borderId="0" xfId="0" applyNumberFormat="1" applyFill="1" applyBorder="1" applyAlignment="1" applyProtection="1">
      <alignment/>
      <protection hidden="1"/>
    </xf>
    <xf numFmtId="0" fontId="11" fillId="33" borderId="0" xfId="0" applyFont="1" applyFill="1" applyBorder="1" applyAlignment="1" applyProtection="1">
      <alignment horizontal="centerContinuous" wrapText="1"/>
      <protection hidden="1"/>
    </xf>
    <xf numFmtId="0" fontId="65"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0" xfId="0" applyFill="1" applyBorder="1" applyAlignment="1" applyProtection="1">
      <alignment horizontal="centerContinuous" vertical="center"/>
      <protection hidden="1"/>
    </xf>
    <xf numFmtId="38" fontId="18" fillId="33" borderId="0" xfId="0" applyNumberFormat="1" applyFont="1" applyFill="1" applyBorder="1" applyAlignment="1" applyProtection="1">
      <alignment vertical="center"/>
      <protection hidden="1"/>
    </xf>
    <xf numFmtId="8" fontId="23" fillId="33" borderId="0" xfId="0" applyNumberFormat="1" applyFont="1" applyFill="1" applyBorder="1" applyAlignment="1" applyProtection="1">
      <alignment horizontal="right"/>
      <protection hidden="1"/>
    </xf>
    <xf numFmtId="8" fontId="7" fillId="33" borderId="0" xfId="0" applyNumberFormat="1" applyFont="1" applyFill="1" applyBorder="1" applyAlignment="1" applyProtection="1">
      <alignment/>
      <protection hidden="1"/>
    </xf>
    <xf numFmtId="0" fontId="93" fillId="33" borderId="0" xfId="0" applyFont="1" applyFill="1" applyBorder="1" applyAlignment="1" applyProtection="1">
      <alignment/>
      <protection hidden="1"/>
    </xf>
    <xf numFmtId="0" fontId="92" fillId="33" borderId="0" xfId="0" applyFont="1" applyFill="1" applyBorder="1" applyAlignment="1" applyProtection="1">
      <alignment/>
      <protection hidden="1"/>
    </xf>
    <xf numFmtId="0" fontId="53" fillId="37" borderId="0" xfId="0" applyFont="1" applyFill="1" applyBorder="1" applyAlignment="1" applyProtection="1">
      <alignment horizontal="centerContinuous" vertical="center"/>
      <protection hidden="1"/>
    </xf>
    <xf numFmtId="0" fontId="17" fillId="33" borderId="0" xfId="0" applyFont="1" applyFill="1" applyBorder="1" applyAlignment="1" applyProtection="1">
      <alignment horizontal="centerContinuous" vertical="center" wrapText="1"/>
      <protection hidden="1"/>
    </xf>
    <xf numFmtId="0" fontId="14" fillId="33" borderId="0" xfId="0" applyFont="1" applyFill="1" applyBorder="1" applyAlignment="1" applyProtection="1">
      <alignment/>
      <protection hidden="1"/>
    </xf>
    <xf numFmtId="0" fontId="11" fillId="33" borderId="0" xfId="0" applyFont="1" applyFill="1" applyBorder="1" applyAlignment="1" applyProtection="1">
      <alignment horizontal="center" vertical="center" wrapText="1"/>
      <protection hidden="1"/>
    </xf>
    <xf numFmtId="0" fontId="7" fillId="33" borderId="56" xfId="0" applyFont="1" applyFill="1" applyBorder="1" applyAlignment="1" applyProtection="1">
      <alignment/>
      <protection hidden="1"/>
    </xf>
    <xf numFmtId="0" fontId="8" fillId="33" borderId="0" xfId="0" applyFont="1" applyFill="1" applyBorder="1" applyAlignment="1" applyProtection="1">
      <alignment/>
      <protection hidden="1"/>
    </xf>
    <xf numFmtId="0" fontId="39" fillId="33" borderId="0" xfId="0" applyFont="1" applyFill="1" applyBorder="1" applyAlignment="1" applyProtection="1">
      <alignment horizontal="right"/>
      <protection hidden="1"/>
    </xf>
    <xf numFmtId="173" fontId="18" fillId="35" borderId="63" xfId="0" applyNumberFormat="1" applyFont="1" applyFill="1" applyBorder="1" applyAlignment="1" applyProtection="1">
      <alignment/>
      <protection hidden="1"/>
    </xf>
    <xf numFmtId="173" fontId="18" fillId="33" borderId="0" xfId="0" applyNumberFormat="1" applyFont="1" applyFill="1" applyBorder="1" applyAlignment="1" applyProtection="1">
      <alignment/>
      <protection hidden="1"/>
    </xf>
    <xf numFmtId="173" fontId="7" fillId="0" borderId="0" xfId="0" applyNumberFormat="1" applyFont="1" applyAlignment="1" applyProtection="1">
      <alignment/>
      <protection hidden="1"/>
    </xf>
    <xf numFmtId="173" fontId="14" fillId="33" borderId="0" xfId="0" applyNumberFormat="1" applyFont="1" applyFill="1" applyBorder="1" applyAlignment="1" applyProtection="1">
      <alignment/>
      <protection hidden="1"/>
    </xf>
    <xf numFmtId="173" fontId="14" fillId="33" borderId="0" xfId="0" applyNumberFormat="1" applyFont="1" applyFill="1" applyBorder="1" applyAlignment="1" applyProtection="1">
      <alignment horizontal="right"/>
      <protection hidden="1"/>
    </xf>
    <xf numFmtId="173" fontId="7" fillId="33" borderId="55" xfId="0" applyNumberFormat="1" applyFont="1" applyFill="1" applyBorder="1" applyAlignment="1" applyProtection="1">
      <alignment/>
      <protection hidden="1"/>
    </xf>
    <xf numFmtId="173" fontId="7" fillId="33" borderId="0" xfId="0" applyNumberFormat="1" applyFont="1" applyFill="1" applyBorder="1" applyAlignment="1" applyProtection="1">
      <alignment horizontal="right" vertical="top"/>
      <protection hidden="1"/>
    </xf>
    <xf numFmtId="173" fontId="65" fillId="33" borderId="0" xfId="0" applyNumberFormat="1" applyFont="1" applyFill="1" applyBorder="1" applyAlignment="1" applyProtection="1">
      <alignment horizontal="center" vertical="top" wrapText="1"/>
      <protection hidden="1"/>
    </xf>
    <xf numFmtId="0" fontId="12" fillId="41" borderId="0" xfId="0" applyFont="1" applyFill="1" applyBorder="1" applyAlignment="1" applyProtection="1">
      <alignment horizontal="centerContinuous" vertical="center"/>
      <protection hidden="1"/>
    </xf>
    <xf numFmtId="0" fontId="34" fillId="41" borderId="0" xfId="0" applyFont="1" applyFill="1" applyBorder="1" applyAlignment="1" applyProtection="1">
      <alignment horizontal="centerContinuous" vertical="center"/>
      <protection hidden="1"/>
    </xf>
    <xf numFmtId="0" fontId="17" fillId="0" borderId="0" xfId="0" applyFont="1" applyFill="1" applyBorder="1" applyAlignment="1" applyProtection="1">
      <alignment horizontal="centerContinuous" vertical="center" wrapText="1"/>
      <protection hidden="1"/>
    </xf>
    <xf numFmtId="0" fontId="17" fillId="0" borderId="0" xfId="0" applyFont="1" applyFill="1" applyBorder="1" applyAlignment="1" applyProtection="1">
      <alignment horizontal="center" vertical="center" wrapText="1"/>
      <protection hidden="1"/>
    </xf>
    <xf numFmtId="8" fontId="14" fillId="0" borderId="18" xfId="0" applyNumberFormat="1" applyFont="1" applyFill="1" applyBorder="1" applyAlignment="1" applyProtection="1">
      <alignment horizontal="center" vertical="center"/>
      <protection hidden="1"/>
    </xf>
    <xf numFmtId="8" fontId="14" fillId="0" borderId="0" xfId="0" applyNumberFormat="1" applyFont="1" applyFill="1" applyBorder="1" applyAlignment="1" applyProtection="1">
      <alignment/>
      <protection hidden="1"/>
    </xf>
    <xf numFmtId="8" fontId="14" fillId="0" borderId="0" xfId="0" applyNumberFormat="1" applyFont="1" applyFill="1" applyBorder="1" applyAlignment="1" applyProtection="1">
      <alignment horizontal="center"/>
      <protection hidden="1"/>
    </xf>
    <xf numFmtId="8" fontId="7" fillId="0" borderId="0" xfId="0" applyNumberFormat="1" applyFont="1" applyFill="1" applyBorder="1" applyAlignment="1" applyProtection="1">
      <alignment horizontal="center"/>
      <protection hidden="1"/>
    </xf>
    <xf numFmtId="38" fontId="7" fillId="0" borderId="0" xfId="0" applyNumberFormat="1"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33" borderId="39" xfId="0" applyFill="1" applyBorder="1" applyAlignment="1" applyProtection="1">
      <alignment/>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0" fillId="34" borderId="17" xfId="0" applyFill="1" applyBorder="1" applyAlignment="1" applyProtection="1">
      <alignment/>
      <protection hidden="1"/>
    </xf>
    <xf numFmtId="0" fontId="0" fillId="48" borderId="54" xfId="0" applyFill="1" applyBorder="1" applyAlignment="1">
      <alignment/>
    </xf>
    <xf numFmtId="0" fontId="14" fillId="41" borderId="141" xfId="0" applyFont="1" applyFill="1" applyBorder="1" applyAlignment="1">
      <alignment horizontal="left" vertical="center"/>
    </xf>
    <xf numFmtId="0" fontId="74" fillId="34" borderId="0" xfId="0" applyFont="1" applyFill="1" applyAlignment="1">
      <alignment wrapText="1"/>
    </xf>
    <xf numFmtId="0" fontId="77" fillId="0" borderId="0" xfId="0" applyFont="1" applyAlignment="1">
      <alignment wrapText="1"/>
    </xf>
    <xf numFmtId="0" fontId="58" fillId="35" borderId="142" xfId="0" applyFont="1" applyFill="1" applyBorder="1" applyAlignment="1" applyProtection="1">
      <alignment wrapText="1"/>
      <protection locked="0"/>
    </xf>
    <xf numFmtId="0" fontId="0" fillId="0" borderId="143" xfId="0" applyBorder="1" applyAlignment="1" applyProtection="1">
      <alignment wrapText="1"/>
      <protection locked="0"/>
    </xf>
    <xf numFmtId="0" fontId="0" fillId="0" borderId="144" xfId="0" applyBorder="1" applyAlignment="1" applyProtection="1">
      <alignment wrapText="1"/>
      <protection locked="0"/>
    </xf>
    <xf numFmtId="0" fontId="58" fillId="35" borderId="34" xfId="0" applyFont="1" applyFill="1" applyBorder="1" applyAlignment="1" applyProtection="1">
      <alignment wrapText="1"/>
      <protection locked="0"/>
    </xf>
    <xf numFmtId="0" fontId="0" fillId="0" borderId="18" xfId="0" applyBorder="1" applyAlignment="1" applyProtection="1">
      <alignment wrapText="1"/>
      <protection locked="0"/>
    </xf>
    <xf numFmtId="0" fontId="0" fillId="0" borderId="36" xfId="0" applyBorder="1" applyAlignment="1" applyProtection="1">
      <alignment wrapText="1"/>
      <protection locked="0"/>
    </xf>
    <xf numFmtId="0" fontId="58" fillId="35" borderId="145" xfId="0" applyFont="1" applyFill="1" applyBorder="1" applyAlignment="1" applyProtection="1">
      <alignment wrapText="1"/>
      <protection locked="0"/>
    </xf>
    <xf numFmtId="0" fontId="0" fillId="0" borderId="146" xfId="0" applyBorder="1" applyAlignment="1" applyProtection="1">
      <alignment wrapText="1"/>
      <protection locked="0"/>
    </xf>
    <xf numFmtId="0" fontId="0" fillId="0" borderId="147" xfId="0" applyBorder="1" applyAlignment="1" applyProtection="1">
      <alignment wrapText="1"/>
      <protection locked="0"/>
    </xf>
    <xf numFmtId="0" fontId="60" fillId="35" borderId="68" xfId="0" applyFont="1" applyFill="1" applyBorder="1" applyAlignment="1" applyProtection="1">
      <alignment vertical="top" wrapText="1"/>
      <protection locked="0"/>
    </xf>
    <xf numFmtId="0" fontId="59" fillId="35" borderId="148" xfId="0" applyFont="1" applyFill="1" applyBorder="1" applyAlignment="1" applyProtection="1">
      <alignment vertical="top" wrapText="1"/>
      <protection locked="0"/>
    </xf>
    <xf numFmtId="0" fontId="59" fillId="35" borderId="137" xfId="0" applyFont="1" applyFill="1" applyBorder="1" applyAlignment="1" applyProtection="1">
      <alignment vertical="top" wrapText="1"/>
      <protection locked="0"/>
    </xf>
    <xf numFmtId="0" fontId="60" fillId="35" borderId="75" xfId="0" applyFont="1" applyFill="1" applyBorder="1" applyAlignment="1" applyProtection="1">
      <alignment vertical="top" wrapText="1"/>
      <protection locked="0"/>
    </xf>
    <xf numFmtId="0" fontId="59" fillId="35" borderId="65" xfId="0" applyFont="1" applyFill="1" applyBorder="1" applyAlignment="1" applyProtection="1">
      <alignment vertical="top" wrapText="1"/>
      <protection locked="0"/>
    </xf>
    <xf numFmtId="0" fontId="59" fillId="35" borderId="67" xfId="0" applyFont="1" applyFill="1" applyBorder="1" applyAlignment="1" applyProtection="1">
      <alignment vertical="top" wrapText="1"/>
      <protection locked="0"/>
    </xf>
    <xf numFmtId="0" fontId="60" fillId="35" borderId="65" xfId="0" applyFont="1" applyFill="1" applyBorder="1" applyAlignment="1" applyProtection="1">
      <alignment vertical="top" wrapText="1"/>
      <protection locked="0"/>
    </xf>
    <xf numFmtId="0" fontId="60" fillId="35" borderId="149" xfId="0" applyFont="1" applyFill="1" applyBorder="1" applyAlignment="1" applyProtection="1">
      <alignment vertical="top" wrapText="1"/>
      <protection locked="0"/>
    </xf>
    <xf numFmtId="0" fontId="60" fillId="35" borderId="148" xfId="0" applyFont="1" applyFill="1" applyBorder="1" applyAlignment="1" applyProtection="1">
      <alignment vertical="top" wrapText="1"/>
      <protection locked="0"/>
    </xf>
    <xf numFmtId="0" fontId="60" fillId="35" borderId="55" xfId="0" applyFont="1" applyFill="1" applyBorder="1" applyAlignment="1" applyProtection="1">
      <alignment vertical="top" wrapText="1"/>
      <protection locked="0"/>
    </xf>
    <xf numFmtId="0" fontId="14" fillId="0" borderId="51" xfId="0" applyFont="1" applyFill="1" applyBorder="1" applyAlignment="1" applyProtection="1">
      <alignment horizontal="left" vertical="center" wrapText="1"/>
      <protection/>
    </xf>
    <xf numFmtId="0" fontId="14" fillId="0" borderId="109" xfId="0" applyFont="1" applyFill="1" applyBorder="1" applyAlignment="1" applyProtection="1">
      <alignment horizontal="left" vertical="center" wrapText="1"/>
      <protection/>
    </xf>
    <xf numFmtId="0" fontId="14" fillId="0" borderId="85" xfId="0" applyFont="1" applyFill="1" applyBorder="1" applyAlignment="1" applyProtection="1">
      <alignment horizontal="left" vertical="center" wrapText="1"/>
      <protection/>
    </xf>
    <xf numFmtId="0" fontId="60" fillId="35" borderId="83" xfId="0" applyFont="1" applyFill="1" applyBorder="1" applyAlignment="1" applyProtection="1">
      <alignment vertical="top" wrapText="1"/>
      <protection locked="0"/>
    </xf>
    <xf numFmtId="0" fontId="14" fillId="0" borderId="109" xfId="0" applyFont="1" applyFill="1" applyBorder="1" applyAlignment="1">
      <alignment horizontal="left" vertical="center" wrapText="1"/>
    </xf>
    <xf numFmtId="0" fontId="14" fillId="0" borderId="85" xfId="0" applyFont="1" applyFill="1" applyBorder="1" applyAlignment="1">
      <alignment horizontal="left" vertical="center" wrapText="1"/>
    </xf>
    <xf numFmtId="164" fontId="39" fillId="33" borderId="0" xfId="0" applyNumberFormat="1" applyFont="1" applyFill="1" applyBorder="1" applyAlignment="1" applyProtection="1">
      <alignment horizontal="left" vertical="center" wrapText="1"/>
      <protection/>
    </xf>
    <xf numFmtId="0" fontId="39" fillId="0" borderId="0" xfId="0" applyFont="1" applyBorder="1" applyAlignment="1">
      <alignment horizontal="left" vertical="center" wrapText="1"/>
    </xf>
    <xf numFmtId="0" fontId="59" fillId="35" borderId="56" xfId="0" applyFont="1" applyFill="1" applyBorder="1" applyAlignment="1" applyProtection="1">
      <alignment vertical="top" wrapText="1"/>
      <protection locked="0"/>
    </xf>
    <xf numFmtId="0" fontId="0" fillId="0" borderId="37" xfId="0" applyBorder="1" applyAlignment="1" applyProtection="1">
      <alignment vertical="top" wrapText="1"/>
      <protection locked="0"/>
    </xf>
    <xf numFmtId="0" fontId="59" fillId="35"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7" fillId="33" borderId="29" xfId="0" applyFont="1" applyFill="1" applyBorder="1" applyAlignment="1" applyProtection="1">
      <alignment horizontal="center" wrapText="1"/>
      <protection/>
    </xf>
    <xf numFmtId="0" fontId="0" fillId="0" borderId="29" xfId="0" applyBorder="1" applyAlignment="1" applyProtection="1">
      <alignment horizontal="center"/>
      <protection/>
    </xf>
    <xf numFmtId="0" fontId="0" fillId="0" borderId="150" xfId="0" applyBorder="1" applyAlignment="1" applyProtection="1">
      <alignment horizontal="center"/>
      <protection/>
    </xf>
    <xf numFmtId="0" fontId="62" fillId="35" borderId="75" xfId="0" applyFont="1" applyFill="1" applyBorder="1" applyAlignment="1" applyProtection="1">
      <alignment vertical="top" wrapText="1"/>
      <protection locked="0"/>
    </xf>
    <xf numFmtId="0" fontId="62" fillId="35" borderId="65" xfId="0" applyFont="1" applyFill="1" applyBorder="1" applyAlignment="1" applyProtection="1">
      <alignment vertical="top" wrapText="1"/>
      <protection locked="0"/>
    </xf>
    <xf numFmtId="0" fontId="62" fillId="35" borderId="149" xfId="0" applyFont="1" applyFill="1" applyBorder="1" applyAlignment="1" applyProtection="1">
      <alignment vertical="top" wrapText="1"/>
      <protection locked="0"/>
    </xf>
    <xf numFmtId="0" fontId="60" fillId="35" borderId="67" xfId="0" applyFont="1" applyFill="1" applyBorder="1" applyAlignment="1" applyProtection="1">
      <alignment vertical="top" wrapText="1"/>
      <protection locked="0"/>
    </xf>
    <xf numFmtId="0" fontId="0" fillId="0" borderId="151" xfId="0" applyFont="1" applyBorder="1" applyAlignment="1" applyProtection="1">
      <alignment/>
      <protection/>
    </xf>
    <xf numFmtId="0" fontId="0" fillId="0" borderId="0" xfId="0" applyFont="1" applyAlignment="1" applyProtection="1">
      <alignment/>
      <protection/>
    </xf>
    <xf numFmtId="166"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20" fillId="33" borderId="0" xfId="0" applyFont="1" applyFill="1" applyBorder="1" applyAlignment="1" applyProtection="1">
      <alignment horizontal="right" vertical="center" wrapText="1"/>
      <protection/>
    </xf>
    <xf numFmtId="0" fontId="0" fillId="33" borderId="0" xfId="0" applyFill="1" applyBorder="1" applyAlignment="1" applyProtection="1">
      <alignment wrapText="1"/>
      <protection/>
    </xf>
    <xf numFmtId="0" fontId="22" fillId="33" borderId="54" xfId="0" applyFont="1" applyFill="1" applyBorder="1" applyAlignment="1" applyProtection="1">
      <alignment horizontal="right" vertical="center" wrapText="1"/>
      <protection/>
    </xf>
    <xf numFmtId="0" fontId="0" fillId="0" borderId="54" xfId="0" applyBorder="1" applyAlignment="1" applyProtection="1">
      <alignment/>
      <protection/>
    </xf>
    <xf numFmtId="0" fontId="7" fillId="33" borderId="57"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0" fillId="33" borderId="0" xfId="0" applyFont="1" applyFill="1" applyBorder="1" applyAlignment="1" applyProtection="1">
      <alignment horizontal="center" wrapText="1"/>
      <protection/>
    </xf>
    <xf numFmtId="0" fontId="0" fillId="33" borderId="72" xfId="0" applyFont="1" applyFill="1" applyBorder="1" applyAlignment="1" applyProtection="1">
      <alignment horizontal="center" wrapText="1"/>
      <protection/>
    </xf>
    <xf numFmtId="0" fontId="39" fillId="33" borderId="58" xfId="0" applyFont="1" applyFill="1" applyBorder="1" applyAlignment="1" applyProtection="1">
      <alignment horizontal="center" wrapText="1"/>
      <protection/>
    </xf>
    <xf numFmtId="0" fontId="39" fillId="33" borderId="21" xfId="0" applyFont="1" applyFill="1" applyBorder="1" applyAlignment="1" applyProtection="1">
      <alignment horizontal="center" wrapText="1"/>
      <protection/>
    </xf>
    <xf numFmtId="0" fontId="39" fillId="33" borderId="61" xfId="0" applyFont="1" applyFill="1" applyBorder="1" applyAlignment="1" applyProtection="1">
      <alignment horizontal="center" wrapText="1"/>
      <protection/>
    </xf>
    <xf numFmtId="0" fontId="7" fillId="33" borderId="58" xfId="0" applyFont="1" applyFill="1" applyBorder="1" applyAlignment="1" applyProtection="1">
      <alignment horizontal="center" wrapText="1"/>
      <protection/>
    </xf>
    <xf numFmtId="0" fontId="7" fillId="33" borderId="21" xfId="0" applyFont="1" applyFill="1" applyBorder="1" applyAlignment="1" applyProtection="1">
      <alignment horizontal="center" wrapText="1"/>
      <protection/>
    </xf>
    <xf numFmtId="0" fontId="7" fillId="33" borderId="61" xfId="0" applyFont="1" applyFill="1" applyBorder="1" applyAlignment="1" applyProtection="1">
      <alignment horizontal="center" wrapText="1"/>
      <protection/>
    </xf>
    <xf numFmtId="0" fontId="53" fillId="40" borderId="0" xfId="0" applyFont="1" applyFill="1" applyBorder="1" applyAlignment="1" applyProtection="1">
      <alignment horizontal="left" vertical="center" wrapText="1"/>
      <protection/>
    </xf>
    <xf numFmtId="0" fontId="53" fillId="40" borderId="54" xfId="0" applyFont="1" applyFill="1" applyBorder="1" applyAlignment="1" applyProtection="1">
      <alignment horizontal="left" vertical="center" wrapText="1"/>
      <protection/>
    </xf>
    <xf numFmtId="0" fontId="53" fillId="35" borderId="0" xfId="0" applyFont="1" applyFill="1" applyBorder="1" applyAlignment="1" applyProtection="1">
      <alignment vertical="center" wrapText="1"/>
      <protection/>
    </xf>
    <xf numFmtId="0" fontId="0" fillId="0" borderId="0" xfId="0" applyAlignment="1" applyProtection="1">
      <alignment/>
      <protection/>
    </xf>
    <xf numFmtId="0" fontId="0" fillId="0" borderId="0" xfId="0" applyFont="1" applyAlignment="1">
      <alignment/>
    </xf>
    <xf numFmtId="0" fontId="39" fillId="33" borderId="58" xfId="0" applyFont="1" applyFill="1" applyBorder="1" applyAlignment="1" applyProtection="1">
      <alignment horizontal="center" wrapText="1"/>
      <protection/>
    </xf>
    <xf numFmtId="0" fontId="7" fillId="33" borderId="57" xfId="0" applyFont="1" applyFill="1" applyBorder="1" applyAlignment="1" applyProtection="1">
      <alignment horizontal="center" wrapText="1"/>
      <protection/>
    </xf>
    <xf numFmtId="0" fontId="7" fillId="33" borderId="72" xfId="0" applyFont="1" applyFill="1" applyBorder="1" applyAlignment="1" applyProtection="1">
      <alignment horizontal="center" wrapText="1"/>
      <protection/>
    </xf>
    <xf numFmtId="0" fontId="18" fillId="34" borderId="0" xfId="0" applyFont="1" applyFill="1" applyBorder="1" applyAlignment="1" applyProtection="1">
      <alignment horizontal="center" vertical="center" wrapText="1"/>
      <protection/>
    </xf>
    <xf numFmtId="0" fontId="0" fillId="34" borderId="0" xfId="0" applyFill="1" applyBorder="1" applyAlignment="1" applyProtection="1">
      <alignment vertical="center" wrapText="1"/>
      <protection/>
    </xf>
    <xf numFmtId="0" fontId="7" fillId="34"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14" fillId="34" borderId="0" xfId="0" applyFont="1" applyFill="1" applyBorder="1" applyAlignment="1" applyProtection="1">
      <alignment horizontal="center" vertical="center"/>
      <protection/>
    </xf>
    <xf numFmtId="0" fontId="14" fillId="42" borderId="108" xfId="0" applyFont="1" applyFill="1" applyBorder="1" applyAlignment="1" applyProtection="1">
      <alignment horizontal="center" vertical="center" wrapText="1"/>
      <protection/>
    </xf>
    <xf numFmtId="0" fontId="0" fillId="0" borderId="0" xfId="0" applyAlignment="1">
      <alignment wrapText="1"/>
    </xf>
    <xf numFmtId="0" fontId="0" fillId="0" borderId="55" xfId="0" applyBorder="1" applyAlignment="1">
      <alignment wrapText="1"/>
    </xf>
    <xf numFmtId="0" fontId="18" fillId="33" borderId="0" xfId="0" applyFont="1" applyFill="1" applyBorder="1" applyAlignment="1">
      <alignment wrapText="1"/>
    </xf>
    <xf numFmtId="0" fontId="18" fillId="0" borderId="0" xfId="0" applyFont="1" applyAlignment="1">
      <alignment wrapText="1"/>
    </xf>
    <xf numFmtId="0" fontId="65" fillId="33" borderId="0" xfId="0" applyFont="1" applyFill="1" applyBorder="1" applyAlignment="1" applyProtection="1">
      <alignment horizontal="center" vertical="center" wrapText="1"/>
      <protection/>
    </xf>
    <xf numFmtId="0" fontId="0" fillId="0" borderId="77" xfId="0" applyBorder="1" applyAlignment="1" applyProtection="1">
      <alignment horizontal="center" vertical="center" wrapText="1"/>
      <protection/>
    </xf>
    <xf numFmtId="0" fontId="24" fillId="34" borderId="152" xfId="0" applyFont="1" applyFill="1" applyBorder="1" applyAlignment="1" applyProtection="1">
      <alignment vertical="center" wrapText="1"/>
      <protection/>
    </xf>
    <xf numFmtId="0" fontId="0" fillId="0" borderId="152" xfId="0" applyBorder="1" applyAlignment="1">
      <alignment vertical="center" wrapText="1"/>
    </xf>
    <xf numFmtId="0" fontId="18" fillId="33" borderId="0" xfId="0" applyFont="1" applyFill="1" applyBorder="1" applyAlignment="1">
      <alignment vertical="top" wrapText="1"/>
    </xf>
    <xf numFmtId="0" fontId="18"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8" fillId="33" borderId="0" xfId="0" applyFont="1" applyFill="1" applyBorder="1" applyAlignment="1">
      <alignment vertical="center" wrapText="1"/>
    </xf>
    <xf numFmtId="0" fontId="18" fillId="0" borderId="0" xfId="0" applyFont="1" applyBorder="1" applyAlignment="1">
      <alignment vertical="center" wrapText="1"/>
    </xf>
    <xf numFmtId="0" fontId="24" fillId="34" borderId="152" xfId="0" applyFont="1" applyFill="1" applyBorder="1" applyAlignment="1" applyProtection="1">
      <alignment vertical="center" wrapText="1"/>
      <protection/>
    </xf>
    <xf numFmtId="0" fontId="0" fillId="34" borderId="152" xfId="0" applyFill="1" applyBorder="1" applyAlignment="1">
      <alignment vertical="center" wrapText="1"/>
    </xf>
    <xf numFmtId="0" fontId="65" fillId="33" borderId="0" xfId="0" applyFont="1" applyFill="1"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24" fillId="34" borderId="152" xfId="0" applyFont="1" applyFill="1" applyBorder="1" applyAlignment="1" applyProtection="1">
      <alignment wrapText="1"/>
      <protection hidden="1"/>
    </xf>
    <xf numFmtId="0" fontId="0" fillId="0" borderId="152" xfId="0" applyBorder="1" applyAlignment="1" applyProtection="1">
      <alignment wrapText="1"/>
      <protection hidden="1"/>
    </xf>
    <xf numFmtId="0" fontId="94" fillId="34" borderId="0" xfId="0" applyFont="1" applyFill="1" applyBorder="1" applyAlignment="1" applyProtection="1">
      <alignment vertical="top" wrapText="1"/>
      <protection hidden="1"/>
    </xf>
    <xf numFmtId="0" fontId="50" fillId="34" borderId="0" xfId="0" applyFont="1" applyFill="1" applyBorder="1" applyAlignment="1" applyProtection="1">
      <alignment vertical="top"/>
      <protection hidden="1"/>
    </xf>
    <xf numFmtId="0" fontId="94" fillId="33" borderId="0" xfId="0" applyFont="1" applyFill="1" applyBorder="1" applyAlignment="1" applyProtection="1">
      <alignment vertical="center" wrapText="1"/>
      <protection hidden="1"/>
    </xf>
    <xf numFmtId="0" fontId="94" fillId="33" borderId="0" xfId="0" applyFont="1" applyFill="1" applyBorder="1" applyAlignment="1" applyProtection="1">
      <alignment horizontal="left" vertical="center" wrapText="1"/>
      <protection hidden="1"/>
    </xf>
    <xf numFmtId="0" fontId="101" fillId="33" borderId="0" xfId="0" applyFont="1" applyFill="1" applyBorder="1" applyAlignment="1" applyProtection="1">
      <alignment horizontal="left" vertical="center"/>
      <protection hidden="1"/>
    </xf>
    <xf numFmtId="0" fontId="94" fillId="33" borderId="0" xfId="0" applyFont="1" applyFill="1" applyBorder="1" applyAlignment="1" applyProtection="1">
      <alignment vertical="center" wrapText="1"/>
      <protection hidden="1"/>
    </xf>
    <xf numFmtId="0" fontId="50" fillId="0" borderId="0" xfId="0" applyFont="1" applyBorder="1" applyAlignment="1" applyProtection="1">
      <alignment vertical="center" wrapText="1"/>
      <protection hidden="1"/>
    </xf>
    <xf numFmtId="0" fontId="24" fillId="34" borderId="14" xfId="0" applyFont="1" applyFill="1" applyBorder="1" applyAlignment="1" applyProtection="1">
      <alignment wrapText="1"/>
      <protection hidden="1"/>
    </xf>
    <xf numFmtId="0" fontId="0" fillId="34" borderId="14" xfId="0" applyFill="1" applyBorder="1" applyAlignment="1" applyProtection="1">
      <alignment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ont>
        <b/>
        <i val="0"/>
        <color indexed="16"/>
      </font>
    </dxf>
    <dxf>
      <font>
        <b/>
        <i val="0"/>
        <color auto="1"/>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color indexed="16"/>
      </font>
    </dxf>
    <dxf>
      <font>
        <b/>
        <i val="0"/>
        <color indexed="10"/>
      </font>
    </dxf>
    <dxf>
      <fill>
        <patternFill>
          <bgColor rgb="FF66FF66"/>
        </patternFill>
      </fill>
    </dxf>
    <dxf>
      <fill>
        <patternFill>
          <bgColor rgb="FFFFFF00"/>
        </patternFill>
      </fill>
    </dxf>
    <dxf>
      <fill>
        <patternFill>
          <bgColor rgb="FFFFFF00"/>
        </patternFill>
      </fill>
      <border>
        <left style="thin"/>
        <right style="thin"/>
        <top style="thin"/>
        <bottom style="thin"/>
      </border>
    </dxf>
    <dxf>
      <fill>
        <patternFill>
          <bgColor rgb="FFFFFF00"/>
        </patternFill>
      </fill>
      <border>
        <left/>
        <right/>
        <top/>
        <bottom/>
      </border>
    </dxf>
    <dxf>
      <fill>
        <patternFill>
          <bgColor rgb="FFFFFF00"/>
        </patternFill>
      </fill>
      <border>
        <left/>
        <right/>
        <top/>
        <bottom/>
      </border>
    </dxf>
    <dxf>
      <fill>
        <patternFill>
          <bgColor rgb="FFFFFF00"/>
        </patternFill>
      </fill>
    </dxf>
    <dxf>
      <font>
        <color indexed="23"/>
      </font>
    </dxf>
    <dxf>
      <font>
        <color rgb="FF808080"/>
      </font>
      <border/>
    </dxf>
    <dxf>
      <fill>
        <patternFill>
          <bgColor rgb="FFFFFF00"/>
        </patternFill>
      </fill>
      <border>
        <left style="thin">
          <color rgb="FF000000"/>
        </left>
        <right style="thin">
          <color rgb="FF000000"/>
        </right>
        <top style="thin"/>
        <bottom style="thin">
          <color rgb="FF000000"/>
        </bottom>
      </border>
    </dxf>
    <dxf>
      <font>
        <b/>
        <i val="0"/>
        <color rgb="FFFF0000"/>
      </font>
      <border/>
    </dxf>
    <dxf>
      <font>
        <b/>
        <i val="0"/>
        <color rgb="FF80000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157</xdr:row>
      <xdr:rowOff>47625</xdr:rowOff>
    </xdr:from>
    <xdr:to>
      <xdr:col>19</xdr:col>
      <xdr:colOff>2009775</xdr:colOff>
      <xdr:row>170</xdr:row>
      <xdr:rowOff>133350</xdr:rowOff>
    </xdr:to>
    <xdr:sp>
      <xdr:nvSpPr>
        <xdr:cNvPr id="1" name="Text Box 90"/>
        <xdr:cNvSpPr txBox="1">
          <a:spLocks noChangeArrowheads="1"/>
        </xdr:cNvSpPr>
      </xdr:nvSpPr>
      <xdr:spPr>
        <a:xfrm>
          <a:off x="7477125" y="24307800"/>
          <a:ext cx="4362450" cy="3009900"/>
        </a:xfrm>
        <a:prstGeom prst="rect">
          <a:avLst/>
        </a:prstGeom>
        <a:solidFill>
          <a:srgbClr val="FF99CC"/>
        </a:solidFill>
        <a:ln w="9525" cmpd="sng">
          <a:solidFill>
            <a:srgbClr val="000000"/>
          </a:solidFill>
          <a:headEnd type="none"/>
          <a:tailEnd type="none"/>
        </a:ln>
      </xdr:spPr>
      <xdr:txBody>
        <a:bodyPr vertOverflow="clip" wrap="square" lIns="182880" tIns="137160" rIns="182880" bIns="137160"/>
        <a:p>
          <a:pPr algn="l">
            <a:defRPr/>
          </a:pPr>
          <a:r>
            <a:rPr lang="en-US" cap="none" sz="1100" b="1" i="0" u="none" baseline="0">
              <a:solidFill>
                <a:srgbClr val="000000"/>
              </a:solidFill>
              <a:latin typeface="Arial"/>
              <a:ea typeface="Arial"/>
              <a:cs typeface="Arial"/>
            </a:rPr>
            <a:t>The 1st year for which the </a:t>
          </a:r>
          <a:r>
            <a:rPr lang="en-US" cap="none" sz="1100" b="1" i="0" u="sng" baseline="0">
              <a:solidFill>
                <a:srgbClr val="000000"/>
              </a:solidFill>
              <a:latin typeface="Arial"/>
              <a:ea typeface="Arial"/>
              <a:cs typeface="Arial"/>
            </a:rPr>
            <a:t>budgeted</a:t>
          </a:r>
          <a:r>
            <a:rPr lang="en-US" cap="none" sz="1100" b="1" i="0" u="none" baseline="0">
              <a:solidFill>
                <a:srgbClr val="000000"/>
              </a:solidFill>
              <a:latin typeface="Arial"/>
              <a:ea typeface="Arial"/>
              <a:cs typeface="Arial"/>
            </a:rPr>
            <a:t> rate subsidy revenue will be available for use on this worksheet will be 2 years after starting to use this rate calculation model, meaning the 3rd year of use.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For the 1st and 2nd year</a:t>
          </a:r>
          <a:r>
            <a:rPr lang="en-US" cap="none" sz="1100" b="1" i="0" u="none" baseline="0">
              <a:solidFill>
                <a:srgbClr val="000000"/>
              </a:solidFill>
              <a:latin typeface="Arial"/>
              <a:ea typeface="Arial"/>
              <a:cs typeface="Arial"/>
            </a:rPr>
            <a:t> of use</a:t>
          </a:r>
          <a:r>
            <a:rPr lang="en-US" cap="none" sz="1100" b="1" i="0" u="none" baseline="0">
              <a:solidFill>
                <a:srgbClr val="000000"/>
              </a:solidFill>
              <a:latin typeface="Arial"/>
              <a:ea typeface="Arial"/>
              <a:cs typeface="Arial"/>
            </a:rPr>
            <a:t>, enter NA in the GREEN cell to the left.  The worksheet will then show $0 rate base adjustment.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 the 3rd year</a:t>
          </a:r>
          <a:r>
            <a:rPr lang="en-US" cap="none" sz="1100" b="1" i="0" u="none" baseline="0">
              <a:solidFill>
                <a:srgbClr val="000000"/>
              </a:solidFill>
              <a:latin typeface="Arial"/>
              <a:ea typeface="Arial"/>
              <a:cs typeface="Arial"/>
            </a:rPr>
            <a:t> of use</a:t>
          </a:r>
          <a:r>
            <a:rPr lang="en-US" cap="none" sz="1100" b="1" i="0" u="none" baseline="0">
              <a:solidFill>
                <a:srgbClr val="000000"/>
              </a:solidFill>
              <a:latin typeface="Arial"/>
              <a:ea typeface="Arial"/>
              <a:cs typeface="Arial"/>
            </a:rPr>
            <a:t>, enter the </a:t>
          </a:r>
          <a:r>
            <a:rPr lang="en-US" cap="none" sz="1100" b="1" i="0" u="sng" baseline="0">
              <a:solidFill>
                <a:srgbClr val="000000"/>
              </a:solidFill>
              <a:latin typeface="Arial"/>
              <a:ea typeface="Arial"/>
              <a:cs typeface="Arial"/>
            </a:rPr>
            <a:t>budgeted</a:t>
          </a:r>
          <a:r>
            <a:rPr lang="en-US" cap="none" sz="1100" b="1" i="0" u="none" baseline="0">
              <a:solidFill>
                <a:srgbClr val="000000"/>
              </a:solidFill>
              <a:latin typeface="Arial"/>
              <a:ea typeface="Arial"/>
              <a:cs typeface="Arial"/>
            </a:rPr>
            <a:t> operating rate subsidy revenue from 2 years before.  It can be found on the </a:t>
          </a:r>
          <a:r>
            <a:rPr lang="en-US" cap="none" sz="1100" b="1" i="0" u="sng" baseline="0">
              <a:solidFill>
                <a:srgbClr val="000000"/>
              </a:solidFill>
              <a:latin typeface="Arial"/>
              <a:ea typeface="Arial"/>
              <a:cs typeface="Arial"/>
            </a:rPr>
            <a:t>Budgeted Rate Base worksheet</a:t>
          </a:r>
          <a:r>
            <a:rPr lang="en-US" cap="none" sz="1100" b="1" i="0" u="none" baseline="0">
              <a:solidFill>
                <a:srgbClr val="000000"/>
              </a:solidFill>
              <a:latin typeface="Arial"/>
              <a:ea typeface="Arial"/>
              <a:cs typeface="Arial"/>
            </a:rPr>
            <a:t> for that year.  If you</a:t>
          </a:r>
          <a:r>
            <a:rPr lang="en-US" cap="none" sz="1100" b="1" i="0" u="none" baseline="0">
              <a:solidFill>
                <a:srgbClr val="000000"/>
              </a:solidFill>
              <a:latin typeface="Arial"/>
              <a:ea typeface="Arial"/>
              <a:cs typeface="Arial"/>
            </a:rPr>
            <a:t> have already adjusted Actual Prior year differences in subsequent years and do not wish to make this correction, enter NA and the worksheet will show $0 rate base adjustment.  Typically a rate base adjustment is NOT needed.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171</xdr:row>
      <xdr:rowOff>9525</xdr:rowOff>
    </xdr:from>
    <xdr:to>
      <xdr:col>15</xdr:col>
      <xdr:colOff>485775</xdr:colOff>
      <xdr:row>186</xdr:row>
      <xdr:rowOff>133350</xdr:rowOff>
    </xdr:to>
    <xdr:sp>
      <xdr:nvSpPr>
        <xdr:cNvPr id="1" name="Text Box 262"/>
        <xdr:cNvSpPr txBox="1">
          <a:spLocks noChangeArrowheads="1"/>
        </xdr:cNvSpPr>
      </xdr:nvSpPr>
      <xdr:spPr>
        <a:xfrm>
          <a:off x="5362575" y="25650825"/>
          <a:ext cx="3705225" cy="3448050"/>
        </a:xfrm>
        <a:prstGeom prst="rect">
          <a:avLst/>
        </a:prstGeom>
        <a:solidFill>
          <a:srgbClr val="66FF66"/>
        </a:solidFill>
        <a:ln w="9525" cmpd="sng">
          <a:solidFill>
            <a:srgbClr val="000000"/>
          </a:solidFill>
          <a:headEnd type="none"/>
          <a:tailEnd type="none"/>
        </a:ln>
      </xdr:spPr>
      <xdr:txBody>
        <a:bodyPr vertOverflow="clip" wrap="square" lIns="182880" tIns="137160" rIns="182880" bIns="137160"/>
        <a:p>
          <a:pPr algn="l">
            <a:defRPr/>
          </a:pPr>
          <a:r>
            <a:rPr lang="en-US" cap="none" sz="1200" b="1" i="0" u="none" baseline="30000">
              <a:solidFill>
                <a:srgbClr val="000000"/>
              </a:solidFill>
              <a:latin typeface="Arial"/>
              <a:ea typeface="Arial"/>
              <a:cs typeface="Arial"/>
            </a:rPr>
            <a:t>1 </a:t>
          </a:r>
          <a:r>
            <a:rPr lang="en-US" cap="none" sz="1200" b="1" i="0" u="none" baseline="0">
              <a:solidFill>
                <a:srgbClr val="000000"/>
              </a:solidFill>
              <a:latin typeface="Arial"/>
              <a:ea typeface="Arial"/>
              <a:cs typeface="Arial"/>
            </a:rPr>
            <a:t>Rate</a:t>
          </a:r>
          <a:r>
            <a:rPr lang="en-US" cap="none" sz="1200" b="1" i="0" u="none" baseline="0">
              <a:solidFill>
                <a:srgbClr val="000000"/>
              </a:solidFill>
              <a:latin typeface="Arial"/>
              <a:ea typeface="Arial"/>
              <a:cs typeface="Arial"/>
            </a:rPr>
            <a:t> Base Adjustment </a:t>
          </a:r>
          <a:r>
            <a:rPr lang="en-US" cap="none" sz="1200" b="1" i="0" u="none" baseline="0">
              <a:solidFill>
                <a:srgbClr val="000000"/>
              </a:solidFill>
              <a:latin typeface="Arial"/>
              <a:ea typeface="Arial"/>
              <a:cs typeface="Arial"/>
            </a:rPr>
            <a:t>Cell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 necessary and justified, this cell is where you could optionally</a:t>
          </a:r>
          <a:r>
            <a:rPr lang="en-US" cap="none" sz="1200" b="1" i="0" u="none" baseline="0">
              <a:solidFill>
                <a:srgbClr val="000000"/>
              </a:solidFill>
              <a:latin typeface="Arial"/>
              <a:ea typeface="Arial"/>
              <a:cs typeface="Arial"/>
            </a:rPr>
            <a:t> adjust proposed service rates up or down to adjust for program revenue (or unapproved profit), or losses from the </a:t>
          </a:r>
          <a:r>
            <a:rPr lang="en-US" cap="none" sz="1200" b="1" i="0" u="sng" baseline="0">
              <a:solidFill>
                <a:srgbClr val="000000"/>
              </a:solidFill>
              <a:latin typeface="Arial"/>
              <a:ea typeface="Arial"/>
              <a:cs typeface="Arial"/>
            </a:rPr>
            <a:t>Actual</a:t>
          </a:r>
          <a:r>
            <a:rPr lang="en-US" cap="none" sz="1200" b="1" i="0" u="none" baseline="0">
              <a:solidFill>
                <a:srgbClr val="000000"/>
              </a:solidFill>
              <a:latin typeface="Arial"/>
              <a:ea typeface="Arial"/>
              <a:cs typeface="Arial"/>
            </a:rPr>
            <a:t> period shown at the bottom of the Comprehensive</a:t>
          </a:r>
          <a:r>
            <a:rPr lang="en-US" cap="none" sz="1200" b="1" i="0" u="none" baseline="0">
              <a:solidFill>
                <a:srgbClr val="000000"/>
              </a:solidFill>
              <a:latin typeface="Arial"/>
              <a:ea typeface="Arial"/>
              <a:cs typeface="Arial"/>
            </a:rPr>
            <a:t> Budget Sheet.</a:t>
          </a:r>
          <a:r>
            <a:rPr lang="en-US" cap="none" sz="1200" b="1" i="0" u="none" baseline="0">
              <a:solidFill>
                <a:srgbClr val="000000"/>
              </a:solidFill>
              <a:latin typeface="Arial"/>
              <a:ea typeface="Arial"/>
              <a:cs typeface="Arial"/>
            </a:rPr>
            <a:t> This is not the</a:t>
          </a:r>
          <a:r>
            <a:rPr lang="en-US" cap="none" sz="1200" b="1" i="0" u="none" baseline="0">
              <a:solidFill>
                <a:srgbClr val="000000"/>
              </a:solidFill>
              <a:latin typeface="Arial"/>
              <a:ea typeface="Arial"/>
              <a:cs typeface="Arial"/>
            </a:rPr>
            <a:t> only acceptable location or method of reconciling for excess gains or losses.  If allowed by the respective funding sources, excess gains may also be adjusted by providing system subsidy revenue or by the purchase of additional trips in a period following the Actual period.  If such an adjustment has been made, provide notation in the respective exlanation area of the Comprehensive Budget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P68"/>
  <sheetViews>
    <sheetView showGridLines="0" tabSelected="1" zoomScalePageLayoutView="0" workbookViewId="0" topLeftCell="B1">
      <selection activeCell="E19" sqref="E19"/>
    </sheetView>
  </sheetViews>
  <sheetFormatPr defaultColWidth="9.00390625" defaultRowHeight="12.75"/>
  <cols>
    <col min="1" max="1" width="3.00390625" style="0" hidden="1" customWidth="1"/>
    <col min="2" max="2" width="2.75390625" style="0" customWidth="1"/>
    <col min="3" max="3" width="3.625" style="0" customWidth="1"/>
    <col min="4" max="4" width="3.75390625" style="0" customWidth="1"/>
    <col min="5" max="5" width="5.125" style="0" customWidth="1"/>
    <col min="6" max="6" width="12.625" style="0" customWidth="1"/>
    <col min="7" max="7" width="10.50390625" style="0" customWidth="1"/>
    <col min="8" max="8" width="5.125" style="0" customWidth="1"/>
    <col min="9" max="10" width="11.00390625" style="0" customWidth="1"/>
    <col min="11" max="11" width="2.625" style="0" customWidth="1"/>
    <col min="12" max="12" width="3.375" style="0" customWidth="1"/>
    <col min="13" max="16" width="9.00390625" style="0" hidden="1" customWidth="1"/>
  </cols>
  <sheetData>
    <row r="1" ht="13.5" thickBot="1">
      <c r="O1">
        <v>1</v>
      </c>
    </row>
    <row r="2" spans="2:16" ht="12.75">
      <c r="B2" s="16"/>
      <c r="C2" s="29"/>
      <c r="D2" s="30"/>
      <c r="E2" s="30"/>
      <c r="F2" s="30"/>
      <c r="G2" s="30"/>
      <c r="H2" s="30"/>
      <c r="I2" s="30"/>
      <c r="J2" s="30"/>
      <c r="K2" s="30"/>
      <c r="L2" s="31"/>
      <c r="O2">
        <v>2</v>
      </c>
      <c r="P2" s="540" t="s">
        <v>219</v>
      </c>
    </row>
    <row r="3" spans="2:16" s="1" customFormat="1" ht="16.5" customHeight="1">
      <c r="B3" s="17"/>
      <c r="C3" s="32"/>
      <c r="D3" s="24" t="s">
        <v>77</v>
      </c>
      <c r="E3" s="25"/>
      <c r="F3" s="26"/>
      <c r="G3" s="25"/>
      <c r="H3" s="25"/>
      <c r="I3" s="25"/>
      <c r="J3" s="25" t="s">
        <v>416</v>
      </c>
      <c r="K3" s="25"/>
      <c r="L3" s="33"/>
      <c r="O3" s="1">
        <v>3</v>
      </c>
      <c r="P3" s="541" t="s">
        <v>220</v>
      </c>
    </row>
    <row r="4" spans="2:16" s="1" customFormat="1" ht="12" customHeight="1">
      <c r="B4" s="17"/>
      <c r="C4" s="32"/>
      <c r="D4" s="27"/>
      <c r="E4" s="27"/>
      <c r="F4" s="26"/>
      <c r="G4" s="25"/>
      <c r="H4" s="25"/>
      <c r="I4" s="25"/>
      <c r="J4" s="25"/>
      <c r="K4" s="25"/>
      <c r="L4" s="33"/>
      <c r="O4">
        <v>4</v>
      </c>
      <c r="P4" s="541" t="s">
        <v>221</v>
      </c>
    </row>
    <row r="5" spans="2:16" s="1" customFormat="1" ht="12" customHeight="1">
      <c r="B5" s="17"/>
      <c r="C5" s="32"/>
      <c r="D5" s="76"/>
      <c r="E5" s="77"/>
      <c r="F5" s="78"/>
      <c r="G5" s="83"/>
      <c r="H5" s="83"/>
      <c r="I5" s="83"/>
      <c r="J5" s="83"/>
      <c r="K5" s="84"/>
      <c r="L5" s="33"/>
      <c r="O5">
        <v>5</v>
      </c>
      <c r="P5" s="541" t="s">
        <v>222</v>
      </c>
    </row>
    <row r="6" spans="2:16" ht="42.75" customHeight="1">
      <c r="B6" s="16"/>
      <c r="C6" s="34"/>
      <c r="D6" s="79"/>
      <c r="E6" s="18"/>
      <c r="F6" s="80" t="s">
        <v>83</v>
      </c>
      <c r="G6" s="1557"/>
      <c r="H6" s="1558"/>
      <c r="I6" s="1558"/>
      <c r="J6" s="1559"/>
      <c r="K6" s="85"/>
      <c r="L6" s="35"/>
      <c r="O6" s="1">
        <v>6</v>
      </c>
      <c r="P6" s="541" t="s">
        <v>223</v>
      </c>
    </row>
    <row r="7" spans="1:16" ht="18" customHeight="1">
      <c r="A7" s="543"/>
      <c r="B7" s="16"/>
      <c r="C7" s="34"/>
      <c r="D7" s="79"/>
      <c r="E7" s="18"/>
      <c r="F7" s="80" t="s">
        <v>286</v>
      </c>
      <c r="G7" s="1560"/>
      <c r="H7" s="1561"/>
      <c r="I7" s="1561"/>
      <c r="J7" s="1562"/>
      <c r="K7" s="85"/>
      <c r="L7" s="35"/>
      <c r="N7" s="543">
        <v>1</v>
      </c>
      <c r="O7">
        <v>7</v>
      </c>
      <c r="P7" s="541" t="s">
        <v>224</v>
      </c>
    </row>
    <row r="8" spans="2:16" ht="18" customHeight="1">
      <c r="B8" s="16"/>
      <c r="C8" s="34"/>
      <c r="D8" s="79"/>
      <c r="E8" s="18"/>
      <c r="F8" s="80" t="s">
        <v>78</v>
      </c>
      <c r="G8" s="1560"/>
      <c r="H8" s="1561"/>
      <c r="I8" s="1561"/>
      <c r="J8" s="1562"/>
      <c r="K8" s="85"/>
      <c r="L8" s="35"/>
      <c r="O8">
        <v>8</v>
      </c>
      <c r="P8" s="541" t="s">
        <v>225</v>
      </c>
    </row>
    <row r="9" spans="2:16" ht="18" customHeight="1" thickBot="1">
      <c r="B9" s="16"/>
      <c r="C9" s="34"/>
      <c r="D9" s="79"/>
      <c r="E9" s="18"/>
      <c r="F9" s="80" t="s">
        <v>82</v>
      </c>
      <c r="G9" s="1563"/>
      <c r="H9" s="1564"/>
      <c r="I9" s="1564"/>
      <c r="J9" s="1565"/>
      <c r="K9" s="85"/>
      <c r="L9" s="35"/>
      <c r="O9" s="1">
        <v>9</v>
      </c>
      <c r="P9" s="541" t="s">
        <v>226</v>
      </c>
    </row>
    <row r="10" spans="2:16" ht="12" customHeight="1">
      <c r="B10" s="16"/>
      <c r="C10" s="34"/>
      <c r="D10" s="81"/>
      <c r="E10" s="82"/>
      <c r="F10" s="82"/>
      <c r="G10" s="82"/>
      <c r="H10" s="82"/>
      <c r="I10" s="82"/>
      <c r="J10" s="82"/>
      <c r="K10" s="86"/>
      <c r="L10" s="35"/>
      <c r="O10">
        <v>10</v>
      </c>
      <c r="P10" s="541" t="s">
        <v>227</v>
      </c>
    </row>
    <row r="11" spans="2:16" ht="15">
      <c r="B11" s="16"/>
      <c r="C11" s="34"/>
      <c r="D11" s="28"/>
      <c r="E11" s="28"/>
      <c r="F11" s="28"/>
      <c r="G11" s="28"/>
      <c r="H11" s="28"/>
      <c r="I11" s="28"/>
      <c r="J11" s="28"/>
      <c r="K11" s="28"/>
      <c r="L11" s="35"/>
      <c r="O11">
        <v>11</v>
      </c>
      <c r="P11" s="541" t="s">
        <v>228</v>
      </c>
    </row>
    <row r="12" spans="2:16" ht="13.5" customHeight="1">
      <c r="B12" s="16"/>
      <c r="C12" s="34"/>
      <c r="D12" s="87"/>
      <c r="E12" s="88"/>
      <c r="F12" s="88"/>
      <c r="G12" s="88"/>
      <c r="H12" s="88"/>
      <c r="I12" s="88"/>
      <c r="J12" s="88"/>
      <c r="K12" s="89"/>
      <c r="L12" s="35"/>
      <c r="O12" s="1">
        <v>12</v>
      </c>
      <c r="P12" s="541" t="s">
        <v>229</v>
      </c>
    </row>
    <row r="13" spans="2:16" ht="17.25" customHeight="1">
      <c r="B13" s="16"/>
      <c r="C13" s="34"/>
      <c r="D13" s="79"/>
      <c r="E13" s="537" t="s">
        <v>79</v>
      </c>
      <c r="F13" s="90"/>
      <c r="G13" s="69"/>
      <c r="H13" s="23"/>
      <c r="I13" s="18"/>
      <c r="J13" s="18"/>
      <c r="K13" s="85"/>
      <c r="L13" s="35"/>
      <c r="O13">
        <v>13</v>
      </c>
      <c r="P13" s="541" t="s">
        <v>230</v>
      </c>
    </row>
    <row r="14" spans="2:16" ht="18" customHeight="1">
      <c r="B14" s="16"/>
      <c r="C14" s="34"/>
      <c r="D14" s="79"/>
      <c r="E14" s="538" t="s">
        <v>202</v>
      </c>
      <c r="F14" s="91"/>
      <c r="G14" s="69"/>
      <c r="H14" s="538" t="s">
        <v>203</v>
      </c>
      <c r="I14" s="18"/>
      <c r="J14" s="18"/>
      <c r="K14" s="85"/>
      <c r="L14" s="35"/>
      <c r="O14">
        <v>14</v>
      </c>
      <c r="P14" s="541" t="s">
        <v>231</v>
      </c>
    </row>
    <row r="15" spans="2:16" ht="7.5" customHeight="1">
      <c r="B15" s="16"/>
      <c r="C15" s="34"/>
      <c r="D15" s="79"/>
      <c r="E15" s="90"/>
      <c r="F15" s="92"/>
      <c r="G15" s="92"/>
      <c r="H15" s="90"/>
      <c r="I15" s="18"/>
      <c r="J15" s="18"/>
      <c r="K15" s="85"/>
      <c r="L15" s="35"/>
      <c r="O15" s="1">
        <v>15</v>
      </c>
      <c r="P15" s="541" t="s">
        <v>232</v>
      </c>
    </row>
    <row r="16" spans="2:16" ht="7.5" customHeight="1">
      <c r="B16" s="16"/>
      <c r="C16" s="34"/>
      <c r="D16" s="79"/>
      <c r="E16" s="22"/>
      <c r="F16" s="94"/>
      <c r="G16" s="69"/>
      <c r="H16" s="21"/>
      <c r="I16" s="18"/>
      <c r="J16" s="18"/>
      <c r="K16" s="85"/>
      <c r="L16" s="35"/>
      <c r="O16">
        <v>16</v>
      </c>
      <c r="P16" s="541" t="s">
        <v>233</v>
      </c>
    </row>
    <row r="17" spans="1:16" ht="19.5" customHeight="1">
      <c r="A17" s="295">
        <v>3</v>
      </c>
      <c r="C17" s="36"/>
      <c r="D17" s="79"/>
      <c r="E17" s="100"/>
      <c r="F17" s="95" t="s">
        <v>80</v>
      </c>
      <c r="G17" s="90"/>
      <c r="H17" s="101"/>
      <c r="I17" s="93" t="s">
        <v>200</v>
      </c>
      <c r="J17" s="18"/>
      <c r="K17" s="85"/>
      <c r="L17" s="37"/>
      <c r="M17" s="296">
        <v>1</v>
      </c>
      <c r="O17">
        <v>17</v>
      </c>
      <c r="P17" s="541" t="s">
        <v>234</v>
      </c>
    </row>
    <row r="18" spans="2:16" ht="19.5" customHeight="1">
      <c r="B18" s="16"/>
      <c r="C18" s="34"/>
      <c r="D18" s="79"/>
      <c r="E18" s="100"/>
      <c r="F18" s="95" t="s">
        <v>216</v>
      </c>
      <c r="G18" s="90"/>
      <c r="H18" s="101"/>
      <c r="I18" s="93" t="s">
        <v>81</v>
      </c>
      <c r="J18" s="18"/>
      <c r="K18" s="85"/>
      <c r="L18" s="35"/>
      <c r="O18" s="1">
        <v>18</v>
      </c>
      <c r="P18" s="541" t="s">
        <v>235</v>
      </c>
    </row>
    <row r="19" spans="2:16" ht="19.5" customHeight="1">
      <c r="B19" s="16"/>
      <c r="C19" s="34"/>
      <c r="D19" s="79"/>
      <c r="E19" s="100"/>
      <c r="F19" s="95" t="s">
        <v>217</v>
      </c>
      <c r="G19" s="90"/>
      <c r="H19" s="101"/>
      <c r="I19" s="93" t="s">
        <v>201</v>
      </c>
      <c r="J19" s="18"/>
      <c r="K19" s="85"/>
      <c r="L19" s="35"/>
      <c r="O19">
        <v>19</v>
      </c>
      <c r="P19" s="541" t="s">
        <v>236</v>
      </c>
    </row>
    <row r="20" spans="2:16" ht="9" customHeight="1">
      <c r="B20" s="16"/>
      <c r="C20" s="34"/>
      <c r="D20" s="79"/>
      <c r="E20" s="22"/>
      <c r="F20" s="96"/>
      <c r="G20" s="90"/>
      <c r="H20" s="101"/>
      <c r="I20" s="18"/>
      <c r="J20" s="18"/>
      <c r="K20" s="85"/>
      <c r="L20" s="35"/>
      <c r="O20">
        <v>20</v>
      </c>
      <c r="P20" s="541" t="s">
        <v>237</v>
      </c>
    </row>
    <row r="21" spans="2:16" ht="19.5" customHeight="1">
      <c r="B21" s="16"/>
      <c r="C21" s="34"/>
      <c r="D21" s="81"/>
      <c r="E21" s="82"/>
      <c r="F21" s="97"/>
      <c r="G21" s="98"/>
      <c r="H21" s="99"/>
      <c r="I21" s="82"/>
      <c r="J21" s="82"/>
      <c r="K21" s="86"/>
      <c r="L21" s="35"/>
      <c r="O21" s="1">
        <v>21</v>
      </c>
      <c r="P21" s="541" t="s">
        <v>238</v>
      </c>
    </row>
    <row r="22" spans="2:16" ht="11.25" customHeight="1">
      <c r="B22" s="16"/>
      <c r="C22" s="34"/>
      <c r="D22" s="28"/>
      <c r="E22" s="20"/>
      <c r="F22" s="44"/>
      <c r="G22" s="45"/>
      <c r="H22" s="46"/>
      <c r="I22" s="28"/>
      <c r="J22" s="28"/>
      <c r="K22" s="28"/>
      <c r="L22" s="35"/>
      <c r="O22">
        <v>22</v>
      </c>
      <c r="P22" s="541" t="s">
        <v>239</v>
      </c>
    </row>
    <row r="23" spans="2:16" ht="12" customHeight="1">
      <c r="B23" s="16"/>
      <c r="C23" s="34"/>
      <c r="D23" s="1555" t="s">
        <v>109</v>
      </c>
      <c r="E23" s="1556"/>
      <c r="F23" s="1556"/>
      <c r="G23" s="1556"/>
      <c r="H23" s="1556"/>
      <c r="I23" s="1556"/>
      <c r="J23" s="1556"/>
      <c r="K23" s="28"/>
      <c r="L23" s="35"/>
      <c r="O23">
        <v>23</v>
      </c>
      <c r="P23" s="541" t="s">
        <v>240</v>
      </c>
    </row>
    <row r="24" spans="2:16" ht="24.75" customHeight="1">
      <c r="B24" s="16"/>
      <c r="C24" s="34"/>
      <c r="D24" s="1556"/>
      <c r="E24" s="1556"/>
      <c r="F24" s="1556"/>
      <c r="G24" s="1556"/>
      <c r="H24" s="1556"/>
      <c r="I24" s="1556"/>
      <c r="J24" s="1556"/>
      <c r="K24" s="28"/>
      <c r="L24" s="35"/>
      <c r="O24" s="1">
        <v>24</v>
      </c>
      <c r="P24" s="541" t="s">
        <v>241</v>
      </c>
    </row>
    <row r="25" spans="2:16" ht="18.75" customHeight="1" thickBot="1">
      <c r="B25" s="16"/>
      <c r="C25" s="38"/>
      <c r="D25" s="39"/>
      <c r="E25" s="39"/>
      <c r="F25" s="39"/>
      <c r="G25" s="39"/>
      <c r="H25" s="39"/>
      <c r="I25" s="39"/>
      <c r="J25" s="39"/>
      <c r="K25" s="39"/>
      <c r="L25" s="40"/>
      <c r="O25">
        <v>25</v>
      </c>
      <c r="P25" s="542" t="s">
        <v>242</v>
      </c>
    </row>
    <row r="26" spans="4:16" ht="15">
      <c r="D26" s="3"/>
      <c r="E26" s="3"/>
      <c r="F26" s="4"/>
      <c r="G26" s="3"/>
      <c r="H26" s="3"/>
      <c r="I26" s="3"/>
      <c r="J26" s="3"/>
      <c r="K26" s="3"/>
      <c r="L26" s="3"/>
      <c r="O26">
        <v>26</v>
      </c>
      <c r="P26" s="541" t="s">
        <v>243</v>
      </c>
    </row>
    <row r="27" spans="3:16" ht="15.75">
      <c r="C27" s="2"/>
      <c r="D27" s="3"/>
      <c r="E27" s="3"/>
      <c r="F27" s="6"/>
      <c r="G27" s="3"/>
      <c r="H27" s="3"/>
      <c r="I27" s="3"/>
      <c r="J27" s="3"/>
      <c r="K27" s="3"/>
      <c r="L27" s="3"/>
      <c r="O27" s="1">
        <v>27</v>
      </c>
      <c r="P27" s="541" t="s">
        <v>244</v>
      </c>
    </row>
    <row r="28" spans="4:16" ht="15">
      <c r="D28" s="3"/>
      <c r="E28" s="3"/>
      <c r="F28" s="6"/>
      <c r="G28" s="3"/>
      <c r="H28" s="3"/>
      <c r="I28" s="3"/>
      <c r="J28" s="3"/>
      <c r="K28" s="3"/>
      <c r="L28" s="3"/>
      <c r="O28">
        <v>28</v>
      </c>
      <c r="P28" s="541" t="s">
        <v>245</v>
      </c>
    </row>
    <row r="29" spans="4:16" ht="15">
      <c r="D29" s="3"/>
      <c r="E29" s="3"/>
      <c r="F29" s="6"/>
      <c r="G29" s="3"/>
      <c r="H29" s="3"/>
      <c r="I29" s="3"/>
      <c r="J29" s="3"/>
      <c r="K29" s="3"/>
      <c r="L29" s="3"/>
      <c r="O29">
        <v>29</v>
      </c>
      <c r="P29" s="541" t="s">
        <v>246</v>
      </c>
    </row>
    <row r="30" spans="4:16" ht="15">
      <c r="D30" s="3"/>
      <c r="E30" s="3"/>
      <c r="F30" s="6"/>
      <c r="G30" s="3"/>
      <c r="H30" s="3"/>
      <c r="I30" s="3"/>
      <c r="J30" s="3"/>
      <c r="K30" s="3"/>
      <c r="L30" s="3"/>
      <c r="O30" s="1">
        <v>30</v>
      </c>
      <c r="P30" s="541" t="s">
        <v>247</v>
      </c>
    </row>
    <row r="31" spans="4:16" ht="15">
      <c r="D31" s="3"/>
      <c r="E31" s="3"/>
      <c r="F31" s="3"/>
      <c r="G31" s="3"/>
      <c r="H31" s="3"/>
      <c r="I31" s="3"/>
      <c r="J31" s="3"/>
      <c r="K31" s="3"/>
      <c r="L31" s="3"/>
      <c r="O31">
        <v>31</v>
      </c>
      <c r="P31" s="541" t="s">
        <v>248</v>
      </c>
    </row>
    <row r="32" spans="6:16" ht="15">
      <c r="F32" s="7"/>
      <c r="G32" s="8"/>
      <c r="H32" s="8"/>
      <c r="I32" s="8"/>
      <c r="J32" s="8"/>
      <c r="K32" s="8"/>
      <c r="L32" s="8"/>
      <c r="O32">
        <v>32</v>
      </c>
      <c r="P32" s="541" t="s">
        <v>249</v>
      </c>
    </row>
    <row r="33" spans="4:16" ht="15">
      <c r="D33" s="3"/>
      <c r="E33" s="3"/>
      <c r="F33" s="3"/>
      <c r="G33" s="3"/>
      <c r="H33" s="3"/>
      <c r="I33" s="3"/>
      <c r="J33" s="3"/>
      <c r="K33" s="3"/>
      <c r="L33" s="3"/>
      <c r="O33" s="1">
        <v>33</v>
      </c>
      <c r="P33" s="541" t="s">
        <v>250</v>
      </c>
    </row>
    <row r="34" spans="15:16" ht="12.75">
      <c r="O34">
        <v>34</v>
      </c>
      <c r="P34" s="541" t="s">
        <v>251</v>
      </c>
    </row>
    <row r="35" spans="15:16" ht="12.75">
      <c r="O35">
        <v>35</v>
      </c>
      <c r="P35" s="541" t="s">
        <v>252</v>
      </c>
    </row>
    <row r="36" spans="15:16" ht="12.75">
      <c r="O36" s="1">
        <v>36</v>
      </c>
      <c r="P36" s="541" t="s">
        <v>253</v>
      </c>
    </row>
    <row r="37" spans="15:16" ht="12.75">
      <c r="O37">
        <v>37</v>
      </c>
      <c r="P37" s="541" t="s">
        <v>254</v>
      </c>
    </row>
    <row r="38" spans="15:16" ht="12.75">
      <c r="O38">
        <v>38</v>
      </c>
      <c r="P38" s="541" t="s">
        <v>255</v>
      </c>
    </row>
    <row r="39" spans="15:16" ht="12.75">
      <c r="O39" s="1">
        <v>39</v>
      </c>
      <c r="P39" s="541" t="s">
        <v>256</v>
      </c>
    </row>
    <row r="40" spans="15:16" ht="12.75">
      <c r="O40">
        <v>40</v>
      </c>
      <c r="P40" s="541" t="s">
        <v>257</v>
      </c>
    </row>
    <row r="41" spans="15:16" ht="12.75">
      <c r="O41">
        <v>41</v>
      </c>
      <c r="P41" s="541" t="s">
        <v>258</v>
      </c>
    </row>
    <row r="42" spans="15:16" ht="12.75">
      <c r="O42" s="1">
        <v>42</v>
      </c>
      <c r="P42" s="541" t="s">
        <v>259</v>
      </c>
    </row>
    <row r="43" spans="15:16" ht="12.75">
      <c r="O43">
        <v>43</v>
      </c>
      <c r="P43" s="541" t="s">
        <v>260</v>
      </c>
    </row>
    <row r="44" spans="15:16" ht="12.75">
      <c r="O44">
        <v>44</v>
      </c>
      <c r="P44" s="541" t="s">
        <v>261</v>
      </c>
    </row>
    <row r="45" spans="15:16" ht="12.75">
      <c r="O45" s="1">
        <v>45</v>
      </c>
      <c r="P45" s="541" t="s">
        <v>262</v>
      </c>
    </row>
    <row r="46" spans="15:16" ht="12.75">
      <c r="O46">
        <v>46</v>
      </c>
      <c r="P46" s="541" t="s">
        <v>263</v>
      </c>
    </row>
    <row r="47" spans="15:16" ht="12.75">
      <c r="O47">
        <v>47</v>
      </c>
      <c r="P47" s="541" t="s">
        <v>264</v>
      </c>
    </row>
    <row r="48" spans="15:16" ht="12.75">
      <c r="O48" s="1">
        <v>48</v>
      </c>
      <c r="P48" s="541" t="s">
        <v>265</v>
      </c>
    </row>
    <row r="49" spans="15:16" ht="12.75">
      <c r="O49">
        <v>49</v>
      </c>
      <c r="P49" s="541" t="s">
        <v>266</v>
      </c>
    </row>
    <row r="50" spans="15:16" ht="12.75">
      <c r="O50">
        <v>50</v>
      </c>
      <c r="P50" s="541" t="s">
        <v>267</v>
      </c>
    </row>
    <row r="51" spans="15:16" ht="12.75">
      <c r="O51" s="1">
        <v>51</v>
      </c>
      <c r="P51" s="541" t="s">
        <v>268</v>
      </c>
    </row>
    <row r="52" spans="15:16" ht="12.75">
      <c r="O52">
        <v>52</v>
      </c>
      <c r="P52" s="541" t="s">
        <v>269</v>
      </c>
    </row>
    <row r="53" spans="15:16" ht="12.75">
      <c r="O53">
        <v>53</v>
      </c>
      <c r="P53" s="541" t="s">
        <v>270</v>
      </c>
    </row>
    <row r="54" spans="15:16" ht="12.75">
      <c r="O54" s="1">
        <v>54</v>
      </c>
      <c r="P54" s="541" t="s">
        <v>271</v>
      </c>
    </row>
    <row r="55" spans="15:16" ht="12.75">
      <c r="O55">
        <v>55</v>
      </c>
      <c r="P55" s="541" t="s">
        <v>272</v>
      </c>
    </row>
    <row r="56" spans="15:16" ht="12.75">
      <c r="O56">
        <v>56</v>
      </c>
      <c r="P56" s="541" t="s">
        <v>273</v>
      </c>
    </row>
    <row r="57" spans="15:16" ht="12.75">
      <c r="O57" s="1">
        <v>57</v>
      </c>
      <c r="P57" s="541" t="s">
        <v>274</v>
      </c>
    </row>
    <row r="58" spans="15:16" ht="12.75">
      <c r="O58">
        <v>58</v>
      </c>
      <c r="P58" s="541" t="s">
        <v>275</v>
      </c>
    </row>
    <row r="59" spans="15:16" ht="12.75">
      <c r="O59">
        <v>59</v>
      </c>
      <c r="P59" s="541" t="s">
        <v>276</v>
      </c>
    </row>
    <row r="60" spans="15:16" ht="12.75">
      <c r="O60" s="1">
        <v>60</v>
      </c>
      <c r="P60" s="541" t="s">
        <v>277</v>
      </c>
    </row>
    <row r="61" spans="15:16" ht="12.75">
      <c r="O61">
        <v>61</v>
      </c>
      <c r="P61" s="541" t="s">
        <v>278</v>
      </c>
    </row>
    <row r="62" spans="15:16" ht="12.75">
      <c r="O62">
        <v>62</v>
      </c>
      <c r="P62" s="541" t="s">
        <v>279</v>
      </c>
    </row>
    <row r="63" spans="15:16" ht="12.75">
      <c r="O63" s="1">
        <v>63</v>
      </c>
      <c r="P63" s="542" t="s">
        <v>280</v>
      </c>
    </row>
    <row r="64" spans="15:16" ht="12.75">
      <c r="O64">
        <v>64</v>
      </c>
      <c r="P64" s="541" t="s">
        <v>281</v>
      </c>
    </row>
    <row r="65" spans="15:16" ht="12.75">
      <c r="O65">
        <v>65</v>
      </c>
      <c r="P65" s="541" t="s">
        <v>282</v>
      </c>
    </row>
    <row r="66" spans="15:16" ht="12.75">
      <c r="O66" s="1">
        <v>66</v>
      </c>
      <c r="P66" s="541" t="s">
        <v>283</v>
      </c>
    </row>
    <row r="67" spans="15:16" ht="12.75">
      <c r="O67">
        <v>67</v>
      </c>
      <c r="P67" s="541" t="s">
        <v>284</v>
      </c>
    </row>
    <row r="68" spans="15:16" ht="12.75">
      <c r="O68">
        <v>68</v>
      </c>
      <c r="P68" s="541" t="s">
        <v>285</v>
      </c>
    </row>
  </sheetData>
  <sheetProtection password="E09D" sheet="1" objects="1" scenarios="1" selectLockedCells="1"/>
  <mergeCells count="5">
    <mergeCell ref="D23:J24"/>
    <mergeCell ref="G6:J6"/>
    <mergeCell ref="G7:J7"/>
    <mergeCell ref="G8:J8"/>
    <mergeCell ref="G9:J9"/>
  </mergeCells>
  <printOptions horizontalCentered="1"/>
  <pageMargins left="0.64" right="0.53" top="0.67" bottom="0.61" header="0.39" footer="0.4"/>
  <pageSetup cellComments="asDisplayed" fitToHeight="2" fitToWidth="1" horizontalDpi="1200" verticalDpi="1200" orientation="portrait" r:id="rId3"/>
  <headerFooter alignWithMargins="0">
    <oddFooter>&amp;L&amp;"Arial,Regular"&amp;F:  &amp;A&amp;C&amp;R&amp;"Arial,Regular"Page &amp;P of &amp;N
</oddFooter>
  </headerFooter>
  <legacyDrawing r:id="rId2"/>
</worksheet>
</file>

<file path=xl/worksheets/sheet2.xml><?xml version="1.0" encoding="utf-8"?>
<worksheet xmlns="http://schemas.openxmlformats.org/spreadsheetml/2006/main" xmlns:r="http://schemas.openxmlformats.org/officeDocument/2006/relationships">
  <sheetPr codeName="Sheet3">
    <tabColor indexed="45"/>
  </sheetPr>
  <dimension ref="B2:M192"/>
  <sheetViews>
    <sheetView showGridLines="0" zoomScale="80" zoomScaleNormal="80" zoomScaleSheetLayoutView="50" zoomScalePageLayoutView="0" workbookViewId="0" topLeftCell="A1">
      <selection activeCell="H11" sqref="H11"/>
    </sheetView>
  </sheetViews>
  <sheetFormatPr defaultColWidth="10.75390625" defaultRowHeight="12.75"/>
  <cols>
    <col min="1" max="1" width="2.50390625" style="9" customWidth="1"/>
    <col min="2" max="2" width="2.625" style="9" customWidth="1"/>
    <col min="3" max="3" width="1.75390625" style="9" customWidth="1"/>
    <col min="4" max="4" width="1.12109375" style="907" customWidth="1"/>
    <col min="5" max="5" width="31.625" style="9" customWidth="1"/>
    <col min="6" max="6" width="12.125" style="9" customWidth="1"/>
    <col min="7" max="7" width="13.625" style="9" customWidth="1"/>
    <col min="8" max="8" width="13.00390625" style="9" customWidth="1"/>
    <col min="9" max="10" width="8.75390625" style="908" customWidth="1"/>
    <col min="11" max="11" width="57.75390625" style="9" customWidth="1"/>
    <col min="12" max="12" width="2.375" style="9" customWidth="1"/>
    <col min="13" max="13" width="3.00390625" style="9" customWidth="1"/>
    <col min="14" max="14" width="3.25390625" style="9" customWidth="1"/>
    <col min="15" max="16384" width="10.75390625" style="9" customWidth="1"/>
  </cols>
  <sheetData>
    <row r="1" ht="6" customHeight="1" thickBot="1"/>
    <row r="2" spans="2:13" ht="12.75">
      <c r="B2" s="909"/>
      <c r="C2" s="53"/>
      <c r="D2" s="910"/>
      <c r="E2" s="53"/>
      <c r="F2" s="53"/>
      <c r="G2" s="53"/>
      <c r="H2" s="53"/>
      <c r="I2" s="911"/>
      <c r="J2" s="911"/>
      <c r="K2" s="53"/>
      <c r="L2" s="53"/>
      <c r="M2" s="652"/>
    </row>
    <row r="3" spans="2:13" ht="18.75" customHeight="1">
      <c r="B3" s="653"/>
      <c r="C3" s="654" t="s">
        <v>84</v>
      </c>
      <c r="D3" s="655"/>
      <c r="E3" s="51"/>
      <c r="F3" s="51"/>
      <c r="G3" s="51"/>
      <c r="H3" s="51" t="str">
        <f>'Preliminary Information'!$J$3</f>
        <v>Version 1.4</v>
      </c>
      <c r="I3" s="912"/>
      <c r="J3" s="656" t="s">
        <v>288</v>
      </c>
      <c r="K3" s="658">
        <f>'Preliminary Information'!G6</f>
        <v>0</v>
      </c>
      <c r="L3" s="51"/>
      <c r="M3" s="459"/>
    </row>
    <row r="4" spans="2:13" ht="14.25" customHeight="1">
      <c r="B4" s="653"/>
      <c r="C4" s="48"/>
      <c r="D4" s="913"/>
      <c r="E4" s="914"/>
      <c r="F4" s="49"/>
      <c r="G4" s="48"/>
      <c r="H4" s="48"/>
      <c r="I4" s="915"/>
      <c r="J4" s="916" t="s">
        <v>287</v>
      </c>
      <c r="K4" s="917">
        <f>'Preliminary Information'!G7</f>
        <v>0</v>
      </c>
      <c r="L4" s="48"/>
      <c r="M4" s="459"/>
    </row>
    <row r="5" spans="2:13" s="666" customFormat="1" ht="18" customHeight="1">
      <c r="B5" s="662"/>
      <c r="C5" s="918" t="s">
        <v>23</v>
      </c>
      <c r="D5" s="919" t="s">
        <v>108</v>
      </c>
      <c r="E5" s="919"/>
      <c r="F5" s="50"/>
      <c r="G5" s="50"/>
      <c r="H5" s="50"/>
      <c r="I5" s="920"/>
      <c r="J5" s="920"/>
      <c r="K5" s="50"/>
      <c r="L5" s="50"/>
      <c r="M5" s="667"/>
    </row>
    <row r="6" spans="2:13" s="666" customFormat="1" ht="5.25" customHeight="1">
      <c r="B6" s="662"/>
      <c r="C6" s="921"/>
      <c r="D6" s="922"/>
      <c r="E6" s="922"/>
      <c r="F6" s="50"/>
      <c r="G6" s="50"/>
      <c r="H6" s="50"/>
      <c r="I6" s="920"/>
      <c r="J6" s="920"/>
      <c r="K6" s="50"/>
      <c r="L6" s="50"/>
      <c r="M6" s="667"/>
    </row>
    <row r="7" spans="2:13" s="666" customFormat="1" ht="8.25" customHeight="1">
      <c r="B7" s="662"/>
      <c r="C7" s="923"/>
      <c r="D7" s="924"/>
      <c r="E7" s="924"/>
      <c r="F7" s="925"/>
      <c r="G7" s="925"/>
      <c r="H7" s="925"/>
      <c r="I7" s="926"/>
      <c r="J7" s="926"/>
      <c r="K7" s="925"/>
      <c r="L7" s="927"/>
      <c r="M7" s="667"/>
    </row>
    <row r="8" spans="2:13" ht="66" customHeight="1">
      <c r="B8" s="653"/>
      <c r="C8" s="928"/>
      <c r="D8" s="678"/>
      <c r="E8" s="357"/>
      <c r="F8" s="139" t="s">
        <v>112</v>
      </c>
      <c r="G8" s="929" t="s">
        <v>0</v>
      </c>
      <c r="H8" s="929" t="s">
        <v>28</v>
      </c>
      <c r="I8" s="930"/>
      <c r="J8" s="1588" t="s">
        <v>314</v>
      </c>
      <c r="K8" s="139"/>
      <c r="L8" s="155"/>
      <c r="M8" s="459"/>
    </row>
    <row r="9" spans="2:13" ht="14.25" customHeight="1">
      <c r="B9" s="653"/>
      <c r="C9" s="928"/>
      <c r="D9" s="678"/>
      <c r="E9" s="357"/>
      <c r="F9" s="103" t="s">
        <v>86</v>
      </c>
      <c r="G9" s="107" t="s">
        <v>86</v>
      </c>
      <c r="H9" s="1022" t="s">
        <v>86</v>
      </c>
      <c r="I9" s="930"/>
      <c r="J9" s="1589"/>
      <c r="K9" s="1199" t="s">
        <v>437</v>
      </c>
      <c r="L9" s="155"/>
      <c r="M9" s="459"/>
    </row>
    <row r="10" spans="2:13" ht="18" customHeight="1">
      <c r="B10" s="653"/>
      <c r="C10" s="928"/>
      <c r="D10" s="678"/>
      <c r="E10" s="357"/>
      <c r="F10" s="214" t="str">
        <f>IF(H10=1,"Oct 1st of",IF(H10=2,"July 1st of",IF(H10=3,"Jan 1st of","")))</f>
        <v>July 1st of</v>
      </c>
      <c r="G10" s="215" t="str">
        <f>IF(H10=1,"Oct 1st of",IF(H10=2,"July 1st of",IF(H10=3,"Jan 1st of","")))</f>
        <v>July 1st of</v>
      </c>
      <c r="H10" s="489">
        <v>2</v>
      </c>
      <c r="I10" s="1588" t="s">
        <v>313</v>
      </c>
      <c r="J10" s="1589"/>
      <c r="K10" s="1199" t="s">
        <v>438</v>
      </c>
      <c r="L10" s="155"/>
      <c r="M10" s="459"/>
    </row>
    <row r="11" spans="2:13" ht="15.75" customHeight="1" thickBot="1">
      <c r="B11" s="653"/>
      <c r="C11" s="928"/>
      <c r="D11" s="678"/>
      <c r="E11" s="931"/>
      <c r="F11" s="108">
        <f>G11-1</f>
        <v>2022</v>
      </c>
      <c r="G11" s="109">
        <f>H11-1</f>
        <v>2023</v>
      </c>
      <c r="H11" s="579">
        <v>2024</v>
      </c>
      <c r="I11" s="1589"/>
      <c r="J11" s="1589"/>
      <c r="K11" s="1162"/>
      <c r="L11" s="155"/>
      <c r="M11" s="459"/>
    </row>
    <row r="12" spans="2:13" ht="12" customHeight="1">
      <c r="B12" s="653"/>
      <c r="C12" s="928"/>
      <c r="D12" s="678"/>
      <c r="E12" s="931"/>
      <c r="F12" s="106" t="s">
        <v>85</v>
      </c>
      <c r="G12" s="106" t="s">
        <v>85</v>
      </c>
      <c r="H12" s="107" t="s">
        <v>85</v>
      </c>
      <c r="I12" s="1589"/>
      <c r="J12" s="1589"/>
      <c r="K12" s="1162"/>
      <c r="L12" s="155"/>
      <c r="M12" s="459"/>
    </row>
    <row r="13" spans="2:13" ht="13.5" customHeight="1">
      <c r="B13" s="653"/>
      <c r="C13" s="928"/>
      <c r="D13" s="678"/>
      <c r="E13" s="357"/>
      <c r="F13" s="214" t="str">
        <f>IF(H10=1,"Sept 30th of",IF(H10=2,"June 30th of",IF(H10=3,"Dec 31st of","")))</f>
        <v>June 30th of</v>
      </c>
      <c r="G13" s="215" t="str">
        <f>F13</f>
        <v>June 30th of</v>
      </c>
      <c r="H13" s="214" t="str">
        <f>F13</f>
        <v>June 30th of</v>
      </c>
      <c r="I13" s="1589"/>
      <c r="J13" s="1589"/>
      <c r="K13" s="1162"/>
      <c r="L13" s="155"/>
      <c r="M13" s="459"/>
    </row>
    <row r="14" spans="2:13" s="666" customFormat="1" ht="14.25" customHeight="1">
      <c r="B14" s="662"/>
      <c r="C14" s="932"/>
      <c r="D14" s="933"/>
      <c r="E14" s="934"/>
      <c r="F14" s="108">
        <f>IF(F10="Jan 1st of",F11,F11+1)</f>
        <v>2023</v>
      </c>
      <c r="G14" s="109">
        <f>IF(G10="Jan 1st of",G11,G11+1)</f>
        <v>2024</v>
      </c>
      <c r="H14" s="108">
        <f>IF(G10="Jan 1st of",H11,H11+1)</f>
        <v>2025</v>
      </c>
      <c r="I14" s="1590"/>
      <c r="J14" s="1590"/>
      <c r="K14" s="1162" t="s">
        <v>423</v>
      </c>
      <c r="L14" s="935"/>
      <c r="M14" s="667"/>
    </row>
    <row r="15" spans="2:13" ht="12.75">
      <c r="B15" s="653"/>
      <c r="C15" s="936">
        <v>1</v>
      </c>
      <c r="D15" s="684"/>
      <c r="E15" s="685"/>
      <c r="F15" s="140">
        <v>2</v>
      </c>
      <c r="G15" s="937">
        <v>3</v>
      </c>
      <c r="H15" s="140">
        <v>4</v>
      </c>
      <c r="I15" s="937">
        <v>5</v>
      </c>
      <c r="J15" s="937">
        <v>6</v>
      </c>
      <c r="K15" s="140">
        <v>7</v>
      </c>
      <c r="L15" s="158"/>
      <c r="M15" s="459"/>
    </row>
    <row r="16" spans="2:13" ht="5.25" customHeight="1" thickBot="1">
      <c r="B16" s="653"/>
      <c r="C16" s="938"/>
      <c r="D16" s="688"/>
      <c r="E16" s="689"/>
      <c r="F16" s="690"/>
      <c r="G16" s="690"/>
      <c r="H16" s="690"/>
      <c r="I16" s="690"/>
      <c r="J16" s="690"/>
      <c r="K16" s="690"/>
      <c r="L16" s="160"/>
      <c r="M16" s="459"/>
    </row>
    <row r="17" spans="2:13" ht="12.75">
      <c r="B17" s="653"/>
      <c r="C17" s="939"/>
      <c r="D17" s="691"/>
      <c r="E17" s="692"/>
      <c r="F17" s="56"/>
      <c r="G17" s="56"/>
      <c r="H17" s="56"/>
      <c r="I17" s="56"/>
      <c r="J17" s="56"/>
      <c r="K17" s="56"/>
      <c r="L17" s="56"/>
      <c r="M17" s="459"/>
    </row>
    <row r="18" spans="2:13" ht="3" customHeight="1">
      <c r="B18" s="653"/>
      <c r="C18" s="939"/>
      <c r="D18" s="691"/>
      <c r="E18" s="692"/>
      <c r="F18" s="56"/>
      <c r="G18" s="56"/>
      <c r="H18" s="56"/>
      <c r="I18" s="56"/>
      <c r="J18" s="56"/>
      <c r="K18" s="56"/>
      <c r="L18" s="56"/>
      <c r="M18" s="459"/>
    </row>
    <row r="19" spans="2:13" ht="5.25" customHeight="1">
      <c r="B19" s="653"/>
      <c r="C19" s="940"/>
      <c r="D19" s="695"/>
      <c r="E19" s="696"/>
      <c r="F19" s="167"/>
      <c r="G19" s="167"/>
      <c r="H19" s="167"/>
      <c r="I19" s="167"/>
      <c r="J19" s="167"/>
      <c r="K19" s="167"/>
      <c r="L19" s="168"/>
      <c r="M19" s="459"/>
    </row>
    <row r="20" spans="2:13" ht="17.25" customHeight="1">
      <c r="B20" s="653"/>
      <c r="C20" s="928"/>
      <c r="D20" s="825" t="s">
        <v>119</v>
      </c>
      <c r="E20" s="825"/>
      <c r="F20" s="700"/>
      <c r="G20" s="700"/>
      <c r="H20" s="700"/>
      <c r="I20" s="941"/>
      <c r="J20" s="941"/>
      <c r="K20" s="700"/>
      <c r="L20" s="169"/>
      <c r="M20" s="459"/>
    </row>
    <row r="21" spans="2:13" ht="5.25" customHeight="1">
      <c r="B21" s="653"/>
      <c r="C21" s="177"/>
      <c r="D21" s="141"/>
      <c r="E21" s="141"/>
      <c r="F21" s="141"/>
      <c r="G21" s="141"/>
      <c r="H21" s="141"/>
      <c r="I21" s="942"/>
      <c r="J21" s="942"/>
      <c r="K21" s="141"/>
      <c r="L21" s="169"/>
      <c r="M21" s="459"/>
    </row>
    <row r="22" spans="2:13" ht="14.25">
      <c r="B22" s="653"/>
      <c r="C22" s="928"/>
      <c r="D22" s="807" t="s">
        <v>48</v>
      </c>
      <c r="E22" s="943"/>
      <c r="F22" s="73"/>
      <c r="G22" s="73"/>
      <c r="H22" s="73"/>
      <c r="I22" s="944"/>
      <c r="J22" s="945"/>
      <c r="K22" s="946"/>
      <c r="L22" s="947"/>
      <c r="M22" s="459"/>
    </row>
    <row r="23" spans="2:13" ht="5.25" customHeight="1">
      <c r="B23" s="653"/>
      <c r="C23" s="928"/>
      <c r="D23" s="569"/>
      <c r="E23" s="948"/>
      <c r="F23" s="569"/>
      <c r="G23" s="569"/>
      <c r="H23" s="569"/>
      <c r="I23" s="949"/>
      <c r="J23" s="950"/>
      <c r="K23" s="951"/>
      <c r="L23" s="947"/>
      <c r="M23" s="459"/>
    </row>
    <row r="24" spans="2:13" ht="12.75">
      <c r="B24" s="653"/>
      <c r="C24" s="928"/>
      <c r="D24" s="357"/>
      <c r="E24" s="785" t="s">
        <v>61</v>
      </c>
      <c r="F24" s="113"/>
      <c r="G24" s="114"/>
      <c r="H24" s="115"/>
      <c r="I24" s="952" t="str">
        <f>IF(F24=0," ",(G24-F24)/F24)</f>
        <v> </v>
      </c>
      <c r="J24" s="953">
        <f aca="true" t="shared" si="0" ref="J24:J84">IF(G24=0,"",((H24-G24)/G24))</f>
      </c>
      <c r="K24" s="1591"/>
      <c r="L24" s="954"/>
      <c r="M24" s="459"/>
    </row>
    <row r="25" spans="2:13" ht="12.75">
      <c r="B25" s="653"/>
      <c r="C25" s="928"/>
      <c r="D25" s="357"/>
      <c r="E25" s="785" t="s">
        <v>299</v>
      </c>
      <c r="F25" s="116"/>
      <c r="G25" s="117"/>
      <c r="H25" s="118"/>
      <c r="I25" s="952" t="str">
        <f aca="true" t="shared" si="1" ref="I25:I88">IF(F25=0," ",(G25-F25)/F25)</f>
        <v> </v>
      </c>
      <c r="J25" s="953">
        <f t="shared" si="0"/>
      </c>
      <c r="K25" s="1592"/>
      <c r="L25" s="954"/>
      <c r="M25" s="459"/>
    </row>
    <row r="26" spans="2:13" ht="12.75">
      <c r="B26" s="653"/>
      <c r="C26" s="928"/>
      <c r="D26" s="357"/>
      <c r="E26" s="785" t="s">
        <v>294</v>
      </c>
      <c r="F26" s="116"/>
      <c r="G26" s="117"/>
      <c r="H26" s="118"/>
      <c r="I26" s="952" t="str">
        <f t="shared" si="1"/>
        <v> </v>
      </c>
      <c r="J26" s="953">
        <f t="shared" si="0"/>
      </c>
      <c r="K26" s="1592"/>
      <c r="L26" s="954"/>
      <c r="M26" s="459"/>
    </row>
    <row r="27" spans="2:13" ht="12.75">
      <c r="B27" s="653"/>
      <c r="C27" s="928"/>
      <c r="D27" s="357"/>
      <c r="E27" s="785" t="s">
        <v>295</v>
      </c>
      <c r="F27" s="116"/>
      <c r="G27" s="117"/>
      <c r="H27" s="118"/>
      <c r="I27" s="952" t="str">
        <f t="shared" si="1"/>
        <v> </v>
      </c>
      <c r="J27" s="953">
        <f t="shared" si="0"/>
      </c>
      <c r="K27" s="1592"/>
      <c r="L27" s="954"/>
      <c r="M27" s="459"/>
    </row>
    <row r="28" spans="2:13" ht="12.75">
      <c r="B28" s="653"/>
      <c r="C28" s="928"/>
      <c r="D28" s="357"/>
      <c r="E28" s="785" t="s">
        <v>62</v>
      </c>
      <c r="F28" s="116"/>
      <c r="G28" s="117"/>
      <c r="H28" s="118"/>
      <c r="I28" s="952" t="str">
        <f t="shared" si="1"/>
        <v> </v>
      </c>
      <c r="J28" s="953">
        <f t="shared" si="0"/>
      </c>
      <c r="K28" s="1592"/>
      <c r="L28" s="954"/>
      <c r="M28" s="459"/>
    </row>
    <row r="29" spans="2:13" ht="12.75" hidden="1">
      <c r="B29" s="653"/>
      <c r="C29" s="928"/>
      <c r="D29" s="357"/>
      <c r="E29" s="861" t="s">
        <v>310</v>
      </c>
      <c r="F29" s="116"/>
      <c r="G29" s="117"/>
      <c r="H29" s="118"/>
      <c r="I29" s="952" t="str">
        <f t="shared" si="1"/>
        <v> </v>
      </c>
      <c r="J29" s="953">
        <f t="shared" si="0"/>
      </c>
      <c r="K29" s="1593"/>
      <c r="L29" s="954"/>
      <c r="M29" s="459"/>
    </row>
    <row r="30" spans="2:13" ht="13.5" thickBot="1">
      <c r="B30" s="653"/>
      <c r="C30" s="928"/>
      <c r="D30" s="357"/>
      <c r="E30" s="955" t="s">
        <v>331</v>
      </c>
      <c r="F30" s="119"/>
      <c r="G30" s="120"/>
      <c r="H30" s="121"/>
      <c r="I30" s="952" t="str">
        <f t="shared" si="1"/>
        <v> </v>
      </c>
      <c r="J30" s="953">
        <f t="shared" si="0"/>
      </c>
      <c r="K30" s="1571"/>
      <c r="L30" s="956"/>
      <c r="M30" s="459"/>
    </row>
    <row r="31" spans="2:13" ht="6" customHeight="1">
      <c r="B31" s="653"/>
      <c r="C31" s="928"/>
      <c r="D31" s="357"/>
      <c r="E31" s="957"/>
      <c r="F31" s="111"/>
      <c r="G31" s="111"/>
      <c r="H31" s="111"/>
      <c r="I31" s="123"/>
      <c r="J31" s="123"/>
      <c r="K31" s="112"/>
      <c r="L31" s="956"/>
      <c r="M31" s="459"/>
    </row>
    <row r="32" spans="2:13" ht="14.25">
      <c r="B32" s="653"/>
      <c r="C32" s="928"/>
      <c r="D32" s="807" t="s">
        <v>63</v>
      </c>
      <c r="E32" s="958"/>
      <c r="F32" s="959"/>
      <c r="G32" s="959"/>
      <c r="H32" s="959"/>
      <c r="I32" s="959"/>
      <c r="J32" s="959"/>
      <c r="K32" s="960"/>
      <c r="L32" s="358"/>
      <c r="M32" s="459"/>
    </row>
    <row r="33" spans="2:13" ht="5.25" customHeight="1">
      <c r="B33" s="653"/>
      <c r="C33" s="928"/>
      <c r="D33" s="569"/>
      <c r="E33" s="961"/>
      <c r="F33" s="123"/>
      <c r="G33" s="123"/>
      <c r="H33" s="123"/>
      <c r="I33" s="123"/>
      <c r="J33" s="123"/>
      <c r="K33" s="357"/>
      <c r="L33" s="358"/>
      <c r="M33" s="459"/>
    </row>
    <row r="34" spans="2:13" ht="12.75">
      <c r="B34" s="653"/>
      <c r="C34" s="928"/>
      <c r="D34" s="357"/>
      <c r="E34" s="785" t="s">
        <v>302</v>
      </c>
      <c r="F34" s="113"/>
      <c r="G34" s="124"/>
      <c r="H34" s="115"/>
      <c r="I34" s="952" t="str">
        <f t="shared" si="1"/>
        <v> </v>
      </c>
      <c r="J34" s="953">
        <f t="shared" si="0"/>
      </c>
      <c r="K34" s="1569"/>
      <c r="L34" s="962"/>
      <c r="M34" s="459"/>
    </row>
    <row r="35" spans="2:13" ht="12.75">
      <c r="B35" s="653"/>
      <c r="C35" s="928"/>
      <c r="D35" s="357"/>
      <c r="E35" s="785" t="s">
        <v>303</v>
      </c>
      <c r="F35" s="125"/>
      <c r="G35" s="117"/>
      <c r="H35" s="118"/>
      <c r="I35" s="952" t="str">
        <f t="shared" si="1"/>
        <v> </v>
      </c>
      <c r="J35" s="953">
        <f t="shared" si="0"/>
      </c>
      <c r="K35" s="1572"/>
      <c r="L35" s="962"/>
      <c r="M35" s="459"/>
    </row>
    <row r="36" spans="2:13" ht="12.75">
      <c r="B36" s="653"/>
      <c r="C36" s="928"/>
      <c r="D36" s="357"/>
      <c r="E36" s="785" t="s">
        <v>64</v>
      </c>
      <c r="F36" s="125"/>
      <c r="G36" s="117"/>
      <c r="H36" s="118"/>
      <c r="I36" s="952" t="str">
        <f t="shared" si="1"/>
        <v> </v>
      </c>
      <c r="J36" s="953">
        <f t="shared" si="0"/>
      </c>
      <c r="K36" s="1572"/>
      <c r="L36" s="962"/>
      <c r="M36" s="459"/>
    </row>
    <row r="37" spans="2:13" ht="12.75">
      <c r="B37" s="653"/>
      <c r="C37" s="928"/>
      <c r="D37" s="357"/>
      <c r="E37" s="785" t="s">
        <v>297</v>
      </c>
      <c r="F37" s="125"/>
      <c r="G37" s="117"/>
      <c r="H37" s="118"/>
      <c r="I37" s="952" t="str">
        <f t="shared" si="1"/>
        <v> </v>
      </c>
      <c r="J37" s="953">
        <f t="shared" si="0"/>
      </c>
      <c r="K37" s="1572"/>
      <c r="L37" s="962"/>
      <c r="M37" s="459"/>
    </row>
    <row r="38" spans="2:13" ht="12.75">
      <c r="B38" s="653"/>
      <c r="C38" s="928"/>
      <c r="D38" s="357"/>
      <c r="E38" s="785" t="s">
        <v>65</v>
      </c>
      <c r="F38" s="125"/>
      <c r="G38" s="117"/>
      <c r="H38" s="118"/>
      <c r="I38" s="952" t="str">
        <f t="shared" si="1"/>
        <v> </v>
      </c>
      <c r="J38" s="953">
        <f t="shared" si="0"/>
      </c>
      <c r="K38" s="1572"/>
      <c r="L38" s="962"/>
      <c r="M38" s="459"/>
    </row>
    <row r="39" spans="2:13" ht="12.75">
      <c r="B39" s="653"/>
      <c r="C39" s="928"/>
      <c r="D39" s="357"/>
      <c r="E39" s="785" t="s">
        <v>296</v>
      </c>
      <c r="F39" s="125"/>
      <c r="G39" s="117"/>
      <c r="H39" s="118"/>
      <c r="I39" s="952" t="str">
        <f t="shared" si="1"/>
        <v> </v>
      </c>
      <c r="J39" s="953">
        <f t="shared" si="0"/>
      </c>
      <c r="K39" s="1572"/>
      <c r="L39" s="962"/>
      <c r="M39" s="459"/>
    </row>
    <row r="40" spans="2:13" ht="12.75">
      <c r="B40" s="653"/>
      <c r="C40" s="928"/>
      <c r="D40" s="357"/>
      <c r="E40" s="785" t="s">
        <v>12</v>
      </c>
      <c r="F40" s="125"/>
      <c r="G40" s="117"/>
      <c r="H40" s="118"/>
      <c r="I40" s="952" t="str">
        <f t="shared" si="1"/>
        <v> </v>
      </c>
      <c r="J40" s="953">
        <f t="shared" si="0"/>
      </c>
      <c r="K40" s="1572"/>
      <c r="L40" s="962"/>
      <c r="M40" s="459"/>
    </row>
    <row r="41" spans="2:13" ht="12.75">
      <c r="B41" s="653"/>
      <c r="C41" s="928"/>
      <c r="D41" s="357"/>
      <c r="E41" s="785" t="s">
        <v>298</v>
      </c>
      <c r="F41" s="125"/>
      <c r="G41" s="117"/>
      <c r="H41" s="118"/>
      <c r="I41" s="952" t="str">
        <f t="shared" si="1"/>
        <v> </v>
      </c>
      <c r="J41" s="953">
        <f t="shared" si="0"/>
      </c>
      <c r="K41" s="1572"/>
      <c r="L41" s="962"/>
      <c r="M41" s="459"/>
    </row>
    <row r="42" spans="2:13" ht="12.75" hidden="1">
      <c r="B42" s="653"/>
      <c r="C42" s="928"/>
      <c r="D42" s="357"/>
      <c r="E42" s="861" t="s">
        <v>310</v>
      </c>
      <c r="F42" s="116"/>
      <c r="G42" s="117"/>
      <c r="H42" s="118"/>
      <c r="I42" s="952" t="str">
        <f t="shared" si="1"/>
        <v> </v>
      </c>
      <c r="J42" s="953">
        <f t="shared" si="0"/>
      </c>
      <c r="K42" s="1573"/>
      <c r="L42" s="954"/>
      <c r="M42" s="459"/>
    </row>
    <row r="43" spans="2:13" ht="13.5" thickBot="1">
      <c r="B43" s="653"/>
      <c r="C43" s="928"/>
      <c r="D43" s="357"/>
      <c r="E43" s="955" t="s">
        <v>331</v>
      </c>
      <c r="F43" s="119"/>
      <c r="G43" s="126"/>
      <c r="H43" s="121"/>
      <c r="I43" s="952" t="str">
        <f t="shared" si="1"/>
        <v> </v>
      </c>
      <c r="J43" s="953">
        <f t="shared" si="0"/>
      </c>
      <c r="K43" s="1594"/>
      <c r="L43" s="956"/>
      <c r="M43" s="459"/>
    </row>
    <row r="44" spans="2:13" ht="5.25" customHeight="1">
      <c r="B44" s="653"/>
      <c r="C44" s="928"/>
      <c r="D44" s="357"/>
      <c r="E44" s="957"/>
      <c r="F44" s="123"/>
      <c r="G44" s="123"/>
      <c r="H44" s="123"/>
      <c r="I44" s="123"/>
      <c r="J44" s="123"/>
      <c r="K44" s="112"/>
      <c r="L44" s="956"/>
      <c r="M44" s="459"/>
    </row>
    <row r="45" spans="2:13" ht="14.25">
      <c r="B45" s="653"/>
      <c r="C45" s="928"/>
      <c r="D45" s="807" t="s">
        <v>13</v>
      </c>
      <c r="E45" s="958"/>
      <c r="F45" s="959"/>
      <c r="G45" s="959"/>
      <c r="H45" s="959"/>
      <c r="I45" s="959"/>
      <c r="J45" s="959"/>
      <c r="K45" s="960"/>
      <c r="L45" s="358"/>
      <c r="M45" s="459"/>
    </row>
    <row r="46" spans="2:13" ht="5.25" customHeight="1">
      <c r="B46" s="653"/>
      <c r="C46" s="928"/>
      <c r="D46" s="357"/>
      <c r="E46" s="961"/>
      <c r="F46" s="123"/>
      <c r="G46" s="123"/>
      <c r="H46" s="123"/>
      <c r="I46" s="123"/>
      <c r="J46" s="123"/>
      <c r="K46" s="357"/>
      <c r="L46" s="358"/>
      <c r="M46" s="459"/>
    </row>
    <row r="47" spans="2:13" ht="12.75">
      <c r="B47" s="653"/>
      <c r="C47" s="928"/>
      <c r="D47" s="357"/>
      <c r="E47" s="785" t="s">
        <v>213</v>
      </c>
      <c r="F47" s="127"/>
      <c r="G47" s="124"/>
      <c r="H47" s="128"/>
      <c r="I47" s="952" t="str">
        <f t="shared" si="1"/>
        <v> </v>
      </c>
      <c r="J47" s="953">
        <f t="shared" si="0"/>
      </c>
      <c r="K47" s="1569"/>
      <c r="L47" s="962"/>
      <c r="M47" s="459"/>
    </row>
    <row r="48" spans="2:13" ht="12.75">
      <c r="B48" s="653"/>
      <c r="C48" s="928"/>
      <c r="D48" s="357"/>
      <c r="E48" s="785" t="s">
        <v>338</v>
      </c>
      <c r="F48" s="125"/>
      <c r="G48" s="117"/>
      <c r="H48" s="129"/>
      <c r="I48" s="952" t="str">
        <f t="shared" si="1"/>
        <v> </v>
      </c>
      <c r="J48" s="953">
        <f t="shared" si="0"/>
      </c>
      <c r="K48" s="1572"/>
      <c r="L48" s="962"/>
      <c r="M48" s="459"/>
    </row>
    <row r="49" spans="2:13" ht="12.75">
      <c r="B49" s="653"/>
      <c r="C49" s="928"/>
      <c r="D49" s="357"/>
      <c r="E49" s="785" t="s">
        <v>339</v>
      </c>
      <c r="F49" s="125"/>
      <c r="G49" s="117"/>
      <c r="H49" s="129"/>
      <c r="I49" s="952" t="str">
        <f t="shared" si="1"/>
        <v> </v>
      </c>
      <c r="J49" s="953">
        <f t="shared" si="0"/>
      </c>
      <c r="K49" s="1572"/>
      <c r="L49" s="962"/>
      <c r="M49" s="459"/>
    </row>
    <row r="50" spans="2:13" ht="12.75">
      <c r="B50" s="653"/>
      <c r="C50" s="928"/>
      <c r="D50" s="357"/>
      <c r="E50" s="785" t="s">
        <v>293</v>
      </c>
      <c r="F50" s="125"/>
      <c r="G50" s="117"/>
      <c r="H50" s="129"/>
      <c r="I50" s="952" t="str">
        <f t="shared" si="1"/>
        <v> </v>
      </c>
      <c r="J50" s="953">
        <f t="shared" si="0"/>
      </c>
      <c r="K50" s="1572"/>
      <c r="L50" s="962"/>
      <c r="M50" s="459"/>
    </row>
    <row r="51" spans="2:13" ht="13.5" thickBot="1">
      <c r="B51" s="653"/>
      <c r="C51" s="928"/>
      <c r="D51" s="357"/>
      <c r="E51" s="955" t="s">
        <v>331</v>
      </c>
      <c r="F51" s="130"/>
      <c r="G51" s="126"/>
      <c r="H51" s="131"/>
      <c r="I51" s="952" t="str">
        <f t="shared" si="1"/>
        <v> </v>
      </c>
      <c r="J51" s="953">
        <f t="shared" si="0"/>
      </c>
      <c r="K51" s="1571"/>
      <c r="L51" s="956"/>
      <c r="M51" s="459"/>
    </row>
    <row r="52" spans="2:13" ht="5.25" customHeight="1">
      <c r="B52" s="653"/>
      <c r="C52" s="928"/>
      <c r="D52" s="357"/>
      <c r="E52" s="957"/>
      <c r="F52" s="123"/>
      <c r="G52" s="123"/>
      <c r="H52" s="123"/>
      <c r="I52" s="123"/>
      <c r="J52" s="123"/>
      <c r="K52" s="137"/>
      <c r="L52" s="956"/>
      <c r="M52" s="459"/>
    </row>
    <row r="53" spans="2:13" ht="14.25">
      <c r="B53" s="653"/>
      <c r="C53" s="928"/>
      <c r="D53" s="807" t="s">
        <v>30</v>
      </c>
      <c r="E53" s="960"/>
      <c r="F53" s="959"/>
      <c r="G53" s="959"/>
      <c r="H53" s="959"/>
      <c r="I53" s="959"/>
      <c r="J53" s="959"/>
      <c r="K53" s="960"/>
      <c r="L53" s="358"/>
      <c r="M53" s="459"/>
    </row>
    <row r="54" spans="2:13" ht="5.25" customHeight="1">
      <c r="B54" s="653"/>
      <c r="C54" s="928"/>
      <c r="D54" s="569"/>
      <c r="E54" s="357"/>
      <c r="F54" s="123"/>
      <c r="G54" s="123"/>
      <c r="H54" s="123"/>
      <c r="I54" s="123"/>
      <c r="J54" s="123"/>
      <c r="K54" s="357"/>
      <c r="L54" s="358"/>
      <c r="M54" s="459"/>
    </row>
    <row r="55" spans="2:13" ht="12.75">
      <c r="B55" s="653"/>
      <c r="C55" s="928"/>
      <c r="D55" s="357"/>
      <c r="E55" s="785" t="s">
        <v>436</v>
      </c>
      <c r="F55" s="127"/>
      <c r="G55" s="124"/>
      <c r="H55" s="128"/>
      <c r="I55" s="952" t="str">
        <f t="shared" si="1"/>
        <v> </v>
      </c>
      <c r="J55" s="953">
        <f t="shared" si="0"/>
      </c>
      <c r="K55" s="1566"/>
      <c r="L55" s="962"/>
      <c r="M55" s="459"/>
    </row>
    <row r="56" spans="2:13" ht="12.75">
      <c r="B56" s="653"/>
      <c r="C56" s="928"/>
      <c r="D56" s="357"/>
      <c r="E56" s="785" t="s">
        <v>340</v>
      </c>
      <c r="F56" s="125"/>
      <c r="G56" s="117"/>
      <c r="H56" s="129"/>
      <c r="I56" s="952" t="str">
        <f t="shared" si="1"/>
        <v> </v>
      </c>
      <c r="J56" s="953">
        <f t="shared" si="0"/>
      </c>
      <c r="K56" s="1574"/>
      <c r="L56" s="962"/>
      <c r="M56" s="459"/>
    </row>
    <row r="57" spans="2:13" ht="12.75">
      <c r="B57" s="653"/>
      <c r="C57" s="928"/>
      <c r="D57" s="357"/>
      <c r="E57" s="785" t="s">
        <v>420</v>
      </c>
      <c r="F57" s="125"/>
      <c r="G57" s="117"/>
      <c r="H57" s="129"/>
      <c r="I57" s="952" t="str">
        <f t="shared" si="1"/>
        <v> </v>
      </c>
      <c r="J57" s="953">
        <f t="shared" si="0"/>
      </c>
      <c r="K57" s="1574"/>
      <c r="L57" s="962"/>
      <c r="M57" s="459"/>
    </row>
    <row r="58" spans="2:13" ht="12.75">
      <c r="B58" s="653"/>
      <c r="C58" s="928"/>
      <c r="D58" s="357"/>
      <c r="E58" s="785" t="s">
        <v>419</v>
      </c>
      <c r="F58" s="125"/>
      <c r="G58" s="117"/>
      <c r="H58" s="129"/>
      <c r="I58" s="952" t="str">
        <f t="shared" si="1"/>
        <v> </v>
      </c>
      <c r="J58" s="953">
        <f t="shared" si="0"/>
      </c>
      <c r="K58" s="1574"/>
      <c r="L58" s="962"/>
      <c r="M58" s="459"/>
    </row>
    <row r="59" spans="2:13" ht="12.75">
      <c r="B59" s="653"/>
      <c r="C59" s="928"/>
      <c r="D59" s="357"/>
      <c r="E59" s="785" t="s">
        <v>31</v>
      </c>
      <c r="F59" s="125"/>
      <c r="G59" s="117"/>
      <c r="H59" s="129"/>
      <c r="I59" s="952" t="str">
        <f t="shared" si="1"/>
        <v> </v>
      </c>
      <c r="J59" s="953">
        <f t="shared" si="0"/>
      </c>
      <c r="K59" s="1574"/>
      <c r="L59" s="962"/>
      <c r="M59" s="459"/>
    </row>
    <row r="60" spans="2:13" ht="12.75">
      <c r="B60" s="653"/>
      <c r="C60" s="928"/>
      <c r="D60" s="357"/>
      <c r="E60" s="785" t="s">
        <v>32</v>
      </c>
      <c r="F60" s="125"/>
      <c r="G60" s="117"/>
      <c r="H60" s="129"/>
      <c r="I60" s="952" t="str">
        <f t="shared" si="1"/>
        <v> </v>
      </c>
      <c r="J60" s="953">
        <f t="shared" si="0"/>
      </c>
      <c r="K60" s="1574"/>
      <c r="L60" s="962"/>
      <c r="M60" s="459"/>
    </row>
    <row r="61" spans="2:13" ht="12.75">
      <c r="B61" s="653"/>
      <c r="C61" s="928"/>
      <c r="D61" s="357"/>
      <c r="E61" s="785" t="s">
        <v>33</v>
      </c>
      <c r="F61" s="125"/>
      <c r="G61" s="117"/>
      <c r="H61" s="129"/>
      <c r="I61" s="952" t="str">
        <f t="shared" si="1"/>
        <v> </v>
      </c>
      <c r="J61" s="953">
        <f t="shared" si="0"/>
      </c>
      <c r="K61" s="1574"/>
      <c r="L61" s="962"/>
      <c r="M61" s="459"/>
    </row>
    <row r="62" spans="2:13" ht="12.75">
      <c r="B62" s="653"/>
      <c r="C62" s="928"/>
      <c r="D62" s="357"/>
      <c r="E62" s="785" t="s">
        <v>124</v>
      </c>
      <c r="F62" s="125"/>
      <c r="G62" s="117"/>
      <c r="H62" s="129"/>
      <c r="I62" s="952" t="str">
        <f t="shared" si="1"/>
        <v> </v>
      </c>
      <c r="J62" s="953">
        <f t="shared" si="0"/>
      </c>
      <c r="K62" s="1574"/>
      <c r="L62" s="962"/>
      <c r="M62" s="459"/>
    </row>
    <row r="63" spans="2:13" ht="13.5" thickBot="1">
      <c r="B63" s="653"/>
      <c r="C63" s="928"/>
      <c r="D63" s="357"/>
      <c r="E63" s="963" t="s">
        <v>331</v>
      </c>
      <c r="F63" s="130"/>
      <c r="G63" s="126"/>
      <c r="H63" s="131"/>
      <c r="I63" s="952" t="str">
        <f t="shared" si="1"/>
        <v> </v>
      </c>
      <c r="J63" s="953">
        <f t="shared" si="0"/>
      </c>
      <c r="K63" s="1568"/>
      <c r="L63" s="956"/>
      <c r="M63" s="459"/>
    </row>
    <row r="64" spans="2:13" ht="5.25" customHeight="1">
      <c r="B64" s="653"/>
      <c r="C64" s="928"/>
      <c r="D64" s="357"/>
      <c r="E64" s="957"/>
      <c r="F64" s="123"/>
      <c r="G64" s="123"/>
      <c r="H64" s="123"/>
      <c r="I64" s="123"/>
      <c r="J64" s="123"/>
      <c r="K64" s="137"/>
      <c r="L64" s="956"/>
      <c r="M64" s="459"/>
    </row>
    <row r="65" spans="2:13" ht="14.25">
      <c r="B65" s="653"/>
      <c r="C65" s="928"/>
      <c r="D65" s="807" t="s">
        <v>35</v>
      </c>
      <c r="E65" s="960"/>
      <c r="F65" s="959"/>
      <c r="G65" s="959"/>
      <c r="H65" s="959"/>
      <c r="I65" s="959"/>
      <c r="J65" s="959"/>
      <c r="K65" s="960"/>
      <c r="L65" s="358"/>
      <c r="M65" s="459"/>
    </row>
    <row r="66" spans="2:13" ht="5.25" customHeight="1">
      <c r="B66" s="653"/>
      <c r="C66" s="928"/>
      <c r="D66" s="357"/>
      <c r="E66" s="357"/>
      <c r="F66" s="123"/>
      <c r="G66" s="123"/>
      <c r="H66" s="123"/>
      <c r="I66" s="123"/>
      <c r="J66" s="123"/>
      <c r="K66" s="357"/>
      <c r="L66" s="358"/>
      <c r="M66" s="459"/>
    </row>
    <row r="67" spans="2:13" ht="12.75">
      <c r="B67" s="653"/>
      <c r="C67" s="928"/>
      <c r="D67" s="357"/>
      <c r="E67" s="785" t="s">
        <v>36</v>
      </c>
      <c r="F67" s="127"/>
      <c r="G67" s="124"/>
      <c r="H67" s="128"/>
      <c r="I67" s="952" t="str">
        <f t="shared" si="1"/>
        <v> </v>
      </c>
      <c r="J67" s="953">
        <f t="shared" si="0"/>
      </c>
      <c r="K67" s="1569"/>
      <c r="L67" s="962"/>
      <c r="M67" s="459"/>
    </row>
    <row r="68" spans="2:13" ht="12.75">
      <c r="B68" s="653"/>
      <c r="C68" s="928"/>
      <c r="D68" s="357"/>
      <c r="E68" s="785" t="s">
        <v>122</v>
      </c>
      <c r="F68" s="125"/>
      <c r="G68" s="117"/>
      <c r="H68" s="129"/>
      <c r="I68" s="952" t="str">
        <f t="shared" si="1"/>
        <v> </v>
      </c>
      <c r="J68" s="953">
        <f t="shared" si="0"/>
      </c>
      <c r="K68" s="1575"/>
      <c r="L68" s="962"/>
      <c r="M68" s="459"/>
    </row>
    <row r="69" spans="2:13" ht="13.5" thickBot="1">
      <c r="B69" s="653"/>
      <c r="C69" s="928"/>
      <c r="D69" s="357"/>
      <c r="E69" s="963" t="s">
        <v>331</v>
      </c>
      <c r="F69" s="130"/>
      <c r="G69" s="126"/>
      <c r="H69" s="131"/>
      <c r="I69" s="952" t="str">
        <f t="shared" si="1"/>
        <v> </v>
      </c>
      <c r="J69" s="953">
        <f t="shared" si="0"/>
      </c>
      <c r="K69" s="1571"/>
      <c r="L69" s="956"/>
      <c r="M69" s="459"/>
    </row>
    <row r="70" spans="2:13" ht="5.25" customHeight="1">
      <c r="B70" s="653"/>
      <c r="C70" s="928"/>
      <c r="D70" s="357"/>
      <c r="E70" s="957"/>
      <c r="F70" s="123"/>
      <c r="G70" s="123"/>
      <c r="H70" s="123"/>
      <c r="I70" s="123"/>
      <c r="J70" s="123"/>
      <c r="K70" s="137"/>
      <c r="L70" s="956"/>
      <c r="M70" s="459"/>
    </row>
    <row r="71" spans="2:13" ht="14.25">
      <c r="B71" s="653"/>
      <c r="C71" s="928"/>
      <c r="D71" s="807" t="s">
        <v>37</v>
      </c>
      <c r="E71" s="73"/>
      <c r="F71" s="55"/>
      <c r="G71" s="55"/>
      <c r="H71" s="55"/>
      <c r="I71" s="959"/>
      <c r="J71" s="959"/>
      <c r="K71" s="73"/>
      <c r="L71" s="358"/>
      <c r="M71" s="459"/>
    </row>
    <row r="72" spans="2:13" ht="5.25" customHeight="1">
      <c r="B72" s="653"/>
      <c r="C72" s="928"/>
      <c r="D72" s="357"/>
      <c r="E72" s="357"/>
      <c r="F72" s="123"/>
      <c r="G72" s="123"/>
      <c r="H72" s="123"/>
      <c r="I72" s="123"/>
      <c r="J72" s="123"/>
      <c r="K72" s="357"/>
      <c r="L72" s="358"/>
      <c r="M72" s="459"/>
    </row>
    <row r="73" spans="2:13" ht="12.75">
      <c r="B73" s="653"/>
      <c r="C73" s="928"/>
      <c r="D73" s="357"/>
      <c r="E73" s="781" t="s">
        <v>207</v>
      </c>
      <c r="F73" s="127"/>
      <c r="G73" s="124"/>
      <c r="H73" s="128"/>
      <c r="I73" s="952" t="str">
        <f t="shared" si="1"/>
        <v> </v>
      </c>
      <c r="J73" s="953">
        <f t="shared" si="0"/>
      </c>
      <c r="K73" s="1569"/>
      <c r="L73" s="962"/>
      <c r="M73" s="459"/>
    </row>
    <row r="74" spans="2:13" ht="12.75">
      <c r="B74" s="653"/>
      <c r="C74" s="928"/>
      <c r="D74" s="357"/>
      <c r="E74" s="785" t="s">
        <v>208</v>
      </c>
      <c r="F74" s="125"/>
      <c r="G74" s="117"/>
      <c r="H74" s="129"/>
      <c r="I74" s="952" t="str">
        <f t="shared" si="1"/>
        <v> </v>
      </c>
      <c r="J74" s="953">
        <f t="shared" si="0"/>
      </c>
      <c r="K74" s="1572"/>
      <c r="L74" s="962"/>
      <c r="M74" s="459"/>
    </row>
    <row r="75" spans="2:13" ht="12.75">
      <c r="B75" s="653"/>
      <c r="C75" s="928"/>
      <c r="D75" s="357"/>
      <c r="E75" s="785" t="s">
        <v>209</v>
      </c>
      <c r="F75" s="125"/>
      <c r="G75" s="117"/>
      <c r="H75" s="129"/>
      <c r="I75" s="952" t="str">
        <f t="shared" si="1"/>
        <v> </v>
      </c>
      <c r="J75" s="953">
        <f t="shared" si="0"/>
      </c>
      <c r="K75" s="1572"/>
      <c r="L75" s="962"/>
      <c r="M75" s="459"/>
    </row>
    <row r="76" spans="2:13" ht="12.75">
      <c r="B76" s="653"/>
      <c r="C76" s="928"/>
      <c r="D76" s="357"/>
      <c r="E76" s="785" t="s">
        <v>121</v>
      </c>
      <c r="F76" s="125"/>
      <c r="G76" s="117"/>
      <c r="H76" s="129"/>
      <c r="I76" s="952" t="str">
        <f t="shared" si="1"/>
        <v> </v>
      </c>
      <c r="J76" s="953">
        <f t="shared" si="0"/>
      </c>
      <c r="K76" s="1572"/>
      <c r="L76" s="962"/>
      <c r="M76" s="459"/>
    </row>
    <row r="77" spans="2:13" ht="13.5" thickBot="1">
      <c r="B77" s="653"/>
      <c r="C77" s="928"/>
      <c r="D77" s="357"/>
      <c r="E77" s="963" t="s">
        <v>331</v>
      </c>
      <c r="F77" s="130"/>
      <c r="G77" s="126"/>
      <c r="H77" s="131"/>
      <c r="I77" s="952" t="str">
        <f t="shared" si="1"/>
        <v> </v>
      </c>
      <c r="J77" s="953">
        <f t="shared" si="0"/>
      </c>
      <c r="K77" s="1571"/>
      <c r="L77" s="956"/>
      <c r="M77" s="459"/>
    </row>
    <row r="78" spans="2:13" ht="5.25" customHeight="1">
      <c r="B78" s="653"/>
      <c r="C78" s="928"/>
      <c r="D78" s="357"/>
      <c r="E78" s="957"/>
      <c r="F78" s="123"/>
      <c r="G78" s="123"/>
      <c r="H78" s="123"/>
      <c r="I78" s="123"/>
      <c r="J78" s="123"/>
      <c r="K78" s="137"/>
      <c r="L78" s="956"/>
      <c r="M78" s="459"/>
    </row>
    <row r="79" spans="2:13" ht="14.25">
      <c r="B79" s="653"/>
      <c r="C79" s="928"/>
      <c r="D79" s="807" t="s">
        <v>39</v>
      </c>
      <c r="E79" s="960"/>
      <c r="F79" s="959"/>
      <c r="G79" s="959"/>
      <c r="H79" s="959"/>
      <c r="I79" s="959"/>
      <c r="J79" s="959"/>
      <c r="K79" s="960"/>
      <c r="L79" s="358"/>
      <c r="M79" s="459"/>
    </row>
    <row r="80" spans="2:13" ht="5.25" customHeight="1">
      <c r="B80" s="653"/>
      <c r="C80" s="928"/>
      <c r="D80" s="357"/>
      <c r="E80" s="357"/>
      <c r="F80" s="123"/>
      <c r="G80" s="123"/>
      <c r="H80" s="123"/>
      <c r="I80" s="123"/>
      <c r="J80" s="123"/>
      <c r="K80" s="357"/>
      <c r="L80" s="358"/>
      <c r="M80" s="459"/>
    </row>
    <row r="81" spans="2:13" ht="12.75">
      <c r="B81" s="653"/>
      <c r="C81" s="928"/>
      <c r="D81" s="357"/>
      <c r="E81" s="785" t="s">
        <v>206</v>
      </c>
      <c r="F81" s="127"/>
      <c r="G81" s="124"/>
      <c r="H81" s="128"/>
      <c r="I81" s="952" t="str">
        <f t="shared" si="1"/>
        <v> </v>
      </c>
      <c r="J81" s="953">
        <f t="shared" si="0"/>
      </c>
      <c r="K81" s="1569"/>
      <c r="L81" s="962"/>
      <c r="M81" s="459"/>
    </row>
    <row r="82" spans="2:13" ht="12.75">
      <c r="B82" s="653"/>
      <c r="C82" s="928"/>
      <c r="D82" s="357"/>
      <c r="E82" s="785" t="s">
        <v>40</v>
      </c>
      <c r="F82" s="125"/>
      <c r="G82" s="117"/>
      <c r="H82" s="129"/>
      <c r="I82" s="952" t="str">
        <f t="shared" si="1"/>
        <v> </v>
      </c>
      <c r="J82" s="953">
        <f t="shared" si="0"/>
      </c>
      <c r="K82" s="1572"/>
      <c r="L82" s="962"/>
      <c r="M82" s="459"/>
    </row>
    <row r="83" spans="2:13" ht="12.75">
      <c r="B83" s="653"/>
      <c r="C83" s="928"/>
      <c r="D83" s="357"/>
      <c r="E83" s="785" t="s">
        <v>120</v>
      </c>
      <c r="F83" s="125"/>
      <c r="G83" s="117"/>
      <c r="H83" s="129"/>
      <c r="I83" s="952" t="str">
        <f t="shared" si="1"/>
        <v> </v>
      </c>
      <c r="J83" s="953">
        <f t="shared" si="0"/>
      </c>
      <c r="K83" s="1572"/>
      <c r="L83" s="962"/>
      <c r="M83" s="459"/>
    </row>
    <row r="84" spans="2:13" ht="13.5" thickBot="1">
      <c r="B84" s="653"/>
      <c r="C84" s="928"/>
      <c r="D84" s="357"/>
      <c r="E84" s="963" t="s">
        <v>331</v>
      </c>
      <c r="F84" s="130"/>
      <c r="G84" s="126"/>
      <c r="H84" s="131"/>
      <c r="I84" s="952" t="str">
        <f t="shared" si="1"/>
        <v> </v>
      </c>
      <c r="J84" s="953">
        <f t="shared" si="0"/>
      </c>
      <c r="K84" s="1571"/>
      <c r="L84" s="956"/>
      <c r="M84" s="459"/>
    </row>
    <row r="85" spans="2:13" ht="5.25" customHeight="1">
      <c r="B85" s="653"/>
      <c r="C85" s="928"/>
      <c r="D85" s="357"/>
      <c r="E85" s="957"/>
      <c r="F85" s="123"/>
      <c r="G85" s="123"/>
      <c r="H85" s="123"/>
      <c r="I85" s="123"/>
      <c r="J85" s="123"/>
      <c r="K85" s="137"/>
      <c r="L85" s="956"/>
      <c r="M85" s="459"/>
    </row>
    <row r="86" spans="2:13" ht="14.25">
      <c r="B86" s="653"/>
      <c r="C86" s="928"/>
      <c r="D86" s="807" t="s">
        <v>41</v>
      </c>
      <c r="E86" s="73"/>
      <c r="F86" s="55"/>
      <c r="G86" s="55"/>
      <c r="H86" s="55"/>
      <c r="I86" s="959"/>
      <c r="J86" s="959"/>
      <c r="K86" s="73"/>
      <c r="L86" s="358"/>
      <c r="M86" s="459"/>
    </row>
    <row r="87" spans="2:13" ht="5.25" customHeight="1">
      <c r="B87" s="653"/>
      <c r="C87" s="928"/>
      <c r="D87" s="357"/>
      <c r="E87" s="357"/>
      <c r="F87" s="123"/>
      <c r="G87" s="123"/>
      <c r="H87" s="123"/>
      <c r="I87" s="123"/>
      <c r="J87" s="123"/>
      <c r="K87" s="357"/>
      <c r="L87" s="358"/>
      <c r="M87" s="459"/>
    </row>
    <row r="88" spans="2:13" ht="12.75">
      <c r="B88" s="653"/>
      <c r="C88" s="928"/>
      <c r="D88" s="357"/>
      <c r="E88" s="781" t="s">
        <v>42</v>
      </c>
      <c r="F88" s="127"/>
      <c r="G88" s="124"/>
      <c r="H88" s="128"/>
      <c r="I88" s="952" t="str">
        <f t="shared" si="1"/>
        <v> </v>
      </c>
      <c r="J88" s="953">
        <f aca="true" t="shared" si="2" ref="J88:J138">IF(G88=0,"",((H88-G88)/G88))</f>
      </c>
      <c r="K88" s="1569"/>
      <c r="L88" s="962"/>
      <c r="M88" s="459"/>
    </row>
    <row r="89" spans="2:13" ht="12.75">
      <c r="B89" s="653"/>
      <c r="C89" s="928"/>
      <c r="D89" s="357"/>
      <c r="E89" s="794" t="s">
        <v>214</v>
      </c>
      <c r="F89" s="125"/>
      <c r="G89" s="117"/>
      <c r="H89" s="129"/>
      <c r="I89" s="952" t="str">
        <f aca="true" t="shared" si="3" ref="I89:I138">IF(F89=0," ",(G89-F89)/F89)</f>
        <v> </v>
      </c>
      <c r="J89" s="953">
        <f t="shared" si="2"/>
      </c>
      <c r="K89" s="1572"/>
      <c r="L89" s="962"/>
      <c r="M89" s="459"/>
    </row>
    <row r="90" spans="2:13" ht="12.75">
      <c r="B90" s="653"/>
      <c r="C90" s="928"/>
      <c r="D90" s="357"/>
      <c r="E90" s="794" t="s">
        <v>215</v>
      </c>
      <c r="F90" s="125"/>
      <c r="G90" s="117"/>
      <c r="H90" s="129"/>
      <c r="I90" s="952" t="str">
        <f t="shared" si="3"/>
        <v> </v>
      </c>
      <c r="J90" s="953">
        <f t="shared" si="2"/>
      </c>
      <c r="K90" s="1572"/>
      <c r="L90" s="962"/>
      <c r="M90" s="459"/>
    </row>
    <row r="91" spans="2:13" ht="12.75">
      <c r="B91" s="653"/>
      <c r="C91" s="928"/>
      <c r="D91" s="357"/>
      <c r="E91" s="781" t="s">
        <v>43</v>
      </c>
      <c r="F91" s="125"/>
      <c r="G91" s="117"/>
      <c r="H91" s="129"/>
      <c r="I91" s="952" t="str">
        <f t="shared" si="3"/>
        <v> </v>
      </c>
      <c r="J91" s="953">
        <f t="shared" si="2"/>
      </c>
      <c r="K91" s="1572"/>
      <c r="L91" s="962"/>
      <c r="M91" s="459"/>
    </row>
    <row r="92" spans="2:13" ht="12.75">
      <c r="B92" s="653"/>
      <c r="C92" s="928"/>
      <c r="D92" s="357"/>
      <c r="E92" s="781" t="s">
        <v>123</v>
      </c>
      <c r="F92" s="125"/>
      <c r="G92" s="117"/>
      <c r="H92" s="129"/>
      <c r="I92" s="952" t="str">
        <f t="shared" si="3"/>
        <v> </v>
      </c>
      <c r="J92" s="953">
        <f t="shared" si="2"/>
      </c>
      <c r="K92" s="1573"/>
      <c r="L92" s="962"/>
      <c r="M92" s="459"/>
    </row>
    <row r="93" spans="2:13" ht="13.5" thickBot="1">
      <c r="B93" s="653"/>
      <c r="C93" s="928"/>
      <c r="D93" s="357"/>
      <c r="E93" s="955" t="s">
        <v>331</v>
      </c>
      <c r="F93" s="130"/>
      <c r="G93" s="126"/>
      <c r="H93" s="131"/>
      <c r="I93" s="952" t="str">
        <f t="shared" si="3"/>
        <v> </v>
      </c>
      <c r="J93" s="953">
        <f t="shared" si="2"/>
      </c>
      <c r="K93" s="1571"/>
      <c r="L93" s="956"/>
      <c r="M93" s="459"/>
    </row>
    <row r="94" spans="2:13" ht="5.25" customHeight="1">
      <c r="B94" s="653"/>
      <c r="C94" s="928"/>
      <c r="D94" s="357"/>
      <c r="E94" s="957"/>
      <c r="F94" s="123"/>
      <c r="G94" s="123"/>
      <c r="H94" s="123"/>
      <c r="I94" s="123"/>
      <c r="J94" s="123"/>
      <c r="K94" s="137"/>
      <c r="L94" s="956"/>
      <c r="M94" s="459"/>
    </row>
    <row r="95" spans="2:13" ht="14.25">
      <c r="B95" s="653"/>
      <c r="C95" s="928"/>
      <c r="D95" s="807" t="s">
        <v>113</v>
      </c>
      <c r="E95" s="73"/>
      <c r="F95" s="55"/>
      <c r="G95" s="55"/>
      <c r="H95" s="55"/>
      <c r="I95" s="959"/>
      <c r="J95" s="959"/>
      <c r="K95" s="73"/>
      <c r="L95" s="358"/>
      <c r="M95" s="459"/>
    </row>
    <row r="96" spans="2:13" ht="5.25" customHeight="1">
      <c r="B96" s="653"/>
      <c r="C96" s="928"/>
      <c r="D96" s="357"/>
      <c r="E96" s="357"/>
      <c r="F96" s="123"/>
      <c r="G96" s="123"/>
      <c r="H96" s="123"/>
      <c r="I96" s="123"/>
      <c r="J96" s="123"/>
      <c r="K96" s="357"/>
      <c r="L96" s="358"/>
      <c r="M96" s="459"/>
    </row>
    <row r="97" spans="2:13" ht="12.75">
      <c r="B97" s="653"/>
      <c r="C97" s="928"/>
      <c r="D97" s="357"/>
      <c r="E97" s="785" t="s">
        <v>334</v>
      </c>
      <c r="F97" s="127"/>
      <c r="G97" s="124"/>
      <c r="H97" s="128"/>
      <c r="I97" s="952" t="str">
        <f t="shared" si="3"/>
        <v> </v>
      </c>
      <c r="J97" s="953">
        <f t="shared" si="2"/>
      </c>
      <c r="K97" s="1569"/>
      <c r="L97" s="962"/>
      <c r="M97" s="459"/>
    </row>
    <row r="98" spans="2:13" ht="12.75">
      <c r="B98" s="653"/>
      <c r="C98" s="928"/>
      <c r="D98" s="357"/>
      <c r="E98" s="785" t="s">
        <v>127</v>
      </c>
      <c r="F98" s="125"/>
      <c r="G98" s="117"/>
      <c r="H98" s="129"/>
      <c r="I98" s="952" t="str">
        <f t="shared" si="3"/>
        <v> </v>
      </c>
      <c r="J98" s="953">
        <f t="shared" si="2"/>
      </c>
      <c r="K98" s="1572"/>
      <c r="L98" s="962"/>
      <c r="M98" s="459"/>
    </row>
    <row r="99" spans="2:13" ht="13.5" thickBot="1">
      <c r="B99" s="653"/>
      <c r="C99" s="928"/>
      <c r="D99" s="357"/>
      <c r="E99" s="955" t="s">
        <v>331</v>
      </c>
      <c r="F99" s="130"/>
      <c r="G99" s="126"/>
      <c r="H99" s="131"/>
      <c r="I99" s="952" t="str">
        <f t="shared" si="3"/>
        <v> </v>
      </c>
      <c r="J99" s="953">
        <f t="shared" si="2"/>
      </c>
      <c r="K99" s="1571"/>
      <c r="L99" s="956"/>
      <c r="M99" s="459"/>
    </row>
    <row r="100" spans="2:13" ht="5.25" customHeight="1">
      <c r="B100" s="653"/>
      <c r="C100" s="928"/>
      <c r="D100" s="357"/>
      <c r="E100" s="957"/>
      <c r="F100" s="123"/>
      <c r="G100" s="123"/>
      <c r="H100" s="123"/>
      <c r="I100" s="123"/>
      <c r="J100" s="123"/>
      <c r="K100" s="137"/>
      <c r="L100" s="956"/>
      <c r="M100" s="459"/>
    </row>
    <row r="101" spans="2:13" ht="14.25">
      <c r="B101" s="653"/>
      <c r="C101" s="928"/>
      <c r="D101" s="807" t="s">
        <v>44</v>
      </c>
      <c r="E101" s="73"/>
      <c r="F101" s="55"/>
      <c r="G101" s="55"/>
      <c r="H101" s="55"/>
      <c r="I101" s="959"/>
      <c r="J101" s="959"/>
      <c r="K101" s="73"/>
      <c r="L101" s="358"/>
      <c r="M101" s="459"/>
    </row>
    <row r="102" spans="2:13" ht="5.25" customHeight="1">
      <c r="B102" s="653"/>
      <c r="C102" s="928"/>
      <c r="D102" s="357"/>
      <c r="E102" s="357"/>
      <c r="F102" s="123"/>
      <c r="G102" s="123"/>
      <c r="H102" s="123"/>
      <c r="I102" s="123"/>
      <c r="J102" s="123"/>
      <c r="K102" s="357"/>
      <c r="L102" s="358"/>
      <c r="M102" s="459"/>
    </row>
    <row r="103" spans="2:13" ht="12.75">
      <c r="B103" s="653"/>
      <c r="C103" s="928"/>
      <c r="D103" s="357"/>
      <c r="E103" s="781" t="s">
        <v>210</v>
      </c>
      <c r="F103" s="127"/>
      <c r="G103" s="124"/>
      <c r="H103" s="128"/>
      <c r="I103" s="952" t="str">
        <f t="shared" si="3"/>
        <v> </v>
      </c>
      <c r="J103" s="953">
        <f t="shared" si="2"/>
      </c>
      <c r="K103" s="1569"/>
      <c r="L103" s="962"/>
      <c r="M103" s="459"/>
    </row>
    <row r="104" spans="2:13" ht="12.75">
      <c r="B104" s="653"/>
      <c r="C104" s="928"/>
      <c r="D104" s="357"/>
      <c r="E104" s="781" t="s">
        <v>212</v>
      </c>
      <c r="F104" s="125"/>
      <c r="G104" s="117"/>
      <c r="H104" s="129"/>
      <c r="I104" s="952" t="str">
        <f t="shared" si="3"/>
        <v> </v>
      </c>
      <c r="J104" s="953">
        <f t="shared" si="2"/>
      </c>
      <c r="K104" s="1572"/>
      <c r="L104" s="962"/>
      <c r="M104" s="459"/>
    </row>
    <row r="105" spans="2:13" ht="12.75">
      <c r="B105" s="653"/>
      <c r="C105" s="928"/>
      <c r="D105" s="357"/>
      <c r="E105" s="781" t="s">
        <v>125</v>
      </c>
      <c r="F105" s="125"/>
      <c r="G105" s="117"/>
      <c r="H105" s="129"/>
      <c r="I105" s="952" t="str">
        <f t="shared" si="3"/>
        <v> </v>
      </c>
      <c r="J105" s="953">
        <f t="shared" si="2"/>
      </c>
      <c r="K105" s="1572"/>
      <c r="L105" s="962"/>
      <c r="M105" s="459"/>
    </row>
    <row r="106" spans="2:13" ht="13.5" thickBot="1">
      <c r="B106" s="653"/>
      <c r="C106" s="928"/>
      <c r="D106" s="357"/>
      <c r="E106" s="955" t="s">
        <v>331</v>
      </c>
      <c r="F106" s="130"/>
      <c r="G106" s="126"/>
      <c r="H106" s="131"/>
      <c r="I106" s="952" t="str">
        <f t="shared" si="3"/>
        <v> </v>
      </c>
      <c r="J106" s="953">
        <f t="shared" si="2"/>
      </c>
      <c r="K106" s="1571"/>
      <c r="L106" s="956"/>
      <c r="M106" s="459"/>
    </row>
    <row r="107" spans="2:13" ht="5.25" customHeight="1">
      <c r="B107" s="653"/>
      <c r="C107" s="928"/>
      <c r="D107" s="357"/>
      <c r="E107" s="957"/>
      <c r="F107" s="123"/>
      <c r="G107" s="123"/>
      <c r="H107" s="123"/>
      <c r="I107" s="123"/>
      <c r="J107" s="123"/>
      <c r="K107" s="137"/>
      <c r="L107" s="956"/>
      <c r="M107" s="459"/>
    </row>
    <row r="108" spans="2:13" ht="14.25">
      <c r="B108" s="653"/>
      <c r="C108" s="928"/>
      <c r="D108" s="807" t="s">
        <v>45</v>
      </c>
      <c r="E108" s="73"/>
      <c r="F108" s="55"/>
      <c r="G108" s="55"/>
      <c r="H108" s="55"/>
      <c r="I108" s="959"/>
      <c r="J108" s="959"/>
      <c r="K108" s="73"/>
      <c r="L108" s="358"/>
      <c r="M108" s="459"/>
    </row>
    <row r="109" spans="2:13" ht="5.25" customHeight="1">
      <c r="B109" s="653"/>
      <c r="C109" s="928"/>
      <c r="D109" s="357"/>
      <c r="E109" s="357"/>
      <c r="F109" s="123"/>
      <c r="G109" s="123"/>
      <c r="H109" s="123"/>
      <c r="I109" s="123"/>
      <c r="J109" s="123"/>
      <c r="K109" s="357"/>
      <c r="L109" s="358"/>
      <c r="M109" s="459"/>
    </row>
    <row r="110" spans="2:13" ht="12.75">
      <c r="B110" s="653"/>
      <c r="C110" s="928"/>
      <c r="D110" s="357"/>
      <c r="E110" s="781" t="s">
        <v>211</v>
      </c>
      <c r="F110" s="127"/>
      <c r="G110" s="124"/>
      <c r="H110" s="128"/>
      <c r="I110" s="952" t="str">
        <f t="shared" si="3"/>
        <v> </v>
      </c>
      <c r="J110" s="953">
        <f t="shared" si="2"/>
      </c>
      <c r="K110" s="1569"/>
      <c r="L110" s="962"/>
      <c r="M110" s="459"/>
    </row>
    <row r="111" spans="2:13" ht="12.75">
      <c r="B111" s="653"/>
      <c r="C111" s="928"/>
      <c r="D111" s="357"/>
      <c r="E111" s="781" t="s">
        <v>126</v>
      </c>
      <c r="F111" s="125"/>
      <c r="G111" s="117"/>
      <c r="H111" s="129"/>
      <c r="I111" s="952" t="str">
        <f t="shared" si="3"/>
        <v> </v>
      </c>
      <c r="J111" s="953">
        <f t="shared" si="2"/>
      </c>
      <c r="K111" s="1573"/>
      <c r="L111" s="962"/>
      <c r="M111" s="459"/>
    </row>
    <row r="112" spans="2:13" ht="13.5" thickBot="1">
      <c r="B112" s="653"/>
      <c r="C112" s="928"/>
      <c r="D112" s="357"/>
      <c r="E112" s="955" t="s">
        <v>93</v>
      </c>
      <c r="F112" s="130"/>
      <c r="G112" s="126"/>
      <c r="H112" s="131"/>
      <c r="I112" s="952" t="str">
        <f t="shared" si="3"/>
        <v> </v>
      </c>
      <c r="J112" s="953">
        <f t="shared" si="2"/>
      </c>
      <c r="K112" s="1571"/>
      <c r="L112" s="956"/>
      <c r="M112" s="459"/>
    </row>
    <row r="113" spans="2:13" ht="5.25" customHeight="1">
      <c r="B113" s="653"/>
      <c r="C113" s="928"/>
      <c r="D113" s="357"/>
      <c r="E113" s="957"/>
      <c r="F113" s="123"/>
      <c r="G113" s="123"/>
      <c r="H113" s="123"/>
      <c r="I113" s="123"/>
      <c r="J113" s="123"/>
      <c r="K113" s="137"/>
      <c r="L113" s="956"/>
      <c r="M113" s="459"/>
    </row>
    <row r="114" spans="2:13" ht="14.25">
      <c r="B114" s="653"/>
      <c r="C114" s="928"/>
      <c r="D114" s="807" t="s">
        <v>289</v>
      </c>
      <c r="E114" s="73"/>
      <c r="F114" s="55"/>
      <c r="G114" s="55"/>
      <c r="H114" s="55"/>
      <c r="I114" s="959"/>
      <c r="J114" s="959"/>
      <c r="K114" s="73"/>
      <c r="L114" s="358"/>
      <c r="M114" s="459"/>
    </row>
    <row r="115" spans="2:13" ht="5.25" customHeight="1">
      <c r="B115" s="653"/>
      <c r="C115" s="928"/>
      <c r="D115" s="357"/>
      <c r="E115" s="357"/>
      <c r="F115" s="123"/>
      <c r="G115" s="123"/>
      <c r="H115" s="123"/>
      <c r="I115" s="123"/>
      <c r="J115" s="123"/>
      <c r="K115" s="357"/>
      <c r="L115" s="358"/>
      <c r="M115" s="459"/>
    </row>
    <row r="116" spans="2:13" ht="12.75">
      <c r="B116" s="653"/>
      <c r="C116" s="928"/>
      <c r="D116" s="357"/>
      <c r="E116" s="785" t="s">
        <v>204</v>
      </c>
      <c r="F116" s="127"/>
      <c r="G116" s="124"/>
      <c r="H116" s="128"/>
      <c r="I116" s="952" t="str">
        <f t="shared" si="3"/>
        <v> </v>
      </c>
      <c r="J116" s="953">
        <f t="shared" si="2"/>
      </c>
      <c r="K116" s="1569"/>
      <c r="L116" s="962"/>
      <c r="M116" s="459"/>
    </row>
    <row r="117" spans="2:13" ht="12.75">
      <c r="B117" s="653"/>
      <c r="C117" s="928"/>
      <c r="D117" s="357"/>
      <c r="E117" s="785" t="s">
        <v>205</v>
      </c>
      <c r="F117" s="125"/>
      <c r="G117" s="117"/>
      <c r="H117" s="129"/>
      <c r="I117" s="952" t="str">
        <f t="shared" si="3"/>
        <v> </v>
      </c>
      <c r="J117" s="953">
        <f t="shared" si="2"/>
      </c>
      <c r="K117" s="1579"/>
      <c r="L117" s="962"/>
      <c r="M117" s="459"/>
    </row>
    <row r="118" spans="2:13" ht="12.75">
      <c r="B118" s="653"/>
      <c r="C118" s="928"/>
      <c r="D118" s="357"/>
      <c r="E118" s="785" t="s">
        <v>290</v>
      </c>
      <c r="F118" s="125"/>
      <c r="G118" s="117"/>
      <c r="H118" s="129"/>
      <c r="I118" s="952" t="str">
        <f t="shared" si="3"/>
        <v> </v>
      </c>
      <c r="J118" s="953">
        <f t="shared" si="2"/>
      </c>
      <c r="K118" s="1572"/>
      <c r="L118" s="962"/>
      <c r="M118" s="459"/>
    </row>
    <row r="119" spans="2:13" ht="13.5" thickBot="1">
      <c r="B119" s="653"/>
      <c r="C119" s="928"/>
      <c r="D119" s="357"/>
      <c r="E119" s="955" t="s">
        <v>331</v>
      </c>
      <c r="F119" s="130"/>
      <c r="G119" s="126"/>
      <c r="H119" s="131"/>
      <c r="I119" s="952" t="str">
        <f t="shared" si="3"/>
        <v> </v>
      </c>
      <c r="J119" s="953">
        <f t="shared" si="2"/>
      </c>
      <c r="K119" s="1571"/>
      <c r="L119" s="956"/>
      <c r="M119" s="459"/>
    </row>
    <row r="120" spans="2:13" ht="5.25" customHeight="1">
      <c r="B120" s="653"/>
      <c r="C120" s="928"/>
      <c r="D120" s="357"/>
      <c r="E120" s="957"/>
      <c r="F120" s="123"/>
      <c r="G120" s="123"/>
      <c r="H120" s="123"/>
      <c r="I120" s="123"/>
      <c r="J120" s="123"/>
      <c r="K120" s="137"/>
      <c r="L120" s="956"/>
      <c r="M120" s="459"/>
    </row>
    <row r="121" spans="2:13" ht="14.25">
      <c r="B121" s="653"/>
      <c r="C121" s="928"/>
      <c r="D121" s="807" t="s">
        <v>46</v>
      </c>
      <c r="E121" s="73"/>
      <c r="F121" s="55"/>
      <c r="G121" s="55"/>
      <c r="H121" s="55"/>
      <c r="I121" s="959"/>
      <c r="J121" s="959"/>
      <c r="K121" s="73"/>
      <c r="L121" s="358"/>
      <c r="M121" s="459"/>
    </row>
    <row r="122" spans="2:13" ht="5.25" customHeight="1">
      <c r="B122" s="653"/>
      <c r="C122" s="928"/>
      <c r="D122" s="357"/>
      <c r="E122" s="357"/>
      <c r="F122" s="123"/>
      <c r="G122" s="123"/>
      <c r="H122" s="123"/>
      <c r="I122" s="123"/>
      <c r="J122" s="123"/>
      <c r="K122" s="357"/>
      <c r="L122" s="358"/>
      <c r="M122" s="459"/>
    </row>
    <row r="123" spans="2:13" ht="12.75">
      <c r="B123" s="653"/>
      <c r="C123" s="928"/>
      <c r="D123" s="357"/>
      <c r="E123" s="785" t="s">
        <v>291</v>
      </c>
      <c r="F123" s="125"/>
      <c r="G123" s="117"/>
      <c r="H123" s="129"/>
      <c r="I123" s="952" t="str">
        <f t="shared" si="3"/>
        <v> </v>
      </c>
      <c r="J123" s="953">
        <f t="shared" si="2"/>
      </c>
      <c r="K123" s="1574"/>
      <c r="L123" s="962"/>
      <c r="M123" s="459"/>
    </row>
    <row r="124" spans="2:13" ht="13.5" thickBot="1">
      <c r="B124" s="653"/>
      <c r="C124" s="928"/>
      <c r="D124" s="357"/>
      <c r="E124" s="955" t="s">
        <v>331</v>
      </c>
      <c r="F124" s="130"/>
      <c r="G124" s="126"/>
      <c r="H124" s="131"/>
      <c r="I124" s="952" t="str">
        <f t="shared" si="3"/>
        <v> </v>
      </c>
      <c r="J124" s="953">
        <f t="shared" si="2"/>
      </c>
      <c r="K124" s="1571"/>
      <c r="L124" s="956"/>
      <c r="M124" s="459"/>
    </row>
    <row r="125" spans="2:13" ht="5.25" customHeight="1">
      <c r="B125" s="653"/>
      <c r="C125" s="928"/>
      <c r="D125" s="357"/>
      <c r="E125" s="957"/>
      <c r="F125" s="123"/>
      <c r="G125" s="123"/>
      <c r="H125" s="123"/>
      <c r="I125" s="123"/>
      <c r="J125" s="123"/>
      <c r="K125" s="137"/>
      <c r="L125" s="956"/>
      <c r="M125" s="459"/>
    </row>
    <row r="126" spans="2:13" ht="14.25">
      <c r="B126" s="653"/>
      <c r="C126" s="928"/>
      <c r="D126" s="807" t="s">
        <v>47</v>
      </c>
      <c r="E126" s="73"/>
      <c r="F126" s="55"/>
      <c r="G126" s="55"/>
      <c r="H126" s="55"/>
      <c r="I126" s="959"/>
      <c r="J126" s="959"/>
      <c r="K126" s="73"/>
      <c r="L126" s="358"/>
      <c r="M126" s="459"/>
    </row>
    <row r="127" spans="2:13" ht="5.25" customHeight="1">
      <c r="B127" s="653"/>
      <c r="C127" s="928"/>
      <c r="D127" s="357"/>
      <c r="E127" s="357"/>
      <c r="F127" s="123"/>
      <c r="G127" s="123"/>
      <c r="H127" s="123"/>
      <c r="I127" s="123"/>
      <c r="J127" s="123"/>
      <c r="K127" s="357"/>
      <c r="L127" s="358"/>
      <c r="M127" s="459"/>
    </row>
    <row r="128" spans="2:13" ht="12.75">
      <c r="B128" s="653"/>
      <c r="C128" s="928"/>
      <c r="D128" s="964"/>
      <c r="E128" s="563" t="s">
        <v>305</v>
      </c>
      <c r="F128" s="124"/>
      <c r="G128" s="124"/>
      <c r="H128" s="128"/>
      <c r="I128" s="952" t="str">
        <f t="shared" si="3"/>
        <v> </v>
      </c>
      <c r="J128" s="953">
        <f t="shared" si="2"/>
      </c>
      <c r="K128" s="1569"/>
      <c r="L128" s="962"/>
      <c r="M128" s="459"/>
    </row>
    <row r="129" spans="2:13" ht="12.75">
      <c r="B129" s="653"/>
      <c r="C129" s="928"/>
      <c r="D129" s="964"/>
      <c r="E129" s="564" t="s">
        <v>305</v>
      </c>
      <c r="F129" s="117"/>
      <c r="G129" s="117"/>
      <c r="H129" s="129"/>
      <c r="I129" s="952" t="str">
        <f t="shared" si="3"/>
        <v> </v>
      </c>
      <c r="J129" s="953">
        <f t="shared" si="2"/>
      </c>
      <c r="K129" s="1570"/>
      <c r="L129" s="956"/>
      <c r="M129" s="459"/>
    </row>
    <row r="130" spans="2:13" ht="13.5" thickBot="1">
      <c r="B130" s="653"/>
      <c r="C130" s="928"/>
      <c r="D130" s="964"/>
      <c r="E130" s="565" t="s">
        <v>305</v>
      </c>
      <c r="F130" s="117"/>
      <c r="G130" s="117"/>
      <c r="H130" s="129"/>
      <c r="I130" s="952" t="str">
        <f t="shared" si="3"/>
        <v> </v>
      </c>
      <c r="J130" s="953">
        <f t="shared" si="2"/>
      </c>
      <c r="K130" s="1570"/>
      <c r="L130" s="956"/>
      <c r="M130" s="459"/>
    </row>
    <row r="131" spans="2:13" ht="13.5" thickBot="1">
      <c r="B131" s="653"/>
      <c r="C131" s="928"/>
      <c r="D131" s="357"/>
      <c r="E131" s="965" t="s">
        <v>331</v>
      </c>
      <c r="F131" s="132"/>
      <c r="G131" s="120"/>
      <c r="H131" s="133"/>
      <c r="I131" s="952" t="str">
        <f t="shared" si="3"/>
        <v> </v>
      </c>
      <c r="J131" s="953">
        <f t="shared" si="2"/>
      </c>
      <c r="K131" s="1571"/>
      <c r="L131" s="956"/>
      <c r="M131" s="459"/>
    </row>
    <row r="132" spans="2:13" ht="5.25" customHeight="1">
      <c r="B132" s="653"/>
      <c r="C132" s="928"/>
      <c r="D132" s="357"/>
      <c r="E132" s="957"/>
      <c r="F132" s="123"/>
      <c r="G132" s="123"/>
      <c r="H132" s="123"/>
      <c r="I132" s="123"/>
      <c r="J132" s="123"/>
      <c r="K132" s="137"/>
      <c r="L132" s="956"/>
      <c r="M132" s="459"/>
    </row>
    <row r="133" spans="2:13" ht="14.25">
      <c r="B133" s="653"/>
      <c r="C133" s="928"/>
      <c r="D133" s="807" t="s">
        <v>114</v>
      </c>
      <c r="E133" s="73"/>
      <c r="F133" s="55"/>
      <c r="G133" s="55"/>
      <c r="H133" s="55"/>
      <c r="I133" s="959"/>
      <c r="J133" s="959"/>
      <c r="K133" s="73"/>
      <c r="L133" s="358"/>
      <c r="M133" s="459"/>
    </row>
    <row r="134" spans="2:13" ht="5.25" customHeight="1">
      <c r="B134" s="653"/>
      <c r="C134" s="928"/>
      <c r="D134" s="357"/>
      <c r="E134" s="357"/>
      <c r="F134" s="123"/>
      <c r="G134" s="123"/>
      <c r="H134" s="123"/>
      <c r="I134" s="123"/>
      <c r="J134" s="123"/>
      <c r="K134" s="357"/>
      <c r="L134" s="358"/>
      <c r="M134" s="459"/>
    </row>
    <row r="135" spans="2:13" ht="12.75">
      <c r="B135" s="653"/>
      <c r="C135" s="928"/>
      <c r="D135" s="561"/>
      <c r="E135" s="966" t="s">
        <v>199</v>
      </c>
      <c r="F135" s="536"/>
      <c r="G135" s="124"/>
      <c r="H135" s="128"/>
      <c r="I135" s="952" t="str">
        <f t="shared" si="3"/>
        <v> </v>
      </c>
      <c r="J135" s="953">
        <f t="shared" si="2"/>
      </c>
      <c r="K135" s="1584"/>
      <c r="L135" s="962"/>
      <c r="M135" s="459"/>
    </row>
    <row r="136" spans="2:13" ht="12.75">
      <c r="B136" s="653"/>
      <c r="C136" s="928"/>
      <c r="D136" s="964"/>
      <c r="E136" s="566" t="s">
        <v>49</v>
      </c>
      <c r="F136" s="117"/>
      <c r="G136" s="117"/>
      <c r="H136" s="129"/>
      <c r="I136" s="952" t="str">
        <f t="shared" si="3"/>
        <v> </v>
      </c>
      <c r="J136" s="953">
        <f t="shared" si="2"/>
      </c>
      <c r="K136" s="1584"/>
      <c r="L136" s="956"/>
      <c r="M136" s="459"/>
    </row>
    <row r="137" spans="2:13" ht="13.5" thickBot="1">
      <c r="B137" s="653"/>
      <c r="C137" s="928"/>
      <c r="D137" s="964"/>
      <c r="E137" s="567" t="s">
        <v>49</v>
      </c>
      <c r="F137" s="117"/>
      <c r="G137" s="117"/>
      <c r="H137" s="129"/>
      <c r="I137" s="952" t="str">
        <f t="shared" si="3"/>
        <v> </v>
      </c>
      <c r="J137" s="953">
        <f t="shared" si="2"/>
      </c>
      <c r="K137" s="1584"/>
      <c r="L137" s="956"/>
      <c r="M137" s="459"/>
    </row>
    <row r="138" spans="2:13" ht="13.5" thickBot="1">
      <c r="B138" s="653"/>
      <c r="C138" s="928"/>
      <c r="D138" s="357"/>
      <c r="E138" s="965" t="s">
        <v>331</v>
      </c>
      <c r="F138" s="132"/>
      <c r="G138" s="120"/>
      <c r="H138" s="133"/>
      <c r="I138" s="952" t="str">
        <f t="shared" si="3"/>
        <v> </v>
      </c>
      <c r="J138" s="953">
        <f t="shared" si="2"/>
      </c>
      <c r="K138" s="1585"/>
      <c r="L138" s="956"/>
      <c r="M138" s="459"/>
    </row>
    <row r="139" spans="2:13" ht="5.25" customHeight="1">
      <c r="B139" s="653"/>
      <c r="C139" s="928"/>
      <c r="D139" s="678"/>
      <c r="E139" s="138"/>
      <c r="F139" s="557"/>
      <c r="G139" s="557"/>
      <c r="H139" s="557"/>
      <c r="I139" s="967"/>
      <c r="J139" s="967"/>
      <c r="K139" s="110"/>
      <c r="L139" s="956"/>
      <c r="M139" s="459"/>
    </row>
    <row r="140" spans="2:13" ht="14.25">
      <c r="B140" s="653"/>
      <c r="C140" s="928"/>
      <c r="D140" s="807" t="s">
        <v>306</v>
      </c>
      <c r="E140" s="73"/>
      <c r="F140" s="55"/>
      <c r="G140" s="55"/>
      <c r="H140" s="55"/>
      <c r="I140" s="944"/>
      <c r="J140" s="945"/>
      <c r="K140" s="73"/>
      <c r="L140" s="358"/>
      <c r="M140" s="459"/>
    </row>
    <row r="141" spans="2:13" ht="5.25" customHeight="1">
      <c r="B141" s="653"/>
      <c r="C141" s="928"/>
      <c r="D141" s="357"/>
      <c r="E141" s="357"/>
      <c r="F141" s="123"/>
      <c r="G141" s="123"/>
      <c r="H141" s="123"/>
      <c r="I141" s="968"/>
      <c r="J141" s="332"/>
      <c r="K141" s="1163"/>
      <c r="L141" s="358"/>
      <c r="M141" s="459"/>
    </row>
    <row r="142" spans="2:13" ht="15" customHeight="1" thickBot="1">
      <c r="B142" s="653"/>
      <c r="C142" s="928"/>
      <c r="D142" s="561"/>
      <c r="E142" s="969" t="s">
        <v>304</v>
      </c>
      <c r="F142" s="554"/>
      <c r="G142" s="556"/>
      <c r="H142" s="555"/>
      <c r="I142" s="970"/>
      <c r="J142" s="968"/>
      <c r="K142" s="1586"/>
      <c r="L142" s="962"/>
      <c r="M142" s="459"/>
    </row>
    <row r="143" spans="2:13" ht="15" customHeight="1">
      <c r="B143" s="653"/>
      <c r="C143" s="928"/>
      <c r="D143" s="561"/>
      <c r="E143" s="1165"/>
      <c r="F143" s="1166"/>
      <c r="G143" s="1167"/>
      <c r="H143" s="1166"/>
      <c r="I143" s="968"/>
      <c r="J143" s="968"/>
      <c r="K143" s="1587"/>
      <c r="L143" s="136"/>
      <c r="M143" s="459"/>
    </row>
    <row r="144" spans="2:13" ht="20.25" customHeight="1">
      <c r="B144" s="653"/>
      <c r="C144" s="928"/>
      <c r="D144" s="561"/>
      <c r="E144" s="971"/>
      <c r="F144" s="1166"/>
      <c r="G144" s="1167"/>
      <c r="H144" s="1166"/>
      <c r="I144" s="968"/>
      <c r="J144" s="968"/>
      <c r="K144" s="1582"/>
      <c r="L144" s="1583"/>
      <c r="M144" s="459"/>
    </row>
    <row r="145" spans="2:13" ht="15" customHeight="1">
      <c r="B145" s="653"/>
      <c r="C145" s="928"/>
      <c r="D145" s="678"/>
      <c r="E145" s="559" t="s">
        <v>307</v>
      </c>
      <c r="F145" s="609"/>
      <c r="G145" s="609" t="str">
        <f>IF(OR(G182-G147&lt;0,G182-G147=0),"None",G182-G147)</f>
        <v>None</v>
      </c>
      <c r="H145" s="610" t="str">
        <f>IF(OR(H182-H147&lt;0,H182-H147=0),"None",H182-H147)</f>
        <v>None</v>
      </c>
      <c r="I145" s="968"/>
      <c r="J145" s="968"/>
      <c r="K145" s="1583"/>
      <c r="L145" s="1583"/>
      <c r="M145" s="459"/>
    </row>
    <row r="146" spans="2:13" ht="5.25" customHeight="1" thickBot="1">
      <c r="B146" s="653"/>
      <c r="C146" s="928"/>
      <c r="D146" s="678"/>
      <c r="E146" s="559"/>
      <c r="F146" s="558"/>
      <c r="G146" s="558"/>
      <c r="H146" s="558"/>
      <c r="I146" s="967"/>
      <c r="J146" s="967"/>
      <c r="K146" s="1583"/>
      <c r="L146" s="1583"/>
      <c r="M146" s="459"/>
    </row>
    <row r="147" spans="2:13" ht="14.25" thickBot="1" thickTop="1">
      <c r="B147" s="653"/>
      <c r="C147" s="928"/>
      <c r="D147" s="678"/>
      <c r="E147" s="811" t="s">
        <v>92</v>
      </c>
      <c r="F147" s="972">
        <f>SUM(F22:F142)</f>
        <v>0</v>
      </c>
      <c r="G147" s="973">
        <f>SUM(G22:G142)</f>
        <v>0</v>
      </c>
      <c r="H147" s="973">
        <f>SUM(H22:H142)</f>
        <v>0</v>
      </c>
      <c r="I147" s="974" t="str">
        <f>IF(F147=0," ",(G147-F147)/F147)</f>
        <v> </v>
      </c>
      <c r="J147" s="974">
        <f>IF(G147=0,"",((H147-G147)/G147))</f>
      </c>
      <c r="K147" s="1583"/>
      <c r="L147" s="1583"/>
      <c r="M147" s="459"/>
    </row>
    <row r="148" spans="2:13" ht="13.5" thickTop="1">
      <c r="B148" s="653"/>
      <c r="C148" s="975"/>
      <c r="D148" s="976"/>
      <c r="E148" s="977"/>
      <c r="F148" s="978"/>
      <c r="G148" s="978"/>
      <c r="H148" s="979"/>
      <c r="I148" s="980"/>
      <c r="J148" s="980"/>
      <c r="K148" s="1583"/>
      <c r="L148" s="1583"/>
      <c r="M148" s="459"/>
    </row>
    <row r="149" spans="2:13" ht="9" customHeight="1">
      <c r="B149" s="653"/>
      <c r="C149" s="981"/>
      <c r="D149" s="982"/>
      <c r="E149" s="983"/>
      <c r="F149" s="984"/>
      <c r="G149" s="985"/>
      <c r="H149" s="985"/>
      <c r="I149" s="986"/>
      <c r="J149" s="986"/>
      <c r="K149" s="51"/>
      <c r="L149" s="51"/>
      <c r="M149" s="459"/>
    </row>
    <row r="150" spans="2:13" ht="7.5" customHeight="1">
      <c r="B150" s="653"/>
      <c r="C150" s="51"/>
      <c r="D150" s="655"/>
      <c r="E150" s="987"/>
      <c r="F150" s="511"/>
      <c r="G150" s="62"/>
      <c r="H150" s="62"/>
      <c r="I150" s="912"/>
      <c r="J150" s="912"/>
      <c r="K150" s="51"/>
      <c r="L150" s="988"/>
      <c r="M150" s="459"/>
    </row>
    <row r="151" spans="2:13" ht="6.75" customHeight="1">
      <c r="B151" s="653"/>
      <c r="C151" s="989"/>
      <c r="D151" s="990"/>
      <c r="E151" s="991"/>
      <c r="F151" s="992"/>
      <c r="G151" s="675"/>
      <c r="H151" s="675"/>
      <c r="I151" s="993"/>
      <c r="J151" s="993"/>
      <c r="K151" s="821"/>
      <c r="L151" s="822"/>
      <c r="M151" s="459"/>
    </row>
    <row r="152" spans="2:13" s="666" customFormat="1" ht="5.25" customHeight="1">
      <c r="B152" s="662"/>
      <c r="C152" s="994"/>
      <c r="D152" s="995"/>
      <c r="E152" s="697"/>
      <c r="F152" s="698"/>
      <c r="G152" s="698"/>
      <c r="H152" s="698"/>
      <c r="I152" s="698"/>
      <c r="J152" s="698"/>
      <c r="K152" s="698"/>
      <c r="L152" s="935"/>
      <c r="M152" s="667"/>
    </row>
    <row r="153" spans="2:13" ht="15.75">
      <c r="B153" s="653"/>
      <c r="C153" s="928"/>
      <c r="D153" s="825" t="s">
        <v>325</v>
      </c>
      <c r="E153" s="826"/>
      <c r="F153" s="826"/>
      <c r="G153" s="826"/>
      <c r="H153" s="826"/>
      <c r="I153" s="996"/>
      <c r="J153" s="996"/>
      <c r="K153" s="826"/>
      <c r="L153" s="827"/>
      <c r="M153" s="459"/>
    </row>
    <row r="154" spans="2:13" ht="6.75" customHeight="1">
      <c r="B154" s="653"/>
      <c r="C154" s="928"/>
      <c r="D154" s="832"/>
      <c r="E154" s="833"/>
      <c r="F154" s="833"/>
      <c r="G154" s="833"/>
      <c r="H154" s="833"/>
      <c r="I154" s="997"/>
      <c r="J154" s="997"/>
      <c r="K154" s="833"/>
      <c r="L154" s="827"/>
      <c r="M154" s="459"/>
    </row>
    <row r="155" spans="2:13" ht="14.25" customHeight="1">
      <c r="B155" s="653"/>
      <c r="C155" s="998" t="s">
        <v>142</v>
      </c>
      <c r="D155" s="999"/>
      <c r="E155" s="833"/>
      <c r="F155" s="833"/>
      <c r="G155" s="833"/>
      <c r="H155" s="833"/>
      <c r="I155" s="997"/>
      <c r="J155" s="997"/>
      <c r="K155" s="833"/>
      <c r="L155" s="827"/>
      <c r="M155" s="459"/>
    </row>
    <row r="156" spans="2:13" ht="12.75">
      <c r="B156" s="653"/>
      <c r="C156" s="928"/>
      <c r="D156" s="1000" t="s">
        <v>50</v>
      </c>
      <c r="E156" s="1001"/>
      <c r="F156" s="127"/>
      <c r="G156" s="124"/>
      <c r="H156" s="128"/>
      <c r="I156" s="952" t="str">
        <f>IF(F156=0," ",(G156-F156)/F156)</f>
        <v> </v>
      </c>
      <c r="J156" s="953">
        <f>IF(G156=0,"",((H156-G156)/G156))</f>
      </c>
      <c r="K156" s="1566"/>
      <c r="L156" s="962"/>
      <c r="M156" s="459"/>
    </row>
    <row r="157" spans="2:13" ht="12.75">
      <c r="B157" s="653"/>
      <c r="C157" s="928"/>
      <c r="D157" s="1000" t="s">
        <v>51</v>
      </c>
      <c r="E157" s="1001"/>
      <c r="F157" s="125"/>
      <c r="G157" s="117"/>
      <c r="H157" s="129"/>
      <c r="I157" s="952" t="str">
        <f aca="true" t="shared" si="4" ref="I157:I182">IF(F157=0," ",(G157-F157)/F157)</f>
        <v> </v>
      </c>
      <c r="J157" s="953">
        <f aca="true" t="shared" si="5" ref="J157:J177">IF(G157=0,"",((H157-G157)/G157))</f>
      </c>
      <c r="K157" s="1567"/>
      <c r="L157" s="962"/>
      <c r="M157" s="459"/>
    </row>
    <row r="158" spans="2:13" ht="12.75">
      <c r="B158" s="653"/>
      <c r="C158" s="928"/>
      <c r="D158" s="1000" t="s">
        <v>52</v>
      </c>
      <c r="E158" s="1001"/>
      <c r="F158" s="125"/>
      <c r="G158" s="117"/>
      <c r="H158" s="129"/>
      <c r="I158" s="952" t="str">
        <f t="shared" si="4"/>
        <v> </v>
      </c>
      <c r="J158" s="953">
        <f t="shared" si="5"/>
      </c>
      <c r="K158" s="1567"/>
      <c r="L158" s="962"/>
      <c r="M158" s="459"/>
    </row>
    <row r="159" spans="2:13" ht="12.75">
      <c r="B159" s="653"/>
      <c r="C159" s="928"/>
      <c r="D159" s="1000" t="s">
        <v>8</v>
      </c>
      <c r="E159" s="1001"/>
      <c r="F159" s="125"/>
      <c r="G159" s="117"/>
      <c r="H159" s="129"/>
      <c r="I159" s="952" t="str">
        <f t="shared" si="4"/>
        <v> </v>
      </c>
      <c r="J159" s="953">
        <f t="shared" si="5"/>
      </c>
      <c r="K159" s="1567"/>
      <c r="L159" s="962"/>
      <c r="M159" s="459"/>
    </row>
    <row r="160" spans="2:13" ht="12.75">
      <c r="B160" s="653"/>
      <c r="C160" s="928"/>
      <c r="D160" s="1000" t="s">
        <v>9</v>
      </c>
      <c r="E160" s="1001"/>
      <c r="F160" s="125"/>
      <c r="G160" s="117"/>
      <c r="H160" s="129"/>
      <c r="I160" s="952" t="str">
        <f t="shared" si="4"/>
        <v> </v>
      </c>
      <c r="J160" s="953">
        <f t="shared" si="5"/>
      </c>
      <c r="K160" s="1567"/>
      <c r="L160" s="962"/>
      <c r="M160" s="459"/>
    </row>
    <row r="161" spans="2:13" ht="12.75">
      <c r="B161" s="653"/>
      <c r="C161" s="928"/>
      <c r="D161" s="1000" t="s">
        <v>10</v>
      </c>
      <c r="E161" s="1001"/>
      <c r="F161" s="125"/>
      <c r="G161" s="117"/>
      <c r="H161" s="129"/>
      <c r="I161" s="952" t="str">
        <f t="shared" si="4"/>
        <v> </v>
      </c>
      <c r="J161" s="953">
        <f t="shared" si="5"/>
      </c>
      <c r="K161" s="1567"/>
      <c r="L161" s="962"/>
      <c r="M161" s="459"/>
    </row>
    <row r="162" spans="2:13" ht="13.5" thickBot="1">
      <c r="B162" s="653"/>
      <c r="C162" s="928"/>
      <c r="D162" s="1000" t="s">
        <v>11</v>
      </c>
      <c r="E162" s="1001"/>
      <c r="F162" s="130"/>
      <c r="G162" s="126"/>
      <c r="H162" s="131"/>
      <c r="I162" s="952" t="str">
        <f t="shared" si="4"/>
        <v> </v>
      </c>
      <c r="J162" s="953">
        <f t="shared" si="5"/>
      </c>
      <c r="K162" s="1567"/>
      <c r="L162" s="962"/>
      <c r="M162" s="459"/>
    </row>
    <row r="163" spans="2:13" ht="12.75" customHeight="1">
      <c r="B163" s="653"/>
      <c r="C163" s="928"/>
      <c r="D163" s="840" t="s">
        <v>315</v>
      </c>
      <c r="E163" s="1002"/>
      <c r="F163" s="580"/>
      <c r="G163" s="580"/>
      <c r="H163" s="123"/>
      <c r="I163" s="123" t="str">
        <f t="shared" si="4"/>
        <v> </v>
      </c>
      <c r="J163" s="953">
        <f t="shared" si="5"/>
      </c>
      <c r="K163" s="1567"/>
      <c r="L163" s="962"/>
      <c r="M163" s="459"/>
    </row>
    <row r="164" spans="2:13" ht="12.75">
      <c r="B164" s="653"/>
      <c r="C164" s="1003">
        <f>IF(OR(F164&lt;&gt;SUM(F30,F43,F51,F63,F69,F77,F84,F93,F99,F106,F112,F119,F124,F131,F138),G164&lt;&gt;SUM(G30,G43,G51,G63,G69,G77,G84,G93,G99,G106,G112,G119,G124,G131,G138),H164&lt;&gt;SUM(H30,H43,H51,H63,H69,H77,H84,H93,H99,H106,H112,H119,H124,H131,H138)),"X","")</f>
      </c>
      <c r="D164" s="1004"/>
      <c r="E164" s="1005" t="s">
        <v>332</v>
      </c>
      <c r="F164" s="127"/>
      <c r="G164" s="124"/>
      <c r="H164" s="128"/>
      <c r="I164" s="952" t="str">
        <f t="shared" si="4"/>
        <v> </v>
      </c>
      <c r="J164" s="953">
        <f t="shared" si="5"/>
      </c>
      <c r="K164" s="1567"/>
      <c r="L164" s="962"/>
      <c r="M164" s="459"/>
    </row>
    <row r="165" spans="2:13" ht="12.75">
      <c r="B165" s="653"/>
      <c r="C165" s="928"/>
      <c r="D165" s="1004"/>
      <c r="E165" s="186" t="s">
        <v>301</v>
      </c>
      <c r="F165" s="125"/>
      <c r="G165" s="117"/>
      <c r="H165" s="129"/>
      <c r="I165" s="952" t="str">
        <f t="shared" si="4"/>
        <v> </v>
      </c>
      <c r="J165" s="953">
        <f t="shared" si="5"/>
      </c>
      <c r="K165" s="1567"/>
      <c r="L165" s="962"/>
      <c r="M165" s="459"/>
    </row>
    <row r="166" spans="2:13" ht="12.75">
      <c r="B166" s="653"/>
      <c r="C166" s="928"/>
      <c r="D166" s="1004"/>
      <c r="E166" s="785" t="s">
        <v>67</v>
      </c>
      <c r="F166" s="125"/>
      <c r="G166" s="117"/>
      <c r="H166" s="129"/>
      <c r="I166" s="952" t="str">
        <f t="shared" si="4"/>
        <v> </v>
      </c>
      <c r="J166" s="953">
        <f t="shared" si="5"/>
      </c>
      <c r="K166" s="1567"/>
      <c r="L166" s="962"/>
      <c r="M166" s="459"/>
    </row>
    <row r="167" spans="2:13" ht="12.75">
      <c r="B167" s="653"/>
      <c r="C167" s="928"/>
      <c r="D167" s="1004"/>
      <c r="E167" s="785" t="s">
        <v>38</v>
      </c>
      <c r="F167" s="125"/>
      <c r="G167" s="117"/>
      <c r="H167" s="129"/>
      <c r="I167" s="952" t="str">
        <f t="shared" si="4"/>
        <v> </v>
      </c>
      <c r="J167" s="953">
        <f t="shared" si="5"/>
      </c>
      <c r="K167" s="1567"/>
      <c r="L167" s="962"/>
      <c r="M167" s="459"/>
    </row>
    <row r="168" spans="2:13" ht="12.75">
      <c r="B168" s="653"/>
      <c r="C168" s="928"/>
      <c r="D168" s="1000" t="s">
        <v>15</v>
      </c>
      <c r="E168" s="1001"/>
      <c r="F168" s="125"/>
      <c r="G168" s="117"/>
      <c r="H168" s="129"/>
      <c r="I168" s="952" t="str">
        <f t="shared" si="4"/>
        <v> </v>
      </c>
      <c r="J168" s="953">
        <f t="shared" si="5"/>
      </c>
      <c r="K168" s="1567"/>
      <c r="L168" s="962"/>
      <c r="M168" s="459"/>
    </row>
    <row r="169" spans="2:13" ht="12.75">
      <c r="B169" s="653"/>
      <c r="C169" s="928"/>
      <c r="D169" s="1000" t="s">
        <v>309</v>
      </c>
      <c r="E169" s="1001"/>
      <c r="F169" s="125"/>
      <c r="G169" s="117"/>
      <c r="H169" s="129"/>
      <c r="I169" s="952" t="str">
        <f t="shared" si="4"/>
        <v> </v>
      </c>
      <c r="J169" s="953">
        <f t="shared" si="5"/>
      </c>
      <c r="K169" s="1567"/>
      <c r="L169" s="962"/>
      <c r="M169" s="459"/>
    </row>
    <row r="170" spans="2:13" ht="12.75">
      <c r="B170" s="653"/>
      <c r="C170" s="928"/>
      <c r="D170" s="1000" t="s">
        <v>16</v>
      </c>
      <c r="E170" s="1001"/>
      <c r="F170" s="616"/>
      <c r="G170" s="615"/>
      <c r="H170" s="617"/>
      <c r="I170" s="952" t="str">
        <f t="shared" si="4"/>
        <v> </v>
      </c>
      <c r="J170" s="953">
        <f t="shared" si="5"/>
      </c>
      <c r="K170" s="1567"/>
      <c r="L170" s="962"/>
      <c r="M170" s="459"/>
    </row>
    <row r="171" spans="2:13" ht="13.5" thickBot="1">
      <c r="B171" s="653"/>
      <c r="C171" s="928"/>
      <c r="D171" s="861" t="s">
        <v>310</v>
      </c>
      <c r="E171" s="841"/>
      <c r="F171" s="638"/>
      <c r="G171" s="639"/>
      <c r="H171" s="640"/>
      <c r="I171" s="952" t="str">
        <f t="shared" si="4"/>
        <v> </v>
      </c>
      <c r="J171" s="953">
        <f t="shared" si="5"/>
      </c>
      <c r="K171" s="1567"/>
      <c r="L171" s="962"/>
      <c r="M171" s="459"/>
    </row>
    <row r="172" spans="2:13" ht="12.75">
      <c r="B172" s="653"/>
      <c r="C172" s="928"/>
      <c r="D172" s="1000" t="s">
        <v>295</v>
      </c>
      <c r="E172" s="841"/>
      <c r="F172" s="618">
        <f>SUM(F27,F37,F39,F41)</f>
        <v>0</v>
      </c>
      <c r="G172" s="575">
        <f>SUM(G27,G37,G39,G41)</f>
        <v>0</v>
      </c>
      <c r="H172" s="619">
        <f>SUM(H27,H37,H39,H41)</f>
        <v>0</v>
      </c>
      <c r="I172" s="952" t="str">
        <f t="shared" si="4"/>
        <v> </v>
      </c>
      <c r="J172" s="953">
        <f t="shared" si="5"/>
      </c>
      <c r="K172" s="1567"/>
      <c r="L172" s="962"/>
      <c r="M172" s="459"/>
    </row>
    <row r="173" spans="2:13" ht="13.5" thickBot="1">
      <c r="B173" s="653"/>
      <c r="C173" s="928"/>
      <c r="D173" s="1000" t="s">
        <v>17</v>
      </c>
      <c r="E173" s="1001"/>
      <c r="F173" s="573"/>
      <c r="G173" s="556"/>
      <c r="H173" s="574"/>
      <c r="I173" s="952" t="str">
        <f t="shared" si="4"/>
        <v> </v>
      </c>
      <c r="J173" s="953">
        <f t="shared" si="5"/>
      </c>
      <c r="K173" s="1567"/>
      <c r="L173" s="962"/>
      <c r="M173" s="459"/>
    </row>
    <row r="174" spans="2:13" ht="15" customHeight="1">
      <c r="B174" s="653"/>
      <c r="C174" s="835" t="s">
        <v>140</v>
      </c>
      <c r="D174" s="1000"/>
      <c r="E174" s="841"/>
      <c r="F174" s="306"/>
      <c r="G174" s="306"/>
      <c r="H174" s="123"/>
      <c r="I174" s="123"/>
      <c r="J174" s="953"/>
      <c r="K174" s="1567"/>
      <c r="L174" s="962"/>
      <c r="M174" s="459"/>
    </row>
    <row r="175" spans="2:13" ht="12.75" customHeight="1">
      <c r="B175" s="653"/>
      <c r="C175" s="928"/>
      <c r="D175" s="864" t="s">
        <v>311</v>
      </c>
      <c r="E175" s="1006"/>
      <c r="F175" s="297"/>
      <c r="G175" s="298"/>
      <c r="H175" s="299"/>
      <c r="I175" s="952" t="str">
        <f t="shared" si="4"/>
        <v> </v>
      </c>
      <c r="J175" s="953">
        <f t="shared" si="5"/>
      </c>
      <c r="K175" s="1567"/>
      <c r="L175" s="962"/>
      <c r="M175" s="459"/>
    </row>
    <row r="176" spans="2:13" ht="12.75" customHeight="1">
      <c r="B176" s="653"/>
      <c r="C176" s="928"/>
      <c r="D176" s="867" t="s">
        <v>316</v>
      </c>
      <c r="E176" s="1007"/>
      <c r="F176" s="300"/>
      <c r="G176" s="301"/>
      <c r="H176" s="302"/>
      <c r="I176" s="952" t="str">
        <f t="shared" si="4"/>
        <v> </v>
      </c>
      <c r="J176" s="953">
        <f t="shared" si="5"/>
      </c>
      <c r="K176" s="1567"/>
      <c r="L176" s="962"/>
      <c r="M176" s="459"/>
    </row>
    <row r="177" spans="2:13" ht="12.75" customHeight="1">
      <c r="B177" s="653"/>
      <c r="C177" s="928"/>
      <c r="D177" s="867" t="s">
        <v>312</v>
      </c>
      <c r="E177" s="1007"/>
      <c r="F177" s="300"/>
      <c r="G177" s="301"/>
      <c r="H177" s="302"/>
      <c r="I177" s="952" t="str">
        <f t="shared" si="4"/>
        <v> </v>
      </c>
      <c r="J177" s="953">
        <f t="shared" si="5"/>
      </c>
      <c r="K177" s="1567"/>
      <c r="L177" s="962"/>
      <c r="M177" s="459"/>
    </row>
    <row r="178" spans="2:13" ht="12.75" customHeight="1" thickBot="1">
      <c r="B178" s="653"/>
      <c r="C178" s="928"/>
      <c r="D178" s="867" t="s">
        <v>308</v>
      </c>
      <c r="E178" s="1008"/>
      <c r="F178" s="303"/>
      <c r="G178" s="304"/>
      <c r="H178" s="305"/>
      <c r="I178" s="952" t="str">
        <f t="shared" si="4"/>
        <v> </v>
      </c>
      <c r="J178" s="953">
        <f>IF(G178=0,"",((H178-G178)/G178))</f>
      </c>
      <c r="K178" s="1567"/>
      <c r="L178" s="962"/>
      <c r="M178" s="459"/>
    </row>
    <row r="179" spans="2:13" ht="10.5" customHeight="1">
      <c r="B179" s="653"/>
      <c r="C179" s="928"/>
      <c r="D179" s="840"/>
      <c r="E179" s="841"/>
      <c r="F179" s="306"/>
      <c r="G179" s="306"/>
      <c r="H179" s="123"/>
      <c r="I179" s="123"/>
      <c r="J179" s="953"/>
      <c r="K179" s="1567"/>
      <c r="L179" s="962"/>
      <c r="M179" s="459"/>
    </row>
    <row r="180" spans="2:13" ht="12.75" customHeight="1" thickBot="1">
      <c r="B180" s="653"/>
      <c r="C180" s="928"/>
      <c r="D180" s="1009" t="str">
        <f>IF('Preliminary Information'!$A$17=3,"PROFIT","")</f>
        <v>PROFIT</v>
      </c>
      <c r="E180" s="1010"/>
      <c r="F180" s="576"/>
      <c r="G180" s="577"/>
      <c r="H180" s="578"/>
      <c r="I180" s="952" t="str">
        <f t="shared" si="4"/>
        <v> </v>
      </c>
      <c r="J180" s="953">
        <f>IF(G180=0,"",((H180-G180)/G180))</f>
      </c>
      <c r="K180" s="1568"/>
      <c r="L180" s="962"/>
      <c r="M180" s="459"/>
    </row>
    <row r="181" spans="2:13" ht="18.75" customHeight="1" thickBot="1">
      <c r="B181" s="653"/>
      <c r="C181" s="928"/>
      <c r="D181" s="1011"/>
      <c r="E181" s="645">
        <f>IF($F$182&lt;$F$147-1,"ACTUAL YEAR GAIN",IF($F$182&gt;$F$147+1,"ACTUAL YEAR LOSS",""))</f>
      </c>
      <c r="F181" s="1197">
        <f>IF(F147-F182=0,"",F147-F182)</f>
      </c>
      <c r="G181" s="135">
        <f>IF(G183="","",IF(G147-G182=0,"",G182-G147))</f>
      </c>
      <c r="H181" s="135">
        <f>IF(H183="","",IF(H147-H182=0,"",H182-H147))</f>
      </c>
      <c r="I181" s="1012"/>
      <c r="J181" s="1012"/>
      <c r="K181" s="136"/>
      <c r="L181" s="962"/>
      <c r="M181" s="459"/>
    </row>
    <row r="182" spans="2:13" ht="14.25" thickBot="1" thickTop="1">
      <c r="B182" s="653"/>
      <c r="C182" s="928"/>
      <c r="D182" s="678"/>
      <c r="E182" s="811" t="s">
        <v>94</v>
      </c>
      <c r="F182" s="972">
        <f>SUM(F156:F180)</f>
        <v>0</v>
      </c>
      <c r="G182" s="972">
        <f>SUM(G156:G180)</f>
        <v>0</v>
      </c>
      <c r="H182" s="972">
        <f>SUM(H156:H180)</f>
        <v>0</v>
      </c>
      <c r="I182" s="1013" t="str">
        <f t="shared" si="4"/>
        <v> </v>
      </c>
      <c r="J182" s="1013">
        <f>IF(G182=0,"",((H182-G182)/G182))</f>
      </c>
      <c r="K182" s="357"/>
      <c r="L182" s="358"/>
      <c r="M182" s="459"/>
    </row>
    <row r="183" spans="2:13" ht="65.25" customHeight="1" thickTop="1">
      <c r="B183" s="653"/>
      <c r="C183" s="928"/>
      <c r="D183" s="1009"/>
      <c r="E183" s="1164">
        <f>IF(OR(D188&lt;&gt;"",D190&lt;&gt;"",D192&lt;&gt;""),"See NOTES Below.","")</f>
      </c>
      <c r="F183" s="645"/>
      <c r="G183" s="645">
        <f>IF(G182&lt;G147-1,"Error: Budgeted Revenues &gt; Expenditures",IF(G182&gt;G147+1,"Error: Revenues &lt; Expenditures",""))</f>
      </c>
      <c r="H183" s="645">
        <f>IF(OR(H182&gt;H147+1,H182&lt;H147-1),"Error: Budgeted Revenues Must Equal Expenditures","")</f>
      </c>
      <c r="I183" s="1014"/>
      <c r="J183" s="1014"/>
      <c r="K183" s="1155">
        <f>IF(C164="X","ERROR:  In at least one of the 3 columns, bus pass program revenue does not equal expenses","")</f>
      </c>
      <c r="L183" s="358"/>
      <c r="M183" s="459"/>
    </row>
    <row r="184" spans="2:13" ht="3.75" customHeight="1" thickBot="1">
      <c r="B184" s="653"/>
      <c r="C184" s="1015"/>
      <c r="D184" s="813"/>
      <c r="E184" s="891"/>
      <c r="F184" s="891"/>
      <c r="G184" s="891"/>
      <c r="H184" s="891"/>
      <c r="I184" s="1016"/>
      <c r="J184" s="1016"/>
      <c r="K184" s="891"/>
      <c r="L184" s="1017"/>
      <c r="M184" s="459"/>
    </row>
    <row r="185" spans="2:13" ht="6.75" customHeight="1">
      <c r="B185" s="653"/>
      <c r="C185" s="48"/>
      <c r="D185" s="1018"/>
      <c r="E185" s="48"/>
      <c r="F185" s="51"/>
      <c r="G185" s="48"/>
      <c r="H185" s="48"/>
      <c r="I185" s="915"/>
      <c r="J185" s="915"/>
      <c r="K185" s="48"/>
      <c r="L185" s="48"/>
      <c r="M185" s="459"/>
    </row>
    <row r="186" spans="2:13" ht="17.25" customHeight="1">
      <c r="B186" s="653"/>
      <c r="C186" s="1019" t="s">
        <v>422</v>
      </c>
      <c r="D186" s="1018"/>
      <c r="E186" s="48"/>
      <c r="F186" s="51"/>
      <c r="G186" s="48"/>
      <c r="H186" s="48"/>
      <c r="I186" s="915"/>
      <c r="J186" s="915"/>
      <c r="K186" s="48"/>
      <c r="L186" s="48"/>
      <c r="M186" s="459"/>
    </row>
    <row r="187" spans="2:13" ht="13.5" thickBot="1">
      <c r="B187" s="1020"/>
      <c r="C187" s="54"/>
      <c r="D187" s="1193"/>
      <c r="E187" s="51"/>
      <c r="F187" s="51"/>
      <c r="G187" s="51"/>
      <c r="H187" s="51"/>
      <c r="I187" s="912"/>
      <c r="J187" s="912"/>
      <c r="K187" s="51"/>
      <c r="L187" s="54"/>
      <c r="M187" s="906"/>
    </row>
    <row r="188" spans="3:11" ht="45" customHeight="1">
      <c r="C188" s="1192"/>
      <c r="D188" s="1576">
        <f>IF(AND('Preliminary Information'!$A$17=3,$F$180&gt;0),"ACTUAL year PROFIT above that formerly planned or approved must be reinvested as a trip or system subsidy.  Adjustments are to be ID'd and explained in a following period, OR applied as a Rate Base Adjustment to proposed year's rates on the next sheet.","")</f>
      </c>
      <c r="E188" s="1580"/>
      <c r="F188" s="1580"/>
      <c r="G188" s="1580"/>
      <c r="H188" s="1580"/>
      <c r="I188" s="1580"/>
      <c r="J188" s="1580"/>
      <c r="K188" s="1581"/>
    </row>
    <row r="189" ht="12.75" customHeight="1">
      <c r="D189" s="1194"/>
    </row>
    <row r="190" spans="4:11" ht="44.25" customHeight="1">
      <c r="D190" s="1576">
        <f>IF(AND(OR('Preliminary Information'!$A$17=1,'Preliminary Information'!$A$17=2),$F$147&gt;$F$182),"ACTUAL year GAIN (program revenue) MUST be reinvested as a trip or system subsidy.  Adjustments must be Identified and explained in a following year, or applied as a Rate Base Adjustment to proposed year's rates on the next sheet.","")</f>
      </c>
      <c r="E190" s="1577"/>
      <c r="F190" s="1577"/>
      <c r="G190" s="1577"/>
      <c r="H190" s="1577"/>
      <c r="I190" s="1577"/>
      <c r="J190" s="1577"/>
      <c r="K190" s="1578"/>
    </row>
    <row r="192" spans="4:11" ht="36.75" customHeight="1">
      <c r="D192" s="1576">
        <f>IF(AND(OR('Preliminary Information'!$A$17=1,'Preliminary Information'!$A$17=2,'Preliminary Information'!$A$17=3),$F$147&lt;$F$182),"Actual year LOSSES are shown as Balancing Revenue or Local Non-Government revenue.","")</f>
      </c>
      <c r="E192" s="1577" t="e">
        <f>IF(AND(OR('Preliminary Information'!$A$17=1,'Preliminary Information'!$A$17=2),$F$147-$F$181&gt;0),"Actual year LOSSES are identified as Balancing Revenue for the portion you wish to make up through new rates.  Insert a NEGATIVE number in Actual Profit for the portion of losses that have since been reconciled.","")</f>
        <v>#VALUE!</v>
      </c>
      <c r="F192" s="1577" t="e">
        <f>IF(AND(OR('Preliminary Information'!$A$17=1,'Preliminary Information'!$A$17=2),$F$147-$F$181&gt;0),"Actual year LOSSES are identified as Balancing Revenue for the portion you wish to make up through new rates.  Insert a NEGATIVE number in Actual Profit for the portion of losses that have since been reconciled.","")</f>
        <v>#VALUE!</v>
      </c>
      <c r="G192" s="1577" t="e">
        <f>IF(AND(OR('Preliminary Information'!$A$17=1,'Preliminary Information'!$A$17=2),$F$147-$F$181&gt;0),"Actual year LOSSES are identified as Balancing Revenue for the portion you wish to make up through new rates.  Insert a NEGATIVE number in Actual Profit for the portion of losses that have since been reconciled.","")</f>
        <v>#VALUE!</v>
      </c>
      <c r="H192" s="1577" t="e">
        <f>IF(AND(OR('Preliminary Information'!$A$17=1,'Preliminary Information'!$A$17=2),$F$147-$F$181&gt;0),"Actual year LOSSES are identified as Balancing Revenue for the portion you wish to make up through new rates.  Insert a NEGATIVE number in Actual Profit for the portion of losses that have since been reconciled.","")</f>
        <v>#VALUE!</v>
      </c>
      <c r="I192" s="1577" t="e">
        <f>IF(AND(OR('Preliminary Information'!$A$17=1,'Preliminary Information'!$A$17=2),$F$147-$F$181&gt;0),"Actual year LOSSES are identified as Balancing Revenue for the portion you wish to make up through new rates.  Insert a NEGATIVE number in Actual Profit for the portion of losses that have since been reconciled.","")</f>
        <v>#VALUE!</v>
      </c>
      <c r="J192" s="1577" t="e">
        <f>IF(AND(OR('Preliminary Information'!$A$17=1,'Preliminary Information'!$A$17=2),$F$147-$F$181&gt;0),"Actual year LOSSES are identified as Balancing Revenue for the portion you wish to make up through new rates.  Insert a NEGATIVE number in Actual Profit for the portion of losses that have since been reconciled.","")</f>
        <v>#VALUE!</v>
      </c>
      <c r="K192" s="1578" t="e">
        <f>IF(AND(OR('Preliminary Information'!$A$17=1,'Preliminary Information'!$A$17=2),$F$147-$F$181&gt;0),"Actual year LOSSES are identified as Balancing Revenue for the portion you wish to make up through new rates.  Insert a NEGATIVE number in Actual Profit for the portion of losses that have since been reconciled.","")</f>
        <v>#VALUE!</v>
      </c>
    </row>
    <row r="206" ht="12.75" customHeight="1"/>
    <row r="207" ht="12.75" customHeight="1"/>
    <row r="208" ht="12.75" customHeight="1"/>
    <row r="209" ht="12.75" customHeight="1"/>
    <row r="210" ht="12.75" customHeight="1"/>
    <row r="211" ht="12.75" customHeight="1"/>
    <row r="212" ht="12.75" customHeight="1"/>
  </sheetData>
  <sheetProtection password="E09D" sheet="1" selectLockedCells="1"/>
  <mergeCells count="23">
    <mergeCell ref="I10:I14"/>
    <mergeCell ref="J8:J14"/>
    <mergeCell ref="K24:K30"/>
    <mergeCell ref="K34:K43"/>
    <mergeCell ref="K47:K51"/>
    <mergeCell ref="K123:K124"/>
    <mergeCell ref="K97:K99"/>
    <mergeCell ref="D190:K190"/>
    <mergeCell ref="D192:K192"/>
    <mergeCell ref="K73:K77"/>
    <mergeCell ref="K81:K84"/>
    <mergeCell ref="K110:K112"/>
    <mergeCell ref="K116:K119"/>
    <mergeCell ref="D188:K188"/>
    <mergeCell ref="K144:L148"/>
    <mergeCell ref="K135:K138"/>
    <mergeCell ref="K142:K143"/>
    <mergeCell ref="K156:K180"/>
    <mergeCell ref="K128:K131"/>
    <mergeCell ref="K88:K93"/>
    <mergeCell ref="K55:K63"/>
    <mergeCell ref="K67:K69"/>
    <mergeCell ref="K103:K106"/>
  </mergeCells>
  <conditionalFormatting sqref="F145:H145">
    <cfRule type="cellIs" priority="7" dxfId="18" operator="between" stopIfTrue="1">
      <formula>1</formula>
      <formula>-1</formula>
    </cfRule>
  </conditionalFormatting>
  <conditionalFormatting sqref="E183">
    <cfRule type="containsText" priority="6" dxfId="12" operator="containsText" stopIfTrue="1" text="See NOTES Below.">
      <formula>NOT(ISERROR(SEARCH("See NOTES Below.",E183)))</formula>
    </cfRule>
  </conditionalFormatting>
  <conditionalFormatting sqref="K144:L148">
    <cfRule type="notContainsBlanks" priority="9" dxfId="14" stopIfTrue="1">
      <formula>LEN(TRIM(K144))&gt;0</formula>
    </cfRule>
  </conditionalFormatting>
  <conditionalFormatting sqref="D188:K188">
    <cfRule type="notContainsBlanks" priority="14" dxfId="14" stopIfTrue="1">
      <formula>LEN(TRIM(D188))&gt;0</formula>
    </cfRule>
  </conditionalFormatting>
  <conditionalFormatting sqref="D190:K190">
    <cfRule type="notContainsBlanks" priority="16" dxfId="19" stopIfTrue="1">
      <formula>LEN(TRIM(D190))&gt;0</formula>
    </cfRule>
  </conditionalFormatting>
  <conditionalFormatting sqref="D192:K192">
    <cfRule type="notContainsBlanks" priority="15" dxfId="12" stopIfTrue="1">
      <formula>LEN(TRIM(D192))&gt;0</formula>
    </cfRule>
  </conditionalFormatting>
  <conditionalFormatting sqref="F181">
    <cfRule type="notContainsBlanks" priority="17" dxfId="11" stopIfTrue="1">
      <formula>LEN(TRIM(F181))&gt;0</formula>
    </cfRule>
  </conditionalFormatting>
  <printOptions horizontalCentered="1"/>
  <pageMargins left="0.64" right="0.53" top="0.67" bottom="0.61" header="0.39" footer="0.4"/>
  <pageSetup cellComments="asDisplayed" fitToHeight="2" horizontalDpi="1200" verticalDpi="1200" orientation="portrait" scale="51" r:id="rId3"/>
  <headerFooter alignWithMargins="0">
    <oddFooter>&amp;L&amp;"Arial,Regular"&amp;F:  &amp;A&amp;C&amp;R&amp;"Arial,Regular"Page &amp;P of &amp;N
</oddFooter>
  </headerFooter>
  <rowBreaks count="1" manualBreakCount="1">
    <brk id="113" min="1" max="12" man="1"/>
  </rowBreaks>
  <ignoredErrors>
    <ignoredError sqref="C5" numberStoredAsText="1"/>
  </ignoredErrors>
  <legacyDrawing r:id="rId2"/>
</worksheet>
</file>

<file path=xl/worksheets/sheet3.xml><?xml version="1.0" encoding="utf-8"?>
<worksheet xmlns="http://schemas.openxmlformats.org/spreadsheetml/2006/main" xmlns:r="http://schemas.openxmlformats.org/officeDocument/2006/relationships">
  <sheetPr codeName="Sheet4">
    <tabColor indexed="43"/>
  </sheetPr>
  <dimension ref="B2:AD195"/>
  <sheetViews>
    <sheetView showGridLines="0" zoomScaleSheetLayoutView="80" zoomScalePageLayoutView="0" workbookViewId="0" topLeftCell="A155">
      <selection activeCell="J158" sqref="J158"/>
    </sheetView>
  </sheetViews>
  <sheetFormatPr defaultColWidth="9.00390625" defaultRowHeight="12.75"/>
  <cols>
    <col min="1" max="1" width="2.50390625" style="9" customWidth="1"/>
    <col min="2" max="2" width="2.625" style="9" customWidth="1"/>
    <col min="3" max="3" width="1.875" style="9" customWidth="1"/>
    <col min="4" max="4" width="1.37890625" style="907" customWidth="1"/>
    <col min="5" max="5" width="31.625" style="9" customWidth="1"/>
    <col min="6" max="6" width="13.00390625" style="9" customWidth="1"/>
    <col min="7" max="7" width="2.00390625" style="9" customWidth="1"/>
    <col min="8" max="8" width="2.625" style="9" customWidth="1"/>
    <col min="9" max="9" width="2.00390625" style="9" customWidth="1"/>
    <col min="10" max="10" width="15.00390625" style="9" customWidth="1"/>
    <col min="11" max="11" width="1.75390625" style="9" customWidth="1"/>
    <col min="12" max="12" width="15.00390625" style="9" customWidth="1"/>
    <col min="13" max="13" width="1.4921875" style="9" customWidth="1"/>
    <col min="14" max="14" width="15.00390625" style="9" customWidth="1"/>
    <col min="15" max="15" width="2.125" style="9" customWidth="1"/>
    <col min="16" max="16" width="9.25390625" style="9" customWidth="1"/>
    <col min="17" max="17" width="5.00390625" style="9" customWidth="1"/>
    <col min="18" max="18" width="1.25" style="9" customWidth="1"/>
    <col min="19" max="19" width="3.50390625" style="9" customWidth="1"/>
    <col min="20" max="20" width="36.875" style="9" customWidth="1"/>
    <col min="21" max="21" width="5.50390625" style="648" customWidth="1"/>
    <col min="22" max="22" width="13.625" style="648" customWidth="1"/>
    <col min="23" max="23" width="1.625" style="648" customWidth="1"/>
    <col min="24" max="24" width="6.75390625" style="648" customWidth="1"/>
    <col min="25" max="16384" width="9.00390625" style="9" customWidth="1"/>
  </cols>
  <sheetData>
    <row r="1" ht="3.75" customHeight="1" thickBot="1"/>
    <row r="2" spans="2:24" ht="12.75">
      <c r="B2" s="909"/>
      <c r="C2" s="53"/>
      <c r="D2" s="910"/>
      <c r="E2" s="53"/>
      <c r="F2" s="53"/>
      <c r="G2" s="53"/>
      <c r="H2" s="53"/>
      <c r="I2" s="53"/>
      <c r="J2" s="53"/>
      <c r="K2" s="53"/>
      <c r="L2" s="53"/>
      <c r="M2" s="53"/>
      <c r="N2" s="53"/>
      <c r="O2" s="53"/>
      <c r="P2" s="53"/>
      <c r="Q2" s="53"/>
      <c r="R2" s="53"/>
      <c r="S2" s="53"/>
      <c r="T2" s="53"/>
      <c r="U2" s="650"/>
      <c r="V2" s="650"/>
      <c r="W2" s="650"/>
      <c r="X2" s="1023"/>
    </row>
    <row r="3" spans="2:24" ht="18" customHeight="1">
      <c r="B3" s="653"/>
      <c r="C3" s="1024" t="s">
        <v>97</v>
      </c>
      <c r="D3" s="1018"/>
      <c r="E3" s="48"/>
      <c r="F3" s="48"/>
      <c r="G3" s="48"/>
      <c r="H3" s="48"/>
      <c r="I3" s="48"/>
      <c r="J3" s="48" t="str">
        <f>'Preliminary Information'!$J$3</f>
        <v>Version 1.4</v>
      </c>
      <c r="K3" s="48"/>
      <c r="L3" s="916" t="s">
        <v>198</v>
      </c>
      <c r="M3" s="1025"/>
      <c r="N3" s="917">
        <f>'Preliminary Information'!G6</f>
        <v>0</v>
      </c>
      <c r="O3" s="48"/>
      <c r="P3" s="48"/>
      <c r="Q3" s="48"/>
      <c r="R3" s="48"/>
      <c r="S3" s="48"/>
      <c r="T3" s="51"/>
      <c r="U3" s="51"/>
      <c r="V3" s="51"/>
      <c r="W3" s="51"/>
      <c r="X3" s="459"/>
    </row>
    <row r="4" spans="2:24" ht="15.75" customHeight="1">
      <c r="B4" s="653"/>
      <c r="C4" s="48"/>
      <c r="D4" s="913"/>
      <c r="E4" s="914"/>
      <c r="F4" s="49"/>
      <c r="G4" s="49"/>
      <c r="H4" s="49"/>
      <c r="I4" s="49"/>
      <c r="J4" s="48"/>
      <c r="K4" s="48"/>
      <c r="L4" s="916" t="s">
        <v>218</v>
      </c>
      <c r="M4" s="1025"/>
      <c r="N4" s="917">
        <f>'Preliminary Information'!G7</f>
        <v>0</v>
      </c>
      <c r="O4" s="48"/>
      <c r="P4" s="48"/>
      <c r="Q4" s="48"/>
      <c r="R4" s="48"/>
      <c r="S4" s="48"/>
      <c r="T4" s="51"/>
      <c r="U4" s="660"/>
      <c r="V4" s="51"/>
      <c r="W4" s="51"/>
      <c r="X4" s="459"/>
    </row>
    <row r="5" spans="2:24" ht="15.75" customHeight="1">
      <c r="B5" s="653"/>
      <c r="C5" s="1026" t="s">
        <v>326</v>
      </c>
      <c r="D5" s="913"/>
      <c r="E5" s="914"/>
      <c r="F5" s="49"/>
      <c r="G5" s="49"/>
      <c r="H5" s="49"/>
      <c r="I5" s="49"/>
      <c r="J5" s="48"/>
      <c r="K5" s="48"/>
      <c r="L5" s="916"/>
      <c r="M5" s="1025"/>
      <c r="N5" s="917"/>
      <c r="O5" s="48"/>
      <c r="P5" s="48"/>
      <c r="Q5" s="48"/>
      <c r="R5" s="48"/>
      <c r="S5" s="48"/>
      <c r="T5" s="51"/>
      <c r="U5" s="660"/>
      <c r="V5" s="51"/>
      <c r="W5" s="51"/>
      <c r="X5" s="459"/>
    </row>
    <row r="6" spans="2:24" ht="28.5" customHeight="1">
      <c r="B6" s="653"/>
      <c r="C6" s="217" t="s">
        <v>167</v>
      </c>
      <c r="D6" s="217"/>
      <c r="E6" s="914"/>
      <c r="F6" s="49"/>
      <c r="G6" s="49"/>
      <c r="H6" s="49"/>
      <c r="I6" s="49"/>
      <c r="J6" s="48"/>
      <c r="K6" s="48"/>
      <c r="L6" s="48"/>
      <c r="M6" s="48"/>
      <c r="N6" s="48"/>
      <c r="O6" s="48"/>
      <c r="P6" s="48"/>
      <c r="Q6" s="48"/>
      <c r="R6" s="48"/>
      <c r="S6" s="48"/>
      <c r="T6" s="51"/>
      <c r="U6" s="660"/>
      <c r="V6" s="51"/>
      <c r="W6" s="51"/>
      <c r="X6" s="459"/>
    </row>
    <row r="7" spans="2:24" ht="18.75">
      <c r="B7" s="653"/>
      <c r="C7" s="1027" t="s">
        <v>23</v>
      </c>
      <c r="D7" s="1028" t="s">
        <v>318</v>
      </c>
      <c r="E7" s="1029"/>
      <c r="F7" s="49"/>
      <c r="G7" s="49"/>
      <c r="H7" s="49"/>
      <c r="I7" s="49"/>
      <c r="J7" s="48"/>
      <c r="K7" s="48"/>
      <c r="L7" s="48"/>
      <c r="M7" s="48"/>
      <c r="N7" s="48"/>
      <c r="O7" s="48"/>
      <c r="P7" s="48"/>
      <c r="Q7" s="48"/>
      <c r="R7" s="48"/>
      <c r="S7" s="48"/>
      <c r="T7" s="51"/>
      <c r="U7" s="665"/>
      <c r="V7" s="665"/>
      <c r="W7" s="665"/>
      <c r="X7" s="667"/>
    </row>
    <row r="8" spans="2:24" s="666" customFormat="1" ht="24" customHeight="1">
      <c r="B8" s="662"/>
      <c r="C8" s="1027" t="s">
        <v>24</v>
      </c>
      <c r="D8" s="1028" t="s">
        <v>164</v>
      </c>
      <c r="E8" s="1028"/>
      <c r="F8" s="50"/>
      <c r="G8" s="50"/>
      <c r="H8" s="50"/>
      <c r="I8" s="50"/>
      <c r="J8" s="50"/>
      <c r="K8" s="50"/>
      <c r="L8" s="50"/>
      <c r="M8" s="50"/>
      <c r="N8" s="50"/>
      <c r="O8" s="50"/>
      <c r="P8" s="50"/>
      <c r="Q8" s="50"/>
      <c r="R8" s="50"/>
      <c r="S8" s="50"/>
      <c r="T8" s="665"/>
      <c r="U8" s="665"/>
      <c r="V8" s="665"/>
      <c r="W8" s="665"/>
      <c r="X8" s="667"/>
    </row>
    <row r="9" spans="2:24" s="666" customFormat="1" ht="6.75" customHeight="1">
      <c r="B9" s="662"/>
      <c r="C9" s="921"/>
      <c r="D9" s="1030"/>
      <c r="E9" s="922"/>
      <c r="F9" s="50"/>
      <c r="G9" s="50"/>
      <c r="H9" s="50"/>
      <c r="I9" s="50"/>
      <c r="J9" s="50"/>
      <c r="K9" s="50"/>
      <c r="L9" s="50"/>
      <c r="M9" s="50"/>
      <c r="N9" s="50"/>
      <c r="O9" s="50"/>
      <c r="P9" s="50"/>
      <c r="Q9" s="50"/>
      <c r="R9" s="50"/>
      <c r="S9" s="50"/>
      <c r="T9" s="665"/>
      <c r="U9" s="458"/>
      <c r="V9" s="458"/>
      <c r="W9" s="458"/>
      <c r="X9" s="625"/>
    </row>
    <row r="10" spans="2:24" ht="28.5" customHeight="1">
      <c r="B10" s="653"/>
      <c r="C10" s="989"/>
      <c r="D10" s="990"/>
      <c r="E10" s="821"/>
      <c r="F10" s="153" t="s">
        <v>112</v>
      </c>
      <c r="G10" s="154"/>
      <c r="H10" s="62"/>
      <c r="I10" s="161"/>
      <c r="J10" s="1603" t="s">
        <v>369</v>
      </c>
      <c r="K10" s="675"/>
      <c r="L10" s="1607" t="s">
        <v>144</v>
      </c>
      <c r="M10" s="1031"/>
      <c r="N10" s="1610" t="s">
        <v>367</v>
      </c>
      <c r="O10" s="154"/>
      <c r="P10" s="62"/>
      <c r="Q10" s="458"/>
      <c r="R10" s="458"/>
      <c r="S10" s="669"/>
      <c r="T10" s="669"/>
      <c r="U10" s="669"/>
      <c r="V10" s="669"/>
      <c r="W10" s="669"/>
      <c r="X10" s="459"/>
    </row>
    <row r="11" spans="2:24" ht="13.5" customHeight="1">
      <c r="B11" s="653"/>
      <c r="C11" s="928"/>
      <c r="D11" s="678"/>
      <c r="E11" s="357"/>
      <c r="F11" s="139" t="str">
        <f>'Comprehensive Budget'!F9</f>
        <v>from</v>
      </c>
      <c r="G11" s="155"/>
      <c r="H11" s="62"/>
      <c r="I11" s="162"/>
      <c r="J11" s="1604"/>
      <c r="K11" s="679"/>
      <c r="L11" s="1608"/>
      <c r="M11" s="1032"/>
      <c r="N11" s="1611"/>
      <c r="O11" s="155"/>
      <c r="P11" s="62"/>
      <c r="Q11" s="458"/>
      <c r="R11" s="458"/>
      <c r="S11" s="669"/>
      <c r="T11" s="669"/>
      <c r="U11" s="669"/>
      <c r="V11" s="669"/>
      <c r="W11" s="669"/>
      <c r="X11" s="459"/>
    </row>
    <row r="12" spans="2:24" ht="15" customHeight="1">
      <c r="B12" s="653"/>
      <c r="C12" s="928"/>
      <c r="D12" s="678"/>
      <c r="E12" s="357"/>
      <c r="F12" s="213" t="str">
        <f>'Comprehensive Budget'!F10</f>
        <v>July 1st of</v>
      </c>
      <c r="G12" s="156"/>
      <c r="H12" s="61"/>
      <c r="I12" s="163"/>
      <c r="J12" s="1605"/>
      <c r="K12" s="680"/>
      <c r="L12" s="1608"/>
      <c r="M12" s="1032"/>
      <c r="N12" s="1611"/>
      <c r="O12" s="155"/>
      <c r="P12" s="62"/>
      <c r="Q12" s="458"/>
      <c r="R12" s="458"/>
      <c r="S12" s="669"/>
      <c r="T12" s="669"/>
      <c r="U12" s="669"/>
      <c r="V12" s="669"/>
      <c r="W12" s="669"/>
      <c r="X12" s="459"/>
    </row>
    <row r="13" spans="2:24" ht="13.5" customHeight="1">
      <c r="B13" s="653"/>
      <c r="C13" s="928"/>
      <c r="D13" s="678"/>
      <c r="E13" s="931"/>
      <c r="F13" s="105">
        <f>'Comprehensive Budget'!F11</f>
        <v>2022</v>
      </c>
      <c r="G13" s="157"/>
      <c r="H13" s="42"/>
      <c r="I13" s="164"/>
      <c r="J13" s="1605"/>
      <c r="K13" s="680"/>
      <c r="L13" s="1608"/>
      <c r="M13" s="1032"/>
      <c r="N13" s="1611"/>
      <c r="O13" s="155"/>
      <c r="P13" s="62"/>
      <c r="Q13" s="458"/>
      <c r="R13" s="458"/>
      <c r="S13" s="458"/>
      <c r="T13" s="458"/>
      <c r="U13" s="458"/>
      <c r="V13" s="458"/>
      <c r="W13" s="458"/>
      <c r="X13" s="459"/>
    </row>
    <row r="14" spans="2:24" ht="13.5" customHeight="1">
      <c r="B14" s="653"/>
      <c r="C14" s="928"/>
      <c r="D14" s="678"/>
      <c r="E14" s="931"/>
      <c r="F14" s="193" t="str">
        <f>'Comprehensive Budget'!F12</f>
        <v>to</v>
      </c>
      <c r="G14" s="157"/>
      <c r="H14" s="42"/>
      <c r="I14" s="164"/>
      <c r="J14" s="1605"/>
      <c r="K14" s="680"/>
      <c r="L14" s="1608"/>
      <c r="M14" s="1032"/>
      <c r="N14" s="1611"/>
      <c r="O14" s="155"/>
      <c r="P14" s="62"/>
      <c r="Q14" s="458"/>
      <c r="R14" s="458"/>
      <c r="S14" s="458"/>
      <c r="T14" s="458"/>
      <c r="U14" s="458"/>
      <c r="V14" s="458"/>
      <c r="W14" s="458"/>
      <c r="X14" s="459"/>
    </row>
    <row r="15" spans="2:24" ht="17.25" customHeight="1">
      <c r="B15" s="653"/>
      <c r="C15" s="928"/>
      <c r="D15" s="678"/>
      <c r="E15" s="357"/>
      <c r="F15" s="213" t="str">
        <f>'Comprehensive Budget'!F13</f>
        <v>June 30th of</v>
      </c>
      <c r="G15" s="156"/>
      <c r="H15" s="61"/>
      <c r="I15" s="163"/>
      <c r="J15" s="1605"/>
      <c r="K15" s="680"/>
      <c r="L15" s="1608"/>
      <c r="M15" s="1032"/>
      <c r="N15" s="1611"/>
      <c r="O15" s="155"/>
      <c r="P15" s="62"/>
      <c r="Q15" s="458"/>
      <c r="R15" s="458"/>
      <c r="S15" s="458"/>
      <c r="T15" s="458"/>
      <c r="U15" s="458"/>
      <c r="V15" s="458"/>
      <c r="W15" s="458"/>
      <c r="X15" s="459"/>
    </row>
    <row r="16" spans="2:24" ht="15.75" customHeight="1">
      <c r="B16" s="653"/>
      <c r="C16" s="928"/>
      <c r="D16" s="678"/>
      <c r="E16" s="931"/>
      <c r="F16" s="105">
        <f>'Comprehensive Budget'!F14</f>
        <v>2023</v>
      </c>
      <c r="G16" s="157"/>
      <c r="H16" s="42"/>
      <c r="I16" s="164"/>
      <c r="J16" s="1606"/>
      <c r="K16" s="676"/>
      <c r="L16" s="1609"/>
      <c r="M16" s="1033"/>
      <c r="N16" s="1612"/>
      <c r="O16" s="155"/>
      <c r="P16" s="62"/>
      <c r="Q16" s="458"/>
      <c r="R16" s="458"/>
      <c r="S16" s="458"/>
      <c r="T16" s="458"/>
      <c r="U16" s="458"/>
      <c r="V16" s="458"/>
      <c r="W16" s="458"/>
      <c r="X16" s="459"/>
    </row>
    <row r="17" spans="2:24" ht="12.75" customHeight="1">
      <c r="B17" s="653"/>
      <c r="C17" s="936">
        <v>1</v>
      </c>
      <c r="D17" s="684"/>
      <c r="E17" s="685"/>
      <c r="F17" s="140">
        <v>2</v>
      </c>
      <c r="G17" s="158"/>
      <c r="H17" s="56"/>
      <c r="I17" s="165"/>
      <c r="J17" s="685">
        <v>3</v>
      </c>
      <c r="K17" s="685"/>
      <c r="L17" s="140">
        <v>4</v>
      </c>
      <c r="M17" s="1034"/>
      <c r="N17" s="140">
        <v>5</v>
      </c>
      <c r="O17" s="158"/>
      <c r="P17" s="56"/>
      <c r="Q17" s="458"/>
      <c r="R17" s="458"/>
      <c r="S17" s="458"/>
      <c r="T17" s="458"/>
      <c r="U17" s="458"/>
      <c r="V17" s="458"/>
      <c r="W17" s="458"/>
      <c r="X17" s="459"/>
    </row>
    <row r="18" spans="2:24" ht="5.25" customHeight="1" thickBot="1">
      <c r="B18" s="653"/>
      <c r="C18" s="938"/>
      <c r="D18" s="688"/>
      <c r="E18" s="689"/>
      <c r="F18" s="159"/>
      <c r="G18" s="160"/>
      <c r="H18" s="56"/>
      <c r="I18" s="166"/>
      <c r="J18" s="689"/>
      <c r="K18" s="689"/>
      <c r="L18" s="690"/>
      <c r="M18" s="690"/>
      <c r="N18" s="690"/>
      <c r="O18" s="160"/>
      <c r="P18" s="56"/>
      <c r="Q18" s="458"/>
      <c r="R18" s="458"/>
      <c r="S18" s="458"/>
      <c r="T18" s="458"/>
      <c r="U18" s="458"/>
      <c r="V18" s="458"/>
      <c r="W18" s="458"/>
      <c r="X18" s="459"/>
    </row>
    <row r="19" spans="2:24" ht="13.5" customHeight="1">
      <c r="B19" s="653"/>
      <c r="C19" s="939"/>
      <c r="D19" s="691"/>
      <c r="E19" s="692"/>
      <c r="F19" s="56"/>
      <c r="G19" s="56"/>
      <c r="H19" s="56"/>
      <c r="I19" s="56"/>
      <c r="J19" s="692"/>
      <c r="K19" s="692"/>
      <c r="L19" s="56"/>
      <c r="M19" s="56"/>
      <c r="N19" s="56"/>
      <c r="O19" s="693"/>
      <c r="P19" s="56"/>
      <c r="Q19" s="458"/>
      <c r="R19" s="458"/>
      <c r="S19" s="458"/>
      <c r="T19" s="458"/>
      <c r="U19" s="458"/>
      <c r="V19" s="458"/>
      <c r="W19" s="458"/>
      <c r="X19" s="459"/>
    </row>
    <row r="20" spans="2:24" ht="7.5" customHeight="1">
      <c r="B20" s="653"/>
      <c r="C20" s="940"/>
      <c r="D20" s="695"/>
      <c r="E20" s="696"/>
      <c r="F20" s="167"/>
      <c r="G20" s="168"/>
      <c r="H20" s="56"/>
      <c r="I20" s="176"/>
      <c r="J20" s="697"/>
      <c r="K20" s="697"/>
      <c r="L20" s="698"/>
      <c r="M20" s="698"/>
      <c r="N20" s="698"/>
      <c r="O20" s="158"/>
      <c r="P20" s="56"/>
      <c r="Q20" s="458"/>
      <c r="R20" s="458"/>
      <c r="S20" s="458"/>
      <c r="T20" s="458"/>
      <c r="U20" s="458"/>
      <c r="V20" s="458"/>
      <c r="W20" s="458"/>
      <c r="X20" s="459"/>
    </row>
    <row r="21" spans="2:24" ht="15.75" customHeight="1">
      <c r="B21" s="653"/>
      <c r="C21" s="928"/>
      <c r="D21" s="825" t="s">
        <v>91</v>
      </c>
      <c r="E21" s="825"/>
      <c r="F21" s="72"/>
      <c r="G21" s="169"/>
      <c r="H21" s="57"/>
      <c r="I21" s="177"/>
      <c r="J21" s="705"/>
      <c r="K21" s="705"/>
      <c r="L21" s="705"/>
      <c r="M21" s="705"/>
      <c r="N21" s="705"/>
      <c r="O21" s="706"/>
      <c r="P21" s="707"/>
      <c r="Q21" s="458"/>
      <c r="R21" s="458"/>
      <c r="S21" s="458"/>
      <c r="T21" s="458"/>
      <c r="U21" s="458"/>
      <c r="V21" s="458"/>
      <c r="W21" s="458"/>
      <c r="X21" s="459"/>
    </row>
    <row r="22" spans="2:24" ht="5.25" customHeight="1">
      <c r="B22" s="653"/>
      <c r="C22" s="928"/>
      <c r="D22" s="141"/>
      <c r="E22" s="141"/>
      <c r="F22" s="141"/>
      <c r="G22" s="169"/>
      <c r="H22" s="57"/>
      <c r="I22" s="177"/>
      <c r="J22" s="709"/>
      <c r="K22" s="709"/>
      <c r="L22" s="709"/>
      <c r="M22" s="709"/>
      <c r="N22" s="709"/>
      <c r="O22" s="706"/>
      <c r="P22" s="707"/>
      <c r="Q22" s="458"/>
      <c r="R22" s="458"/>
      <c r="S22" s="458"/>
      <c r="T22" s="458"/>
      <c r="U22" s="458"/>
      <c r="V22" s="458"/>
      <c r="W22" s="458"/>
      <c r="X22" s="459"/>
    </row>
    <row r="23" spans="2:24" ht="13.5" customHeight="1">
      <c r="B23" s="653"/>
      <c r="C23" s="928"/>
      <c r="D23" s="807" t="s">
        <v>48</v>
      </c>
      <c r="E23" s="943"/>
      <c r="F23" s="73"/>
      <c r="G23" s="170"/>
      <c r="H23" s="58"/>
      <c r="I23" s="178"/>
      <c r="J23" s="716"/>
      <c r="K23" s="712"/>
      <c r="L23" s="712"/>
      <c r="M23" s="712"/>
      <c r="N23" s="712"/>
      <c r="O23" s="713"/>
      <c r="P23" s="714"/>
      <c r="Q23" s="458"/>
      <c r="R23" s="458"/>
      <c r="S23" s="458"/>
      <c r="T23" s="458"/>
      <c r="U23" s="458"/>
      <c r="V23" s="458"/>
      <c r="W23" s="458"/>
      <c r="X23" s="459"/>
    </row>
    <row r="24" spans="2:24" ht="5.25" customHeight="1">
      <c r="B24" s="653"/>
      <c r="C24" s="928"/>
      <c r="D24" s="569"/>
      <c r="E24" s="948"/>
      <c r="F24" s="569"/>
      <c r="G24" s="170"/>
      <c r="H24" s="58"/>
      <c r="I24" s="178"/>
      <c r="J24" s="719"/>
      <c r="K24" s="719"/>
      <c r="L24" s="719"/>
      <c r="M24" s="719"/>
      <c r="N24" s="719"/>
      <c r="O24" s="713"/>
      <c r="P24" s="714"/>
      <c r="Q24" s="458"/>
      <c r="R24" s="720"/>
      <c r="S24" s="721"/>
      <c r="T24" s="721"/>
      <c r="U24" s="721"/>
      <c r="V24" s="721"/>
      <c r="W24" s="1035"/>
      <c r="X24" s="459"/>
    </row>
    <row r="25" spans="2:24" ht="13.5" customHeight="1">
      <c r="B25" s="653"/>
      <c r="C25" s="928"/>
      <c r="D25" s="678"/>
      <c r="E25" s="186" t="s">
        <v>61</v>
      </c>
      <c r="F25" s="185">
        <f>'Comprehensive Budget'!F24</f>
        <v>0</v>
      </c>
      <c r="G25" s="171"/>
      <c r="H25" s="59"/>
      <c r="I25" s="179"/>
      <c r="J25" s="1200"/>
      <c r="K25" s="143"/>
      <c r="L25" s="748">
        <f aca="true" t="shared" si="0" ref="L25:L31">F25-J25</f>
        <v>0</v>
      </c>
      <c r="M25" s="184"/>
      <c r="N25" s="1201"/>
      <c r="O25" s="171"/>
      <c r="P25" s="59"/>
      <c r="Q25" s="458"/>
      <c r="R25" s="724"/>
      <c r="S25" s="725" t="s">
        <v>100</v>
      </c>
      <c r="T25" s="726"/>
      <c r="U25" s="726"/>
      <c r="V25" s="726"/>
      <c r="W25" s="727"/>
      <c r="X25" s="459"/>
    </row>
    <row r="26" spans="2:24" ht="13.5" customHeight="1">
      <c r="B26" s="653"/>
      <c r="C26" s="928"/>
      <c r="D26" s="678"/>
      <c r="E26" s="186" t="s">
        <v>299</v>
      </c>
      <c r="F26" s="185">
        <f>'Comprehensive Budget'!F25</f>
        <v>0</v>
      </c>
      <c r="G26" s="171"/>
      <c r="H26" s="59"/>
      <c r="I26" s="179"/>
      <c r="J26" s="1200">
        <v>0</v>
      </c>
      <c r="K26" s="143"/>
      <c r="L26" s="748">
        <f t="shared" si="0"/>
        <v>0</v>
      </c>
      <c r="M26" s="184"/>
      <c r="N26" s="1202"/>
      <c r="O26" s="171"/>
      <c r="P26" s="59"/>
      <c r="Q26" s="458"/>
      <c r="R26" s="724"/>
      <c r="S26" s="728" t="s">
        <v>106</v>
      </c>
      <c r="T26" s="726"/>
      <c r="U26" s="729"/>
      <c r="V26" s="729"/>
      <c r="W26" s="730"/>
      <c r="X26" s="459"/>
    </row>
    <row r="27" spans="2:24" ht="13.5" customHeight="1" thickBot="1">
      <c r="B27" s="653"/>
      <c r="C27" s="928"/>
      <c r="D27" s="678"/>
      <c r="E27" s="186" t="s">
        <v>294</v>
      </c>
      <c r="F27" s="185">
        <f>'Comprehensive Budget'!F26</f>
        <v>0</v>
      </c>
      <c r="G27" s="171"/>
      <c r="H27" s="59"/>
      <c r="I27" s="179"/>
      <c r="J27" s="1200">
        <v>0</v>
      </c>
      <c r="K27" s="143"/>
      <c r="L27" s="748">
        <f t="shared" si="0"/>
        <v>0</v>
      </c>
      <c r="M27" s="184"/>
      <c r="N27" s="1203"/>
      <c r="O27" s="171"/>
      <c r="P27" s="59"/>
      <c r="Q27" s="458"/>
      <c r="R27" s="731"/>
      <c r="S27" s="732"/>
      <c r="T27" s="732"/>
      <c r="U27" s="732"/>
      <c r="V27" s="732"/>
      <c r="W27" s="733"/>
      <c r="X27" s="459"/>
    </row>
    <row r="28" spans="2:24" ht="13.5" customHeight="1">
      <c r="B28" s="653"/>
      <c r="C28" s="928"/>
      <c r="D28" s="678"/>
      <c r="E28" s="186" t="s">
        <v>295</v>
      </c>
      <c r="F28" s="185">
        <f>'Comprehensive Budget'!F27</f>
        <v>0</v>
      </c>
      <c r="G28" s="171"/>
      <c r="H28" s="59"/>
      <c r="I28" s="179"/>
      <c r="J28" s="1189">
        <v>0</v>
      </c>
      <c r="K28" s="143"/>
      <c r="L28" s="748">
        <f t="shared" si="0"/>
        <v>0</v>
      </c>
      <c r="M28" s="184"/>
      <c r="N28" s="734"/>
      <c r="O28" s="171"/>
      <c r="P28" s="59"/>
      <c r="Q28" s="458"/>
      <c r="R28" s="458"/>
      <c r="S28" s="458"/>
      <c r="T28" s="458"/>
      <c r="U28" s="458"/>
      <c r="V28" s="458"/>
      <c r="W28" s="458"/>
      <c r="X28" s="459"/>
    </row>
    <row r="29" spans="2:24" ht="13.5" customHeight="1" thickBot="1">
      <c r="B29" s="653"/>
      <c r="C29" s="928"/>
      <c r="D29" s="678"/>
      <c r="E29" s="186" t="s">
        <v>62</v>
      </c>
      <c r="F29" s="185">
        <f>'Comprehensive Budget'!F28</f>
        <v>0</v>
      </c>
      <c r="G29" s="171"/>
      <c r="H29" s="59"/>
      <c r="I29" s="179"/>
      <c r="J29" s="1200"/>
      <c r="K29" s="143"/>
      <c r="L29" s="748">
        <f t="shared" si="0"/>
        <v>0</v>
      </c>
      <c r="M29" s="184"/>
      <c r="N29" s="1204"/>
      <c r="O29" s="171"/>
      <c r="P29" s="59"/>
      <c r="Q29" s="458"/>
      <c r="R29" s="458"/>
      <c r="S29" s="458"/>
      <c r="T29" s="458"/>
      <c r="U29" s="458"/>
      <c r="V29" s="458"/>
      <c r="W29" s="458"/>
      <c r="X29" s="459"/>
    </row>
    <row r="30" spans="2:24" ht="13.5" customHeight="1" hidden="1">
      <c r="B30" s="653"/>
      <c r="C30" s="928"/>
      <c r="D30" s="678"/>
      <c r="E30" s="735" t="s">
        <v>310</v>
      </c>
      <c r="F30" s="185">
        <f>'Comprehensive Budget'!F29</f>
        <v>0</v>
      </c>
      <c r="G30" s="171"/>
      <c r="H30" s="59"/>
      <c r="I30" s="179"/>
      <c r="J30" s="1189">
        <v>0</v>
      </c>
      <c r="K30" s="143"/>
      <c r="L30" s="748">
        <f>F30-J30</f>
        <v>0</v>
      </c>
      <c r="M30" s="184"/>
      <c r="N30" s="736"/>
      <c r="O30" s="171"/>
      <c r="P30" s="59"/>
      <c r="Q30" s="458"/>
      <c r="R30" s="458"/>
      <c r="S30" s="458"/>
      <c r="T30" s="458"/>
      <c r="U30" s="458"/>
      <c r="V30" s="458"/>
      <c r="W30" s="458"/>
      <c r="X30" s="459"/>
    </row>
    <row r="31" spans="2:24" ht="13.5" customHeight="1">
      <c r="B31" s="653"/>
      <c r="C31" s="928"/>
      <c r="D31" s="678"/>
      <c r="E31" s="737" t="s">
        <v>331</v>
      </c>
      <c r="F31" s="185">
        <f>'Comprehensive Budget'!F30</f>
        <v>0</v>
      </c>
      <c r="G31" s="171"/>
      <c r="H31" s="59"/>
      <c r="I31" s="179"/>
      <c r="J31" s="1189">
        <v>0</v>
      </c>
      <c r="K31" s="143"/>
      <c r="L31" s="748">
        <f t="shared" si="0"/>
        <v>0</v>
      </c>
      <c r="M31" s="184"/>
      <c r="N31" s="736"/>
      <c r="O31" s="171"/>
      <c r="P31" s="59"/>
      <c r="Q31" s="458"/>
      <c r="R31" s="458"/>
      <c r="S31" s="458"/>
      <c r="T31" s="458"/>
      <c r="U31" s="458"/>
      <c r="V31" s="458"/>
      <c r="W31" s="458"/>
      <c r="X31" s="459"/>
    </row>
    <row r="32" spans="2:24" ht="5.25" customHeight="1">
      <c r="B32" s="653"/>
      <c r="C32" s="928"/>
      <c r="D32" s="678"/>
      <c r="E32" s="957"/>
      <c r="F32" s="184"/>
      <c r="G32" s="171"/>
      <c r="H32" s="59"/>
      <c r="I32" s="179"/>
      <c r="J32" s="143"/>
      <c r="K32" s="143"/>
      <c r="L32" s="184"/>
      <c r="M32" s="184"/>
      <c r="N32" s="184"/>
      <c r="O32" s="171"/>
      <c r="P32" s="59"/>
      <c r="Q32" s="458"/>
      <c r="R32" s="458"/>
      <c r="S32" s="458"/>
      <c r="T32" s="458"/>
      <c r="U32" s="458"/>
      <c r="V32" s="458"/>
      <c r="W32" s="458"/>
      <c r="X32" s="459"/>
    </row>
    <row r="33" spans="2:24" ht="13.5" customHeight="1">
      <c r="B33" s="653"/>
      <c r="C33" s="928"/>
      <c r="D33" s="807" t="s">
        <v>63</v>
      </c>
      <c r="E33" s="943"/>
      <c r="F33" s="74"/>
      <c r="G33" s="172"/>
      <c r="H33" s="60"/>
      <c r="I33" s="180"/>
      <c r="J33" s="203"/>
      <c r="K33" s="203"/>
      <c r="L33" s="203"/>
      <c r="M33" s="203"/>
      <c r="N33" s="203"/>
      <c r="O33" s="739"/>
      <c r="P33" s="740"/>
      <c r="Q33" s="458"/>
      <c r="R33" s="458"/>
      <c r="S33" s="458"/>
      <c r="T33" s="458"/>
      <c r="U33" s="458"/>
      <c r="V33" s="458"/>
      <c r="W33" s="458"/>
      <c r="X33" s="459"/>
    </row>
    <row r="34" spans="2:24" ht="5.25" customHeight="1">
      <c r="B34" s="653"/>
      <c r="C34" s="928"/>
      <c r="D34" s="569"/>
      <c r="E34" s="948"/>
      <c r="F34" s="568"/>
      <c r="G34" s="172"/>
      <c r="H34" s="60"/>
      <c r="I34" s="180"/>
      <c r="J34" s="204"/>
      <c r="K34" s="204"/>
      <c r="L34" s="204"/>
      <c r="M34" s="204"/>
      <c r="N34" s="204"/>
      <c r="O34" s="739"/>
      <c r="P34" s="740"/>
      <c r="Q34" s="458"/>
      <c r="R34" s="744"/>
      <c r="S34" s="745"/>
      <c r="T34" s="745"/>
      <c r="U34" s="745"/>
      <c r="V34" s="745"/>
      <c r="W34" s="1036"/>
      <c r="X34" s="459"/>
    </row>
    <row r="35" spans="2:24" ht="13.5" customHeight="1">
      <c r="B35" s="653"/>
      <c r="C35" s="928"/>
      <c r="D35" s="678"/>
      <c r="E35" s="186" t="s">
        <v>302</v>
      </c>
      <c r="F35" s="185">
        <f>'Comprehensive Budget'!F34</f>
        <v>0</v>
      </c>
      <c r="G35" s="171"/>
      <c r="H35" s="59"/>
      <c r="I35" s="179"/>
      <c r="J35" s="1205"/>
      <c r="K35" s="143"/>
      <c r="L35" s="748">
        <f aca="true" t="shared" si="1" ref="L35:L44">F35-J35</f>
        <v>0</v>
      </c>
      <c r="M35" s="184"/>
      <c r="N35" s="1201"/>
      <c r="O35" s="171"/>
      <c r="P35" s="59"/>
      <c r="Q35" s="458"/>
      <c r="R35" s="749"/>
      <c r="S35" s="750" t="s">
        <v>99</v>
      </c>
      <c r="T35" s="751"/>
      <c r="U35" s="751"/>
      <c r="V35" s="751"/>
      <c r="W35" s="752"/>
      <c r="X35" s="459"/>
    </row>
    <row r="36" spans="2:24" ht="13.5" customHeight="1">
      <c r="B36" s="653"/>
      <c r="C36" s="928"/>
      <c r="D36" s="678"/>
      <c r="E36" s="186" t="s">
        <v>303</v>
      </c>
      <c r="F36" s="185">
        <f>'Comprehensive Budget'!F35</f>
        <v>0</v>
      </c>
      <c r="G36" s="171"/>
      <c r="H36" s="59"/>
      <c r="I36" s="179"/>
      <c r="J36" s="1190">
        <v>0</v>
      </c>
      <c r="K36" s="143"/>
      <c r="L36" s="748">
        <f t="shared" si="1"/>
        <v>0</v>
      </c>
      <c r="M36" s="184"/>
      <c r="N36" s="1202"/>
      <c r="O36" s="171"/>
      <c r="P36" s="59"/>
      <c r="Q36" s="458"/>
      <c r="R36" s="749"/>
      <c r="S36" s="754" t="s">
        <v>408</v>
      </c>
      <c r="T36" s="751"/>
      <c r="U36" s="755"/>
      <c r="V36" s="755"/>
      <c r="W36" s="756"/>
      <c r="X36" s="459"/>
    </row>
    <row r="37" spans="2:24" ht="13.5" customHeight="1" thickBot="1">
      <c r="B37" s="653"/>
      <c r="C37" s="928"/>
      <c r="D37" s="678"/>
      <c r="E37" s="186" t="s">
        <v>64</v>
      </c>
      <c r="F37" s="185">
        <f>'Comprehensive Budget'!F36</f>
        <v>0</v>
      </c>
      <c r="G37" s="171"/>
      <c r="H37" s="59"/>
      <c r="I37" s="179"/>
      <c r="J37" s="1205"/>
      <c r="K37" s="143"/>
      <c r="L37" s="748">
        <f t="shared" si="1"/>
        <v>0</v>
      </c>
      <c r="M37" s="803"/>
      <c r="N37" s="1203"/>
      <c r="O37" s="171"/>
      <c r="P37" s="59"/>
      <c r="Q37" s="458"/>
      <c r="R37" s="757"/>
      <c r="S37" s="758"/>
      <c r="T37" s="758"/>
      <c r="U37" s="758"/>
      <c r="V37" s="758"/>
      <c r="W37" s="759"/>
      <c r="X37" s="459"/>
    </row>
    <row r="38" spans="2:24" ht="13.5" customHeight="1">
      <c r="B38" s="653"/>
      <c r="C38" s="928"/>
      <c r="D38" s="678"/>
      <c r="E38" s="186" t="s">
        <v>297</v>
      </c>
      <c r="F38" s="185">
        <f>'Comprehensive Budget'!F37</f>
        <v>0</v>
      </c>
      <c r="G38" s="171"/>
      <c r="H38" s="59"/>
      <c r="I38" s="179"/>
      <c r="J38" s="1190">
        <v>0</v>
      </c>
      <c r="K38" s="143"/>
      <c r="L38" s="748">
        <f t="shared" si="1"/>
        <v>0</v>
      </c>
      <c r="M38" s="184"/>
      <c r="N38" s="641"/>
      <c r="O38" s="171"/>
      <c r="P38" s="59"/>
      <c r="Q38" s="458"/>
      <c r="R38" s="458"/>
      <c r="S38" s="458"/>
      <c r="T38" s="458"/>
      <c r="U38" s="458"/>
      <c r="V38" s="458"/>
      <c r="W38" s="458"/>
      <c r="X38" s="459"/>
    </row>
    <row r="39" spans="2:24" ht="13.5" customHeight="1" thickBot="1">
      <c r="B39" s="653"/>
      <c r="C39" s="928"/>
      <c r="D39" s="678"/>
      <c r="E39" s="186" t="s">
        <v>65</v>
      </c>
      <c r="F39" s="185">
        <f>'Comprehensive Budget'!F38</f>
        <v>0</v>
      </c>
      <c r="G39" s="171"/>
      <c r="H39" s="59"/>
      <c r="I39" s="179"/>
      <c r="J39" s="1205"/>
      <c r="K39" s="143"/>
      <c r="L39" s="748">
        <f t="shared" si="1"/>
        <v>0</v>
      </c>
      <c r="M39" s="184"/>
      <c r="N39" s="1204"/>
      <c r="O39" s="171"/>
      <c r="P39" s="59"/>
      <c r="Q39" s="458"/>
      <c r="R39" s="458"/>
      <c r="S39" s="458"/>
      <c r="T39" s="458"/>
      <c r="U39" s="458"/>
      <c r="V39" s="458"/>
      <c r="W39" s="458"/>
      <c r="X39" s="459"/>
    </row>
    <row r="40" spans="2:24" ht="13.5" customHeight="1">
      <c r="B40" s="653"/>
      <c r="C40" s="928"/>
      <c r="D40" s="678"/>
      <c r="E40" s="186" t="s">
        <v>296</v>
      </c>
      <c r="F40" s="185">
        <f>'Comprehensive Budget'!F39</f>
        <v>0</v>
      </c>
      <c r="G40" s="171"/>
      <c r="H40" s="59"/>
      <c r="I40" s="179"/>
      <c r="J40" s="1190">
        <v>0</v>
      </c>
      <c r="K40" s="143"/>
      <c r="L40" s="748">
        <f t="shared" si="1"/>
        <v>0</v>
      </c>
      <c r="M40" s="184"/>
      <c r="N40" s="734"/>
      <c r="O40" s="171"/>
      <c r="P40" s="59"/>
      <c r="Q40" s="458"/>
      <c r="R40" s="458"/>
      <c r="S40" s="51"/>
      <c r="T40" s="51"/>
      <c r="U40" s="51"/>
      <c r="V40" s="51"/>
      <c r="W40" s="51"/>
      <c r="X40" s="459"/>
    </row>
    <row r="41" spans="2:24" ht="13.5" customHeight="1" thickBot="1">
      <c r="B41" s="653"/>
      <c r="C41" s="928"/>
      <c r="D41" s="678"/>
      <c r="E41" s="186" t="s">
        <v>12</v>
      </c>
      <c r="F41" s="185">
        <f>'Comprehensive Budget'!F40</f>
        <v>0</v>
      </c>
      <c r="G41" s="171"/>
      <c r="H41" s="59"/>
      <c r="I41" s="179"/>
      <c r="J41" s="1205"/>
      <c r="K41" s="143"/>
      <c r="L41" s="748">
        <f t="shared" si="1"/>
        <v>0</v>
      </c>
      <c r="M41" s="184"/>
      <c r="N41" s="1206"/>
      <c r="O41" s="171"/>
      <c r="P41" s="59"/>
      <c r="Q41" s="458"/>
      <c r="R41" s="458"/>
      <c r="S41" s="458"/>
      <c r="T41" s="458"/>
      <c r="U41" s="458"/>
      <c r="V41" s="458"/>
      <c r="W41" s="458"/>
      <c r="X41" s="459"/>
    </row>
    <row r="42" spans="2:24" ht="13.5" customHeight="1">
      <c r="B42" s="653"/>
      <c r="C42" s="928"/>
      <c r="D42" s="678"/>
      <c r="E42" s="186" t="s">
        <v>298</v>
      </c>
      <c r="F42" s="185">
        <f>'Comprehensive Budget'!F41</f>
        <v>0</v>
      </c>
      <c r="G42" s="171"/>
      <c r="H42" s="59"/>
      <c r="I42" s="179"/>
      <c r="J42" s="1190">
        <v>0</v>
      </c>
      <c r="K42" s="143"/>
      <c r="L42" s="748">
        <f t="shared" si="1"/>
        <v>0</v>
      </c>
      <c r="M42" s="184"/>
      <c r="N42" s="760"/>
      <c r="O42" s="171"/>
      <c r="P42" s="59"/>
      <c r="Q42" s="458"/>
      <c r="R42" s="458"/>
      <c r="S42" s="458"/>
      <c r="T42" s="458"/>
      <c r="U42" s="458"/>
      <c r="V42" s="458"/>
      <c r="W42" s="458"/>
      <c r="X42" s="459"/>
    </row>
    <row r="43" spans="2:24" ht="13.5" customHeight="1" hidden="1">
      <c r="B43" s="653"/>
      <c r="C43" s="928"/>
      <c r="D43" s="678"/>
      <c r="E43" s="735" t="s">
        <v>310</v>
      </c>
      <c r="F43" s="185">
        <f>'Comprehensive Budget'!F42</f>
        <v>0</v>
      </c>
      <c r="G43" s="171"/>
      <c r="H43" s="59"/>
      <c r="I43" s="179"/>
      <c r="J43" s="1190">
        <v>0</v>
      </c>
      <c r="K43" s="143"/>
      <c r="L43" s="748">
        <f t="shared" si="1"/>
        <v>0</v>
      </c>
      <c r="M43" s="184"/>
      <c r="N43" s="736"/>
      <c r="O43" s="171"/>
      <c r="P43" s="59"/>
      <c r="Q43" s="458"/>
      <c r="R43" s="458"/>
      <c r="S43" s="458"/>
      <c r="T43" s="458"/>
      <c r="U43" s="458"/>
      <c r="V43" s="458"/>
      <c r="W43" s="458"/>
      <c r="X43" s="459"/>
    </row>
    <row r="44" spans="2:24" ht="13.5" customHeight="1">
      <c r="B44" s="653"/>
      <c r="C44" s="928"/>
      <c r="D44" s="678"/>
      <c r="E44" s="737" t="s">
        <v>331</v>
      </c>
      <c r="F44" s="185">
        <f>'Comprehensive Budget'!F43</f>
        <v>0</v>
      </c>
      <c r="G44" s="171"/>
      <c r="H44" s="59"/>
      <c r="I44" s="179"/>
      <c r="J44" s="1190">
        <v>0</v>
      </c>
      <c r="K44" s="143"/>
      <c r="L44" s="748">
        <f t="shared" si="1"/>
        <v>0</v>
      </c>
      <c r="M44" s="184"/>
      <c r="N44" s="184"/>
      <c r="O44" s="171"/>
      <c r="P44" s="59"/>
      <c r="Q44" s="458"/>
      <c r="R44" s="761"/>
      <c r="S44" s="762"/>
      <c r="T44" s="762"/>
      <c r="U44" s="762"/>
      <c r="V44" s="762"/>
      <c r="W44" s="763"/>
      <c r="X44" s="459"/>
    </row>
    <row r="45" spans="2:24" ht="5.25" customHeight="1">
      <c r="B45" s="653"/>
      <c r="C45" s="928"/>
      <c r="D45" s="678"/>
      <c r="E45" s="957"/>
      <c r="F45" s="184"/>
      <c r="G45" s="171"/>
      <c r="H45" s="59"/>
      <c r="I45" s="179"/>
      <c r="J45" s="143"/>
      <c r="K45" s="143"/>
      <c r="L45" s="184"/>
      <c r="M45" s="184"/>
      <c r="N45" s="184"/>
      <c r="O45" s="171"/>
      <c r="P45" s="59"/>
      <c r="Q45" s="458"/>
      <c r="R45" s="764"/>
      <c r="S45" s="765"/>
      <c r="T45" s="765"/>
      <c r="U45" s="765"/>
      <c r="V45" s="765"/>
      <c r="W45" s="766"/>
      <c r="X45" s="459"/>
    </row>
    <row r="46" spans="2:24" ht="13.5" customHeight="1">
      <c r="B46" s="653"/>
      <c r="C46" s="928"/>
      <c r="D46" s="807" t="s">
        <v>13</v>
      </c>
      <c r="E46" s="943"/>
      <c r="F46" s="74"/>
      <c r="G46" s="172"/>
      <c r="H46" s="60"/>
      <c r="I46" s="180"/>
      <c r="J46" s="203"/>
      <c r="K46" s="203"/>
      <c r="L46" s="203"/>
      <c r="M46" s="203"/>
      <c r="N46" s="203"/>
      <c r="O46" s="739"/>
      <c r="P46" s="1153" t="s">
        <v>375</v>
      </c>
      <c r="Q46" s="51"/>
      <c r="R46" s="764"/>
      <c r="S46" s="767" t="s">
        <v>98</v>
      </c>
      <c r="T46" s="768"/>
      <c r="U46" s="768"/>
      <c r="V46" s="768"/>
      <c r="W46" s="769"/>
      <c r="X46" s="459"/>
    </row>
    <row r="47" spans="2:24" ht="5.25" customHeight="1">
      <c r="B47" s="653"/>
      <c r="C47" s="928"/>
      <c r="D47" s="678"/>
      <c r="E47" s="770"/>
      <c r="F47" s="184"/>
      <c r="G47" s="171"/>
      <c r="H47" s="59"/>
      <c r="I47" s="179"/>
      <c r="J47" s="143"/>
      <c r="K47" s="143"/>
      <c r="L47" s="184"/>
      <c r="M47" s="184"/>
      <c r="N47" s="184"/>
      <c r="O47" s="171"/>
      <c r="P47" s="59"/>
      <c r="Q47" s="51"/>
      <c r="R47" s="764"/>
      <c r="S47" s="768"/>
      <c r="T47" s="768"/>
      <c r="U47" s="768"/>
      <c r="V47" s="768"/>
      <c r="W47" s="769"/>
      <c r="X47" s="459"/>
    </row>
    <row r="48" spans="2:28" ht="13.5" customHeight="1">
      <c r="B48" s="653"/>
      <c r="C48" s="928"/>
      <c r="D48" s="678"/>
      <c r="E48" s="186" t="s">
        <v>213</v>
      </c>
      <c r="F48" s="185">
        <f>'Comprehensive Budget'!F47</f>
        <v>0</v>
      </c>
      <c r="G48" s="171"/>
      <c r="H48" s="59"/>
      <c r="I48" s="179"/>
      <c r="J48" s="216">
        <f>F48</f>
        <v>0</v>
      </c>
      <c r="K48" s="143"/>
      <c r="L48" s="748">
        <f>F48-J48</f>
        <v>0</v>
      </c>
      <c r="M48" s="184"/>
      <c r="N48" s="184"/>
      <c r="O48" s="171"/>
      <c r="P48" s="1154">
        <f>(J48/0.9)*0.1</f>
        <v>0</v>
      </c>
      <c r="Q48" s="59"/>
      <c r="R48" s="764"/>
      <c r="S48" s="771" t="s">
        <v>148</v>
      </c>
      <c r="T48" s="772"/>
      <c r="U48" s="768"/>
      <c r="V48" s="772"/>
      <c r="W48" s="766"/>
      <c r="X48" s="459"/>
      <c r="Y48" s="1595"/>
      <c r="Z48" s="1596"/>
      <c r="AA48" s="1596"/>
      <c r="AB48" s="1596"/>
    </row>
    <row r="49" spans="2:28" ht="13.5" customHeight="1">
      <c r="B49" s="653"/>
      <c r="C49" s="928"/>
      <c r="D49" s="678"/>
      <c r="E49" s="186" t="s">
        <v>338</v>
      </c>
      <c r="F49" s="185">
        <f>'Comprehensive Budget'!F48</f>
        <v>0</v>
      </c>
      <c r="G49" s="171"/>
      <c r="H49" s="59"/>
      <c r="I49" s="179"/>
      <c r="J49" s="65">
        <v>0</v>
      </c>
      <c r="K49" s="143"/>
      <c r="L49" s="748">
        <f>F49-J49</f>
        <v>0</v>
      </c>
      <c r="M49" s="184"/>
      <c r="N49" s="143">
        <f>L49</f>
        <v>0</v>
      </c>
      <c r="O49" s="171"/>
      <c r="P49" s="1154">
        <f>(L49/0.9)*0.1</f>
        <v>0</v>
      </c>
      <c r="Q49" s="59"/>
      <c r="R49" s="764"/>
      <c r="S49" s="773" t="s">
        <v>105</v>
      </c>
      <c r="T49" s="772"/>
      <c r="U49" s="772"/>
      <c r="V49" s="772"/>
      <c r="W49" s="766"/>
      <c r="X49" s="459"/>
      <c r="Y49" s="1595"/>
      <c r="Z49" s="1596"/>
      <c r="AA49" s="1596"/>
      <c r="AB49" s="1596"/>
    </row>
    <row r="50" spans="2:28" ht="13.5" customHeight="1">
      <c r="B50" s="653"/>
      <c r="C50" s="928"/>
      <c r="D50" s="678"/>
      <c r="E50" s="186" t="s">
        <v>339</v>
      </c>
      <c r="F50" s="185">
        <f>'Comprehensive Budget'!F49</f>
        <v>0</v>
      </c>
      <c r="G50" s="171"/>
      <c r="H50" s="59"/>
      <c r="I50" s="179"/>
      <c r="J50" s="65">
        <v>0</v>
      </c>
      <c r="K50" s="143"/>
      <c r="L50" s="748">
        <f>F50-J50</f>
        <v>0</v>
      </c>
      <c r="M50" s="184"/>
      <c r="N50" s="642">
        <f>L50</f>
        <v>0</v>
      </c>
      <c r="O50" s="171"/>
      <c r="P50" s="1154">
        <f>(L50/0.9)*0.1</f>
        <v>0</v>
      </c>
      <c r="Q50" s="59"/>
      <c r="R50" s="764"/>
      <c r="S50" s="765"/>
      <c r="T50" s="774"/>
      <c r="U50" s="774"/>
      <c r="V50" s="774"/>
      <c r="W50" s="775"/>
      <c r="X50" s="459"/>
      <c r="Y50" s="1595"/>
      <c r="Z50" s="1596"/>
      <c r="AA50" s="1596"/>
      <c r="AB50" s="1596"/>
    </row>
    <row r="51" spans="2:30" ht="13.5" customHeight="1" thickBot="1">
      <c r="B51" s="653"/>
      <c r="C51" s="928"/>
      <c r="D51" s="678"/>
      <c r="E51" s="186" t="s">
        <v>292</v>
      </c>
      <c r="F51" s="185">
        <f>'Comprehensive Budget'!F50</f>
        <v>0</v>
      </c>
      <c r="G51" s="171"/>
      <c r="H51" s="59"/>
      <c r="I51" s="179"/>
      <c r="J51" s="1207"/>
      <c r="K51" s="143"/>
      <c r="L51" s="748">
        <f>F51-J51</f>
        <v>0</v>
      </c>
      <c r="M51" s="184"/>
      <c r="N51" s="1208"/>
      <c r="O51" s="171"/>
      <c r="P51" s="59"/>
      <c r="Q51" s="51"/>
      <c r="R51" s="764"/>
      <c r="S51" s="1615" t="s">
        <v>368</v>
      </c>
      <c r="T51" s="1616"/>
      <c r="U51" s="1616"/>
      <c r="V51" s="1616"/>
      <c r="W51" s="775"/>
      <c r="X51" s="459"/>
      <c r="Y51" s="1151"/>
      <c r="Z51" s="1151"/>
      <c r="AA51" s="1151"/>
      <c r="AB51" s="1151"/>
      <c r="AC51" s="1151"/>
      <c r="AD51" s="1151"/>
    </row>
    <row r="52" spans="2:30" ht="13.5" customHeight="1">
      <c r="B52" s="653"/>
      <c r="C52" s="928"/>
      <c r="D52" s="678"/>
      <c r="E52" s="737" t="s">
        <v>331</v>
      </c>
      <c r="F52" s="185">
        <f>'Comprehensive Budget'!F51</f>
        <v>0</v>
      </c>
      <c r="G52" s="171"/>
      <c r="H52" s="59"/>
      <c r="I52" s="179"/>
      <c r="J52" s="65">
        <v>0</v>
      </c>
      <c r="K52" s="143"/>
      <c r="L52" s="748">
        <f>F52-J52</f>
        <v>0</v>
      </c>
      <c r="M52" s="184"/>
      <c r="N52" s="734"/>
      <c r="O52" s="171"/>
      <c r="P52" s="59"/>
      <c r="Q52" s="51"/>
      <c r="R52" s="764"/>
      <c r="S52" s="1616"/>
      <c r="T52" s="1616"/>
      <c r="U52" s="1616"/>
      <c r="V52" s="1616"/>
      <c r="W52" s="775"/>
      <c r="X52" s="459"/>
      <c r="Y52" s="1151"/>
      <c r="Z52" s="1151"/>
      <c r="AA52" s="1151"/>
      <c r="AB52" s="1151"/>
      <c r="AC52" s="1151"/>
      <c r="AD52" s="1151"/>
    </row>
    <row r="53" spans="2:30" ht="5.25" customHeight="1">
      <c r="B53" s="653"/>
      <c r="C53" s="928"/>
      <c r="D53" s="678"/>
      <c r="E53" s="957"/>
      <c r="F53" s="184"/>
      <c r="G53" s="171"/>
      <c r="H53" s="59"/>
      <c r="I53" s="179"/>
      <c r="J53" s="143"/>
      <c r="K53" s="143"/>
      <c r="L53" s="184"/>
      <c r="M53" s="184"/>
      <c r="N53" s="184"/>
      <c r="O53" s="171"/>
      <c r="P53" s="59"/>
      <c r="Q53" s="51"/>
      <c r="R53" s="764"/>
      <c r="S53" s="1616"/>
      <c r="T53" s="1616"/>
      <c r="U53" s="1616"/>
      <c r="V53" s="1616"/>
      <c r="W53" s="775"/>
      <c r="X53" s="459"/>
      <c r="Y53" s="1151"/>
      <c r="Z53" s="1151"/>
      <c r="AA53" s="1151"/>
      <c r="AB53" s="1151"/>
      <c r="AC53" s="1151"/>
      <c r="AD53" s="1151"/>
    </row>
    <row r="54" spans="2:30" ht="13.5" customHeight="1">
      <c r="B54" s="653"/>
      <c r="C54" s="928"/>
      <c r="D54" s="807" t="s">
        <v>30</v>
      </c>
      <c r="E54" s="73"/>
      <c r="F54" s="74"/>
      <c r="G54" s="172"/>
      <c r="H54" s="60"/>
      <c r="I54" s="180"/>
      <c r="J54" s="223"/>
      <c r="K54" s="223"/>
      <c r="L54" s="778"/>
      <c r="M54" s="778"/>
      <c r="N54" s="778"/>
      <c r="O54" s="171"/>
      <c r="P54" s="59"/>
      <c r="Q54" s="51"/>
      <c r="R54" s="764"/>
      <c r="S54" s="1616"/>
      <c r="T54" s="1616"/>
      <c r="U54" s="1616"/>
      <c r="V54" s="1616"/>
      <c r="W54" s="775"/>
      <c r="X54" s="459"/>
      <c r="Y54" s="1151"/>
      <c r="Z54" s="1151"/>
      <c r="AA54" s="1151"/>
      <c r="AB54" s="1151"/>
      <c r="AC54" s="1151"/>
      <c r="AD54" s="1151"/>
    </row>
    <row r="55" spans="2:30" ht="5.25" customHeight="1">
      <c r="B55" s="653"/>
      <c r="C55" s="928"/>
      <c r="D55" s="1037"/>
      <c r="E55" s="569"/>
      <c r="F55" s="568"/>
      <c r="G55" s="172"/>
      <c r="H55" s="60"/>
      <c r="I55" s="180"/>
      <c r="J55" s="143"/>
      <c r="K55" s="143"/>
      <c r="L55" s="184"/>
      <c r="M55" s="184"/>
      <c r="N55" s="184"/>
      <c r="O55" s="171"/>
      <c r="P55" s="59"/>
      <c r="Q55" s="51"/>
      <c r="R55" s="764"/>
      <c r="S55" s="1616"/>
      <c r="T55" s="1616"/>
      <c r="U55" s="1616"/>
      <c r="V55" s="1616"/>
      <c r="W55" s="775"/>
      <c r="X55" s="459"/>
      <c r="Y55" s="1151"/>
      <c r="Z55" s="1151"/>
      <c r="AA55" s="1151"/>
      <c r="AB55" s="1151"/>
      <c r="AC55" s="1151"/>
      <c r="AD55" s="1151"/>
    </row>
    <row r="56" spans="2:30" ht="13.5" customHeight="1" thickBot="1">
      <c r="B56" s="653"/>
      <c r="C56" s="928"/>
      <c r="D56" s="678"/>
      <c r="E56" s="186" t="s">
        <v>341</v>
      </c>
      <c r="F56" s="185">
        <f>'Comprehensive Budget'!F55</f>
        <v>0</v>
      </c>
      <c r="G56" s="171"/>
      <c r="H56" s="59"/>
      <c r="I56" s="179"/>
      <c r="J56" s="65">
        <v>0</v>
      </c>
      <c r="K56" s="143"/>
      <c r="L56" s="748">
        <f aca="true" t="shared" si="2" ref="L56:L64">F56-J56</f>
        <v>0</v>
      </c>
      <c r="M56" s="184"/>
      <c r="N56" s="1204"/>
      <c r="O56" s="171"/>
      <c r="P56" s="59"/>
      <c r="Q56" s="51"/>
      <c r="R56" s="764"/>
      <c r="S56" s="1616"/>
      <c r="T56" s="1616"/>
      <c r="U56" s="1616"/>
      <c r="V56" s="1616"/>
      <c r="W56" s="775"/>
      <c r="X56" s="459"/>
      <c r="Y56" s="1151"/>
      <c r="Z56" s="1151"/>
      <c r="AA56" s="1151"/>
      <c r="AB56" s="1151"/>
      <c r="AC56" s="1151"/>
      <c r="AD56" s="1151"/>
    </row>
    <row r="57" spans="2:30" ht="13.5" customHeight="1">
      <c r="B57" s="653"/>
      <c r="C57" s="928"/>
      <c r="D57" s="678"/>
      <c r="E57" s="186" t="s">
        <v>340</v>
      </c>
      <c r="F57" s="185">
        <f>'Comprehensive Budget'!F56</f>
        <v>0</v>
      </c>
      <c r="G57" s="171"/>
      <c r="H57" s="59"/>
      <c r="I57" s="179"/>
      <c r="J57" s="643">
        <v>0</v>
      </c>
      <c r="K57" s="143"/>
      <c r="L57" s="748">
        <f t="shared" si="2"/>
        <v>0</v>
      </c>
      <c r="M57" s="184"/>
      <c r="N57" s="734">
        <f>L57</f>
        <v>0</v>
      </c>
      <c r="O57" s="171"/>
      <c r="P57" s="1154">
        <f>(L57/0.9)*0.1</f>
        <v>0</v>
      </c>
      <c r="Q57" s="51"/>
      <c r="R57" s="764"/>
      <c r="S57" s="1616"/>
      <c r="T57" s="1616"/>
      <c r="U57" s="1616"/>
      <c r="V57" s="1616"/>
      <c r="W57" s="769"/>
      <c r="X57" s="459"/>
      <c r="Y57" s="1595"/>
      <c r="Z57" s="1596"/>
      <c r="AA57" s="1596"/>
      <c r="AB57" s="1596"/>
      <c r="AC57" s="1597"/>
      <c r="AD57" s="1598"/>
    </row>
    <row r="58" spans="2:24" ht="13.5" customHeight="1">
      <c r="B58" s="653"/>
      <c r="C58" s="928"/>
      <c r="D58" s="678"/>
      <c r="E58" s="186" t="s">
        <v>420</v>
      </c>
      <c r="F58" s="185">
        <f>'Comprehensive Budget'!F57</f>
        <v>0</v>
      </c>
      <c r="G58" s="171"/>
      <c r="H58" s="59"/>
      <c r="I58" s="179"/>
      <c r="J58" s="1209"/>
      <c r="K58" s="143"/>
      <c r="L58" s="748">
        <f t="shared" si="2"/>
        <v>0</v>
      </c>
      <c r="M58" s="184"/>
      <c r="N58" s="184"/>
      <c r="O58" s="171"/>
      <c r="P58" s="59"/>
      <c r="Q58" s="458"/>
      <c r="R58" s="764"/>
      <c r="S58" s="1616"/>
      <c r="T58" s="1616"/>
      <c r="U58" s="1616"/>
      <c r="V58" s="1616"/>
      <c r="W58" s="769"/>
      <c r="X58" s="459"/>
    </row>
    <row r="59" spans="2:24" ht="13.5" customHeight="1">
      <c r="B59" s="653"/>
      <c r="C59" s="928"/>
      <c r="D59" s="678"/>
      <c r="E59" s="186" t="s">
        <v>419</v>
      </c>
      <c r="F59" s="185">
        <f>'Comprehensive Budget'!F58</f>
        <v>0</v>
      </c>
      <c r="G59" s="171"/>
      <c r="H59" s="59"/>
      <c r="I59" s="179"/>
      <c r="J59" s="65">
        <v>0</v>
      </c>
      <c r="K59" s="143"/>
      <c r="L59" s="748">
        <f t="shared" si="2"/>
        <v>0</v>
      </c>
      <c r="M59" s="184"/>
      <c r="N59" s="550">
        <f>L59</f>
        <v>0</v>
      </c>
      <c r="O59" s="171"/>
      <c r="P59" s="1154">
        <f>(L59/0.9)*0.1</f>
        <v>0</v>
      </c>
      <c r="Q59" s="458"/>
      <c r="R59" s="764"/>
      <c r="S59" s="1616"/>
      <c r="T59" s="1616"/>
      <c r="U59" s="1616"/>
      <c r="V59" s="1616"/>
      <c r="W59" s="766"/>
      <c r="X59" s="459"/>
    </row>
    <row r="60" spans="2:24" ht="13.5" customHeight="1">
      <c r="B60" s="653"/>
      <c r="C60" s="928"/>
      <c r="D60" s="678"/>
      <c r="E60" s="186" t="s">
        <v>31</v>
      </c>
      <c r="F60" s="185">
        <f>'Comprehensive Budget'!F59</f>
        <v>0</v>
      </c>
      <c r="G60" s="171"/>
      <c r="H60" s="59"/>
      <c r="I60" s="179"/>
      <c r="J60" s="65">
        <v>0</v>
      </c>
      <c r="K60" s="143"/>
      <c r="L60" s="748">
        <f t="shared" si="2"/>
        <v>0</v>
      </c>
      <c r="M60" s="184"/>
      <c r="N60" s="1202"/>
      <c r="O60" s="171"/>
      <c r="P60" s="59"/>
      <c r="Q60" s="458"/>
      <c r="R60" s="764"/>
      <c r="S60" s="1616"/>
      <c r="T60" s="1616"/>
      <c r="U60" s="1616"/>
      <c r="V60" s="1616"/>
      <c r="W60" s="766"/>
      <c r="X60" s="459"/>
    </row>
    <row r="61" spans="2:24" ht="13.5" customHeight="1">
      <c r="B61" s="653"/>
      <c r="C61" s="928"/>
      <c r="D61" s="678"/>
      <c r="E61" s="186" t="s">
        <v>32</v>
      </c>
      <c r="F61" s="185">
        <f>'Comprehensive Budget'!F60</f>
        <v>0</v>
      </c>
      <c r="G61" s="171"/>
      <c r="H61" s="59"/>
      <c r="I61" s="179"/>
      <c r="J61" s="65">
        <v>0</v>
      </c>
      <c r="K61" s="143"/>
      <c r="L61" s="748">
        <f t="shared" si="2"/>
        <v>0</v>
      </c>
      <c r="M61" s="184"/>
      <c r="N61" s="1210"/>
      <c r="O61" s="171"/>
      <c r="P61" s="59"/>
      <c r="Q61" s="458"/>
      <c r="R61" s="764"/>
      <c r="S61" s="1616"/>
      <c r="T61" s="1616"/>
      <c r="U61" s="1616"/>
      <c r="V61" s="1616"/>
      <c r="W61" s="775"/>
      <c r="X61" s="459"/>
    </row>
    <row r="62" spans="2:24" ht="13.5" customHeight="1">
      <c r="B62" s="653"/>
      <c r="C62" s="928"/>
      <c r="D62" s="678"/>
      <c r="E62" s="186" t="s">
        <v>33</v>
      </c>
      <c r="F62" s="185">
        <f>'Comprehensive Budget'!F61</f>
        <v>0</v>
      </c>
      <c r="G62" s="171"/>
      <c r="H62" s="59"/>
      <c r="I62" s="179"/>
      <c r="J62" s="65">
        <v>0</v>
      </c>
      <c r="K62" s="143"/>
      <c r="L62" s="748">
        <f t="shared" si="2"/>
        <v>0</v>
      </c>
      <c r="M62" s="184"/>
      <c r="N62" s="1202"/>
      <c r="O62" s="171"/>
      <c r="P62" s="59"/>
      <c r="Q62" s="458"/>
      <c r="R62" s="764"/>
      <c r="S62" s="1616"/>
      <c r="T62" s="1616"/>
      <c r="U62" s="1616"/>
      <c r="V62" s="1616"/>
      <c r="W62" s="775"/>
      <c r="X62" s="459"/>
    </row>
    <row r="63" spans="2:24" ht="13.5" customHeight="1" thickBot="1">
      <c r="B63" s="653"/>
      <c r="C63" s="928"/>
      <c r="D63" s="678"/>
      <c r="E63" s="186" t="s">
        <v>34</v>
      </c>
      <c r="F63" s="185">
        <f>'Comprehensive Budget'!F62</f>
        <v>0</v>
      </c>
      <c r="G63" s="171"/>
      <c r="H63" s="59"/>
      <c r="I63" s="179"/>
      <c r="J63" s="1211"/>
      <c r="K63" s="143"/>
      <c r="L63" s="748">
        <f t="shared" si="2"/>
        <v>0</v>
      </c>
      <c r="M63" s="184"/>
      <c r="N63" s="1203"/>
      <c r="O63" s="171"/>
      <c r="P63" s="59"/>
      <c r="Q63" s="458"/>
      <c r="R63" s="764"/>
      <c r="S63" s="1616"/>
      <c r="T63" s="1616"/>
      <c r="U63" s="1616"/>
      <c r="V63" s="1616"/>
      <c r="W63" s="775"/>
      <c r="X63" s="459"/>
    </row>
    <row r="64" spans="2:24" ht="13.5" customHeight="1">
      <c r="B64" s="653"/>
      <c r="C64" s="928"/>
      <c r="D64" s="678"/>
      <c r="E64" s="737" t="s">
        <v>93</v>
      </c>
      <c r="F64" s="185">
        <f>'Comprehensive Budget'!F63</f>
        <v>0</v>
      </c>
      <c r="G64" s="171"/>
      <c r="H64" s="59"/>
      <c r="I64" s="179"/>
      <c r="J64" s="205">
        <v>0</v>
      </c>
      <c r="K64" s="143"/>
      <c r="L64" s="748">
        <f t="shared" si="2"/>
        <v>0</v>
      </c>
      <c r="M64" s="184"/>
      <c r="N64" s="734"/>
      <c r="O64" s="171"/>
      <c r="P64" s="59"/>
      <c r="Q64" s="458"/>
      <c r="R64" s="764"/>
      <c r="S64" s="1616"/>
      <c r="T64" s="1616"/>
      <c r="U64" s="1616"/>
      <c r="V64" s="1616"/>
      <c r="W64" s="775"/>
      <c r="X64" s="459"/>
    </row>
    <row r="65" spans="2:24" ht="6" customHeight="1">
      <c r="B65" s="653"/>
      <c r="C65" s="928"/>
      <c r="D65" s="678"/>
      <c r="E65" s="957"/>
      <c r="F65" s="184"/>
      <c r="G65" s="171"/>
      <c r="H65" s="59"/>
      <c r="I65" s="179"/>
      <c r="J65" s="143"/>
      <c r="K65" s="143"/>
      <c r="L65" s="184"/>
      <c r="M65" s="184"/>
      <c r="N65" s="184"/>
      <c r="O65" s="171"/>
      <c r="P65" s="59"/>
      <c r="Q65" s="458"/>
      <c r="R65" s="764"/>
      <c r="S65" s="1616"/>
      <c r="T65" s="1616"/>
      <c r="U65" s="1616"/>
      <c r="V65" s="1616"/>
      <c r="W65" s="775"/>
      <c r="X65" s="459"/>
    </row>
    <row r="66" spans="2:24" ht="13.5" customHeight="1">
      <c r="B66" s="653"/>
      <c r="C66" s="928"/>
      <c r="D66" s="807" t="s">
        <v>35</v>
      </c>
      <c r="E66" s="73"/>
      <c r="F66" s="74"/>
      <c r="G66" s="171"/>
      <c r="H66" s="59"/>
      <c r="I66" s="179"/>
      <c r="J66" s="223"/>
      <c r="K66" s="223"/>
      <c r="L66" s="778"/>
      <c r="M66" s="778"/>
      <c r="N66" s="778"/>
      <c r="O66" s="171"/>
      <c r="P66" s="59"/>
      <c r="Q66" s="458"/>
      <c r="R66" s="764"/>
      <c r="S66" s="1616"/>
      <c r="T66" s="1616"/>
      <c r="U66" s="1616"/>
      <c r="V66" s="1616"/>
      <c r="W66" s="775"/>
      <c r="X66" s="459"/>
    </row>
    <row r="67" spans="2:24" ht="5.25" customHeight="1">
      <c r="B67" s="653"/>
      <c r="C67" s="928"/>
      <c r="D67" s="678"/>
      <c r="E67" s="357"/>
      <c r="F67" s="184"/>
      <c r="G67" s="171"/>
      <c r="H67" s="59"/>
      <c r="I67" s="179"/>
      <c r="J67" s="143"/>
      <c r="K67" s="143"/>
      <c r="L67" s="184"/>
      <c r="M67" s="184"/>
      <c r="N67" s="184"/>
      <c r="O67" s="171"/>
      <c r="P67" s="59"/>
      <c r="Q67" s="458"/>
      <c r="R67" s="764"/>
      <c r="S67" s="1616"/>
      <c r="T67" s="1616"/>
      <c r="U67" s="1616"/>
      <c r="V67" s="1616"/>
      <c r="W67" s="775"/>
      <c r="X67" s="459"/>
    </row>
    <row r="68" spans="2:24" ht="13.5" customHeight="1">
      <c r="B68" s="653"/>
      <c r="C68" s="928"/>
      <c r="D68" s="678"/>
      <c r="E68" s="186" t="s">
        <v>36</v>
      </c>
      <c r="F68" s="185">
        <f>'Comprehensive Budget'!F67</f>
        <v>0</v>
      </c>
      <c r="G68" s="171"/>
      <c r="H68" s="59"/>
      <c r="I68" s="179"/>
      <c r="J68" s="216">
        <f>F68</f>
        <v>0</v>
      </c>
      <c r="K68" s="143"/>
      <c r="L68" s="748">
        <f>F68-J68</f>
        <v>0</v>
      </c>
      <c r="M68" s="184"/>
      <c r="N68" s="736"/>
      <c r="O68" s="171"/>
      <c r="P68" s="59"/>
      <c r="Q68" s="458"/>
      <c r="R68" s="764"/>
      <c r="S68" s="1616"/>
      <c r="T68" s="1616"/>
      <c r="U68" s="1616"/>
      <c r="V68" s="1616"/>
      <c r="W68" s="775"/>
      <c r="X68" s="459"/>
    </row>
    <row r="69" spans="2:24" ht="13.5" customHeight="1" thickBot="1">
      <c r="B69" s="653"/>
      <c r="C69" s="928"/>
      <c r="D69" s="678"/>
      <c r="E69" s="186" t="s">
        <v>115</v>
      </c>
      <c r="F69" s="185">
        <f>'Comprehensive Budget'!F68</f>
        <v>0</v>
      </c>
      <c r="G69" s="171"/>
      <c r="H69" s="59"/>
      <c r="I69" s="179"/>
      <c r="J69" s="1212"/>
      <c r="K69" s="143"/>
      <c r="L69" s="748">
        <f>F69-J69</f>
        <v>0</v>
      </c>
      <c r="M69" s="184"/>
      <c r="N69" s="1204"/>
      <c r="O69" s="171"/>
      <c r="P69" s="59"/>
      <c r="Q69" s="458"/>
      <c r="R69" s="764"/>
      <c r="S69" s="1616"/>
      <c r="T69" s="1616"/>
      <c r="U69" s="1616"/>
      <c r="V69" s="1616"/>
      <c r="W69" s="775"/>
      <c r="X69" s="459"/>
    </row>
    <row r="70" spans="2:24" ht="13.5" customHeight="1">
      <c r="B70" s="653"/>
      <c r="C70" s="928"/>
      <c r="D70" s="678"/>
      <c r="E70" s="737" t="s">
        <v>331</v>
      </c>
      <c r="F70" s="185">
        <f>'Comprehensive Budget'!F69</f>
        <v>0</v>
      </c>
      <c r="G70" s="171"/>
      <c r="H70" s="59"/>
      <c r="I70" s="179"/>
      <c r="J70" s="307">
        <v>0</v>
      </c>
      <c r="K70" s="143"/>
      <c r="L70" s="748">
        <f>F70-J70</f>
        <v>0</v>
      </c>
      <c r="M70" s="184"/>
      <c r="N70" s="734"/>
      <c r="O70" s="171"/>
      <c r="P70" s="59"/>
      <c r="Q70" s="458"/>
      <c r="R70" s="764"/>
      <c r="S70" s="1616"/>
      <c r="T70" s="1616"/>
      <c r="U70" s="1616"/>
      <c r="V70" s="1616"/>
      <c r="W70" s="775"/>
      <c r="X70" s="459"/>
    </row>
    <row r="71" spans="2:24" ht="5.25" customHeight="1">
      <c r="B71" s="653"/>
      <c r="C71" s="928"/>
      <c r="D71" s="678"/>
      <c r="E71" s="957"/>
      <c r="F71" s="184"/>
      <c r="G71" s="171"/>
      <c r="H71" s="59"/>
      <c r="I71" s="179"/>
      <c r="J71" s="143"/>
      <c r="K71" s="143"/>
      <c r="L71" s="184"/>
      <c r="M71" s="184"/>
      <c r="N71" s="184"/>
      <c r="O71" s="171"/>
      <c r="P71" s="59"/>
      <c r="Q71" s="458"/>
      <c r="R71" s="764"/>
      <c r="S71" s="1616"/>
      <c r="T71" s="1616"/>
      <c r="U71" s="1616"/>
      <c r="V71" s="1616"/>
      <c r="W71" s="775"/>
      <c r="X71" s="459"/>
    </row>
    <row r="72" spans="2:24" ht="13.5" customHeight="1">
      <c r="B72" s="653"/>
      <c r="C72" s="928"/>
      <c r="D72" s="807" t="s">
        <v>37</v>
      </c>
      <c r="E72" s="73"/>
      <c r="F72" s="74"/>
      <c r="G72" s="171"/>
      <c r="H72" s="59"/>
      <c r="I72" s="179"/>
      <c r="J72" s="223"/>
      <c r="K72" s="223"/>
      <c r="L72" s="778"/>
      <c r="M72" s="778"/>
      <c r="N72" s="778"/>
      <c r="O72" s="171"/>
      <c r="P72" s="59"/>
      <c r="Q72" s="458"/>
      <c r="R72" s="764"/>
      <c r="S72" s="1616"/>
      <c r="T72" s="1616"/>
      <c r="U72" s="1616"/>
      <c r="V72" s="1616"/>
      <c r="W72" s="775"/>
      <c r="X72" s="459"/>
    </row>
    <row r="73" spans="2:24" ht="5.25" customHeight="1">
      <c r="B73" s="653"/>
      <c r="C73" s="928"/>
      <c r="D73" s="569"/>
      <c r="E73" s="569"/>
      <c r="F73" s="568"/>
      <c r="G73" s="171"/>
      <c r="H73" s="59"/>
      <c r="I73" s="179"/>
      <c r="J73" s="143"/>
      <c r="K73" s="143"/>
      <c r="L73" s="184"/>
      <c r="M73" s="184"/>
      <c r="N73" s="184"/>
      <c r="O73" s="171"/>
      <c r="P73" s="59"/>
      <c r="Q73" s="458"/>
      <c r="R73" s="764"/>
      <c r="S73" s="1616"/>
      <c r="T73" s="1616"/>
      <c r="U73" s="1616"/>
      <c r="V73" s="1616"/>
      <c r="W73" s="775"/>
      <c r="X73" s="459"/>
    </row>
    <row r="74" spans="2:24" ht="13.5" customHeight="1" thickBot="1">
      <c r="B74" s="653"/>
      <c r="C74" s="928"/>
      <c r="D74" s="678"/>
      <c r="E74" s="781" t="s">
        <v>207</v>
      </c>
      <c r="F74" s="185">
        <f>'Comprehensive Budget'!F73</f>
        <v>0</v>
      </c>
      <c r="G74" s="171"/>
      <c r="H74" s="59"/>
      <c r="I74" s="179"/>
      <c r="J74" s="216">
        <f>F74</f>
        <v>0</v>
      </c>
      <c r="K74" s="143"/>
      <c r="L74" s="748">
        <f>F74-J74</f>
        <v>0</v>
      </c>
      <c r="M74" s="184"/>
      <c r="N74" s="184"/>
      <c r="O74" s="171"/>
      <c r="P74" s="59"/>
      <c r="Q74" s="458"/>
      <c r="R74" s="782"/>
      <c r="S74" s="1149"/>
      <c r="T74" s="783"/>
      <c r="U74" s="783"/>
      <c r="V74" s="783"/>
      <c r="W74" s="784"/>
      <c r="X74" s="459"/>
    </row>
    <row r="75" spans="2:24" ht="13.5" customHeight="1">
      <c r="B75" s="653"/>
      <c r="C75" s="928"/>
      <c r="D75" s="678"/>
      <c r="E75" s="785" t="s">
        <v>208</v>
      </c>
      <c r="F75" s="185">
        <f>'Comprehensive Budget'!F74</f>
        <v>0</v>
      </c>
      <c r="G75" s="171"/>
      <c r="H75" s="59"/>
      <c r="I75" s="179"/>
      <c r="J75" s="216">
        <f>F75</f>
        <v>0</v>
      </c>
      <c r="K75" s="143"/>
      <c r="L75" s="748">
        <f>F75-J75</f>
        <v>0</v>
      </c>
      <c r="M75" s="184"/>
      <c r="N75" s="184"/>
      <c r="O75" s="171"/>
      <c r="P75" s="59"/>
      <c r="Q75" s="458"/>
      <c r="R75" s="458"/>
      <c r="S75" s="458"/>
      <c r="T75" s="458"/>
      <c r="U75" s="458"/>
      <c r="V75" s="458"/>
      <c r="W75" s="458"/>
      <c r="X75" s="459"/>
    </row>
    <row r="76" spans="2:24" ht="13.5" customHeight="1">
      <c r="B76" s="653"/>
      <c r="C76" s="928"/>
      <c r="D76" s="678"/>
      <c r="E76" s="785" t="s">
        <v>209</v>
      </c>
      <c r="F76" s="185">
        <f>'Comprehensive Budget'!F75</f>
        <v>0</v>
      </c>
      <c r="G76" s="171"/>
      <c r="H76" s="59"/>
      <c r="I76" s="179"/>
      <c r="J76" s="216">
        <f>F76</f>
        <v>0</v>
      </c>
      <c r="K76" s="143"/>
      <c r="L76" s="748">
        <f>F76-J76</f>
        <v>0</v>
      </c>
      <c r="M76" s="184"/>
      <c r="N76" s="184"/>
      <c r="O76" s="171"/>
      <c r="P76" s="59"/>
      <c r="Q76" s="458"/>
      <c r="R76" s="786"/>
      <c r="S76" s="787"/>
      <c r="T76" s="787"/>
      <c r="U76" s="787"/>
      <c r="V76" s="787"/>
      <c r="W76" s="788"/>
      <c r="X76" s="459"/>
    </row>
    <row r="77" spans="2:24" ht="13.5" customHeight="1" thickBot="1">
      <c r="B77" s="653"/>
      <c r="C77" s="928"/>
      <c r="D77" s="678"/>
      <c r="E77" s="186" t="s">
        <v>87</v>
      </c>
      <c r="F77" s="185">
        <f>'Comprehensive Budget'!F76</f>
        <v>0</v>
      </c>
      <c r="G77" s="171"/>
      <c r="H77" s="59"/>
      <c r="I77" s="179"/>
      <c r="J77" s="1200"/>
      <c r="K77" s="143"/>
      <c r="L77" s="748">
        <f>F77-J77</f>
        <v>0</v>
      </c>
      <c r="M77" s="184"/>
      <c r="N77" s="1204"/>
      <c r="O77" s="171"/>
      <c r="P77" s="59"/>
      <c r="Q77" s="458"/>
      <c r="R77" s="789"/>
      <c r="S77" s="790" t="s">
        <v>165</v>
      </c>
      <c r="T77" s="791"/>
      <c r="U77" s="791"/>
      <c r="V77" s="791"/>
      <c r="W77" s="792"/>
      <c r="X77" s="459"/>
    </row>
    <row r="78" spans="2:24" ht="13.5" customHeight="1">
      <c r="B78" s="653"/>
      <c r="C78" s="928"/>
      <c r="D78" s="678"/>
      <c r="E78" s="737" t="s">
        <v>331</v>
      </c>
      <c r="F78" s="185">
        <f>'Comprehensive Budget'!F77</f>
        <v>0</v>
      </c>
      <c r="G78" s="171"/>
      <c r="H78" s="59"/>
      <c r="I78" s="179"/>
      <c r="J78" s="307">
        <v>0</v>
      </c>
      <c r="K78" s="143"/>
      <c r="L78" s="748">
        <f>F78-J78</f>
        <v>0</v>
      </c>
      <c r="M78" s="184"/>
      <c r="N78" s="734"/>
      <c r="O78" s="171"/>
      <c r="P78" s="59"/>
      <c r="Q78" s="458"/>
      <c r="R78" s="789"/>
      <c r="S78" s="1613" t="s">
        <v>418</v>
      </c>
      <c r="T78" s="1613"/>
      <c r="U78" s="1613"/>
      <c r="V78" s="1613"/>
      <c r="W78" s="793"/>
      <c r="X78" s="459"/>
    </row>
    <row r="79" spans="2:24" ht="5.25" customHeight="1">
      <c r="B79" s="653"/>
      <c r="C79" s="928"/>
      <c r="D79" s="678"/>
      <c r="E79" s="1038"/>
      <c r="F79" s="142"/>
      <c r="G79" s="171"/>
      <c r="H79" s="59"/>
      <c r="I79" s="179"/>
      <c r="J79" s="143"/>
      <c r="K79" s="143"/>
      <c r="L79" s="184"/>
      <c r="M79" s="184"/>
      <c r="N79" s="184"/>
      <c r="O79" s="171"/>
      <c r="P79" s="59"/>
      <c r="Q79" s="458"/>
      <c r="R79" s="789"/>
      <c r="S79" s="1613"/>
      <c r="T79" s="1613"/>
      <c r="U79" s="1613"/>
      <c r="V79" s="1613"/>
      <c r="W79" s="793"/>
      <c r="X79" s="459"/>
    </row>
    <row r="80" spans="2:24" ht="13.5" customHeight="1">
      <c r="B80" s="653"/>
      <c r="C80" s="928"/>
      <c r="D80" s="807" t="s">
        <v>39</v>
      </c>
      <c r="E80" s="73"/>
      <c r="F80" s="74"/>
      <c r="G80" s="171"/>
      <c r="H80" s="59"/>
      <c r="I80" s="179"/>
      <c r="J80" s="223"/>
      <c r="K80" s="223"/>
      <c r="L80" s="778"/>
      <c r="M80" s="778"/>
      <c r="N80" s="778"/>
      <c r="O80" s="171"/>
      <c r="P80" s="59"/>
      <c r="Q80" s="458"/>
      <c r="R80" s="789"/>
      <c r="S80" s="1613"/>
      <c r="T80" s="1613"/>
      <c r="U80" s="1613"/>
      <c r="V80" s="1613"/>
      <c r="W80" s="793"/>
      <c r="X80" s="459"/>
    </row>
    <row r="81" spans="2:24" ht="5.25" customHeight="1">
      <c r="B81" s="653"/>
      <c r="C81" s="928"/>
      <c r="D81" s="678"/>
      <c r="E81" s="357"/>
      <c r="F81" s="184"/>
      <c r="G81" s="171"/>
      <c r="H81" s="59"/>
      <c r="I81" s="179"/>
      <c r="J81" s="143"/>
      <c r="K81" s="143"/>
      <c r="L81" s="184"/>
      <c r="M81" s="184"/>
      <c r="N81" s="184"/>
      <c r="O81" s="171"/>
      <c r="P81" s="59"/>
      <c r="Q81" s="458"/>
      <c r="R81" s="789"/>
      <c r="S81" s="1613"/>
      <c r="T81" s="1613"/>
      <c r="U81" s="1613"/>
      <c r="V81" s="1613"/>
      <c r="W81" s="793"/>
      <c r="X81" s="459"/>
    </row>
    <row r="82" spans="2:24" ht="13.5" customHeight="1">
      <c r="B82" s="653"/>
      <c r="C82" s="928"/>
      <c r="D82" s="678"/>
      <c r="E82" s="186" t="s">
        <v>206</v>
      </c>
      <c r="F82" s="185">
        <f>'Comprehensive Budget'!F81</f>
        <v>0</v>
      </c>
      <c r="G82" s="171"/>
      <c r="H82" s="59"/>
      <c r="I82" s="179"/>
      <c r="J82" s="216">
        <f>F82</f>
        <v>0</v>
      </c>
      <c r="K82" s="143"/>
      <c r="L82" s="748">
        <f>F82-J82</f>
        <v>0</v>
      </c>
      <c r="M82" s="184"/>
      <c r="N82" s="184"/>
      <c r="O82" s="171"/>
      <c r="P82" s="59"/>
      <c r="Q82" s="458"/>
      <c r="R82" s="789"/>
      <c r="S82" s="1613"/>
      <c r="T82" s="1613"/>
      <c r="U82" s="1613"/>
      <c r="V82" s="1613"/>
      <c r="W82" s="793"/>
      <c r="X82" s="459"/>
    </row>
    <row r="83" spans="2:24" ht="13.5" customHeight="1">
      <c r="B83" s="653"/>
      <c r="C83" s="928"/>
      <c r="D83" s="678"/>
      <c r="E83" s="186" t="s">
        <v>40</v>
      </c>
      <c r="F83" s="185">
        <f>'Comprehensive Budget'!F82</f>
        <v>0</v>
      </c>
      <c r="G83" s="171"/>
      <c r="H83" s="59"/>
      <c r="I83" s="179"/>
      <c r="J83" s="216">
        <f>F83</f>
        <v>0</v>
      </c>
      <c r="K83" s="143"/>
      <c r="L83" s="748">
        <f>F83-J83</f>
        <v>0</v>
      </c>
      <c r="M83" s="184"/>
      <c r="N83" s="550"/>
      <c r="O83" s="171"/>
      <c r="P83" s="59"/>
      <c r="Q83" s="458"/>
      <c r="R83" s="789"/>
      <c r="S83" s="1613"/>
      <c r="T83" s="1613"/>
      <c r="U83" s="1613"/>
      <c r="V83" s="1613"/>
      <c r="W83" s="793"/>
      <c r="X83" s="459"/>
    </row>
    <row r="84" spans="2:24" ht="13.5" customHeight="1" thickBot="1">
      <c r="B84" s="653"/>
      <c r="C84" s="928"/>
      <c r="D84" s="678"/>
      <c r="E84" s="186" t="s">
        <v>89</v>
      </c>
      <c r="F84" s="185">
        <f>'Comprehensive Budget'!F83</f>
        <v>0</v>
      </c>
      <c r="G84" s="171"/>
      <c r="H84" s="59"/>
      <c r="I84" s="179"/>
      <c r="J84" s="1213"/>
      <c r="K84" s="143"/>
      <c r="L84" s="748">
        <f>F84-J84</f>
        <v>0</v>
      </c>
      <c r="M84" s="184"/>
      <c r="N84" s="1204"/>
      <c r="O84" s="171"/>
      <c r="P84" s="59"/>
      <c r="Q84" s="458"/>
      <c r="R84" s="789"/>
      <c r="S84" s="1613"/>
      <c r="T84" s="1613"/>
      <c r="U84" s="1613"/>
      <c r="V84" s="1613"/>
      <c r="W84" s="793"/>
      <c r="X84" s="459"/>
    </row>
    <row r="85" spans="2:24" ht="13.5" customHeight="1">
      <c r="B85" s="653"/>
      <c r="C85" s="928"/>
      <c r="D85" s="678"/>
      <c r="E85" s="737" t="s">
        <v>331</v>
      </c>
      <c r="F85" s="185">
        <f>'Comprehensive Budget'!F84</f>
        <v>0</v>
      </c>
      <c r="G85" s="171"/>
      <c r="H85" s="59"/>
      <c r="I85" s="179"/>
      <c r="J85" s="65">
        <v>0</v>
      </c>
      <c r="K85" s="143"/>
      <c r="L85" s="748">
        <f>F85-J85</f>
        <v>0</v>
      </c>
      <c r="M85" s="184"/>
      <c r="N85" s="734"/>
      <c r="O85" s="171"/>
      <c r="P85" s="59"/>
      <c r="Q85" s="458"/>
      <c r="R85" s="789"/>
      <c r="S85" s="1613"/>
      <c r="T85" s="1613"/>
      <c r="U85" s="1613"/>
      <c r="V85" s="1613"/>
      <c r="W85" s="793"/>
      <c r="X85" s="459"/>
    </row>
    <row r="86" spans="2:24" ht="5.25" customHeight="1">
      <c r="B86" s="653"/>
      <c r="C86" s="928"/>
      <c r="D86" s="678"/>
      <c r="E86" s="1038"/>
      <c r="F86" s="570"/>
      <c r="G86" s="171"/>
      <c r="H86" s="59"/>
      <c r="I86" s="179"/>
      <c r="J86" s="143"/>
      <c r="K86" s="143"/>
      <c r="L86" s="184"/>
      <c r="M86" s="184"/>
      <c r="N86" s="184"/>
      <c r="O86" s="171"/>
      <c r="P86" s="59"/>
      <c r="Q86" s="458"/>
      <c r="R86" s="789"/>
      <c r="S86" s="1613"/>
      <c r="T86" s="1613"/>
      <c r="U86" s="1613"/>
      <c r="V86" s="1613"/>
      <c r="W86" s="793"/>
      <c r="X86" s="459"/>
    </row>
    <row r="87" spans="2:24" ht="13.5" customHeight="1">
      <c r="B87" s="653"/>
      <c r="C87" s="928"/>
      <c r="D87" s="807" t="s">
        <v>41</v>
      </c>
      <c r="E87" s="73"/>
      <c r="F87" s="74"/>
      <c r="G87" s="171"/>
      <c r="H87" s="59"/>
      <c r="I87" s="179"/>
      <c r="J87" s="223"/>
      <c r="K87" s="223"/>
      <c r="L87" s="778"/>
      <c r="M87" s="778"/>
      <c r="N87" s="778"/>
      <c r="O87" s="171"/>
      <c r="P87" s="59"/>
      <c r="Q87" s="458"/>
      <c r="R87" s="789"/>
      <c r="S87" s="1613"/>
      <c r="T87" s="1613"/>
      <c r="U87" s="1613"/>
      <c r="V87" s="1613"/>
      <c r="W87" s="793"/>
      <c r="X87" s="459"/>
    </row>
    <row r="88" spans="2:24" ht="5.25" customHeight="1">
      <c r="B88" s="653"/>
      <c r="C88" s="928"/>
      <c r="D88" s="678"/>
      <c r="E88" s="357"/>
      <c r="F88" s="184"/>
      <c r="G88" s="171"/>
      <c r="H88" s="59"/>
      <c r="I88" s="179"/>
      <c r="J88" s="143"/>
      <c r="K88" s="143"/>
      <c r="L88" s="184"/>
      <c r="M88" s="184"/>
      <c r="N88" s="184"/>
      <c r="O88" s="171"/>
      <c r="P88" s="59"/>
      <c r="Q88" s="458"/>
      <c r="R88" s="789"/>
      <c r="S88" s="1613"/>
      <c r="T88" s="1613"/>
      <c r="U88" s="1613"/>
      <c r="V88" s="1613"/>
      <c r="W88" s="793"/>
      <c r="X88" s="459"/>
    </row>
    <row r="89" spans="2:24" ht="13.5" customHeight="1" thickBot="1">
      <c r="B89" s="653"/>
      <c r="C89" s="928"/>
      <c r="D89" s="678"/>
      <c r="E89" s="794" t="s">
        <v>42</v>
      </c>
      <c r="F89" s="185">
        <f>'Comprehensive Budget'!F88</f>
        <v>0</v>
      </c>
      <c r="G89" s="171"/>
      <c r="H89" s="59"/>
      <c r="I89" s="179"/>
      <c r="J89" s="216">
        <f>F89</f>
        <v>0</v>
      </c>
      <c r="K89" s="143"/>
      <c r="L89" s="748">
        <f aca="true" t="shared" si="3" ref="L89:L94">F89-J89</f>
        <v>0</v>
      </c>
      <c r="M89" s="184"/>
      <c r="N89" s="184"/>
      <c r="O89" s="171"/>
      <c r="P89" s="59"/>
      <c r="Q89" s="458"/>
      <c r="R89" s="795"/>
      <c r="S89" s="1614"/>
      <c r="T89" s="1614"/>
      <c r="U89" s="1614"/>
      <c r="V89" s="1614"/>
      <c r="W89" s="796"/>
      <c r="X89" s="459"/>
    </row>
    <row r="90" spans="2:24" ht="13.5" customHeight="1">
      <c r="B90" s="653"/>
      <c r="C90" s="928"/>
      <c r="D90" s="678"/>
      <c r="E90" s="794" t="s">
        <v>214</v>
      </c>
      <c r="F90" s="185">
        <f>'Comprehensive Budget'!F89</f>
        <v>0</v>
      </c>
      <c r="G90" s="171"/>
      <c r="H90" s="59"/>
      <c r="I90" s="179"/>
      <c r="J90" s="216">
        <f>F90</f>
        <v>0</v>
      </c>
      <c r="K90" s="143"/>
      <c r="L90" s="748">
        <f t="shared" si="3"/>
        <v>0</v>
      </c>
      <c r="M90" s="184"/>
      <c r="N90" s="184"/>
      <c r="O90" s="171"/>
      <c r="P90" s="59"/>
      <c r="Q90" s="458"/>
      <c r="R90" s="458"/>
      <c r="S90" s="458"/>
      <c r="T90" s="797"/>
      <c r="U90" s="458"/>
      <c r="V90" s="458"/>
      <c r="W90" s="458"/>
      <c r="X90" s="459"/>
    </row>
    <row r="91" spans="2:24" ht="13.5" customHeight="1">
      <c r="B91" s="653"/>
      <c r="C91" s="928"/>
      <c r="D91" s="678"/>
      <c r="E91" s="794" t="s">
        <v>215</v>
      </c>
      <c r="F91" s="185">
        <f>'Comprehensive Budget'!F90</f>
        <v>0</v>
      </c>
      <c r="G91" s="171"/>
      <c r="H91" s="59"/>
      <c r="I91" s="179"/>
      <c r="J91" s="216">
        <f>F91</f>
        <v>0</v>
      </c>
      <c r="K91" s="143"/>
      <c r="L91" s="748">
        <f t="shared" si="3"/>
        <v>0</v>
      </c>
      <c r="M91" s="184"/>
      <c r="N91" s="184"/>
      <c r="O91" s="171"/>
      <c r="P91" s="59"/>
      <c r="Q91" s="458"/>
      <c r="R91" s="458"/>
      <c r="S91" s="458"/>
      <c r="T91" s="797"/>
      <c r="U91" s="458"/>
      <c r="V91" s="458"/>
      <c r="W91" s="458"/>
      <c r="X91" s="459"/>
    </row>
    <row r="92" spans="2:24" ht="13.5" customHeight="1">
      <c r="B92" s="653"/>
      <c r="C92" s="928"/>
      <c r="D92" s="678"/>
      <c r="E92" s="794" t="s">
        <v>43</v>
      </c>
      <c r="F92" s="185">
        <f>'Comprehensive Budget'!F91</f>
        <v>0</v>
      </c>
      <c r="G92" s="171"/>
      <c r="H92" s="59"/>
      <c r="I92" s="179"/>
      <c r="J92" s="216">
        <f>F92</f>
        <v>0</v>
      </c>
      <c r="K92" s="143"/>
      <c r="L92" s="748">
        <f t="shared" si="3"/>
        <v>0</v>
      </c>
      <c r="M92" s="184"/>
      <c r="N92" s="184"/>
      <c r="O92" s="171"/>
      <c r="P92" s="59"/>
      <c r="Q92" s="458"/>
      <c r="R92" s="458"/>
      <c r="S92" s="458"/>
      <c r="T92" s="797"/>
      <c r="U92" s="458"/>
      <c r="V92" s="458"/>
      <c r="W92" s="458"/>
      <c r="X92" s="459"/>
    </row>
    <row r="93" spans="2:24" ht="13.5" customHeight="1" thickBot="1">
      <c r="B93" s="653"/>
      <c r="C93" s="928"/>
      <c r="D93" s="678"/>
      <c r="E93" s="794" t="s">
        <v>116</v>
      </c>
      <c r="F93" s="185">
        <f>'Comprehensive Budget'!F92</f>
        <v>0</v>
      </c>
      <c r="G93" s="171"/>
      <c r="H93" s="59"/>
      <c r="I93" s="179"/>
      <c r="J93" s="1213"/>
      <c r="K93" s="143"/>
      <c r="L93" s="748">
        <f t="shared" si="3"/>
        <v>0</v>
      </c>
      <c r="M93" s="184"/>
      <c r="N93" s="1204"/>
      <c r="O93" s="171"/>
      <c r="P93" s="59"/>
      <c r="Q93" s="458"/>
      <c r="R93" s="458"/>
      <c r="S93" s="458"/>
      <c r="T93" s="797"/>
      <c r="U93" s="458"/>
      <c r="V93" s="458"/>
      <c r="W93" s="458"/>
      <c r="X93" s="459"/>
    </row>
    <row r="94" spans="2:24" ht="13.5" customHeight="1">
      <c r="B94" s="653"/>
      <c r="C94" s="928"/>
      <c r="D94" s="678"/>
      <c r="E94" s="737" t="s">
        <v>331</v>
      </c>
      <c r="F94" s="185">
        <f>'Comprehensive Budget'!F93</f>
        <v>0</v>
      </c>
      <c r="G94" s="171"/>
      <c r="H94" s="59"/>
      <c r="I94" s="179"/>
      <c r="J94" s="65">
        <v>0</v>
      </c>
      <c r="K94" s="143"/>
      <c r="L94" s="748">
        <f t="shared" si="3"/>
        <v>0</v>
      </c>
      <c r="M94" s="184"/>
      <c r="N94" s="734"/>
      <c r="O94" s="171"/>
      <c r="P94" s="59"/>
      <c r="Q94" s="458"/>
      <c r="R94" s="458"/>
      <c r="S94" s="458"/>
      <c r="T94" s="797"/>
      <c r="U94" s="458"/>
      <c r="V94" s="458"/>
      <c r="W94" s="458"/>
      <c r="X94" s="459"/>
    </row>
    <row r="95" spans="2:24" ht="5.25" customHeight="1">
      <c r="B95" s="653"/>
      <c r="C95" s="928"/>
      <c r="D95" s="678"/>
      <c r="E95" s="1038"/>
      <c r="F95" s="570"/>
      <c r="G95" s="171"/>
      <c r="H95" s="59"/>
      <c r="I95" s="179"/>
      <c r="J95" s="143"/>
      <c r="K95" s="143"/>
      <c r="L95" s="184"/>
      <c r="M95" s="184"/>
      <c r="N95" s="184"/>
      <c r="O95" s="171"/>
      <c r="P95" s="59"/>
      <c r="Q95" s="458"/>
      <c r="R95" s="458"/>
      <c r="S95" s="458"/>
      <c r="T95" s="797"/>
      <c r="U95" s="458"/>
      <c r="V95" s="458"/>
      <c r="W95" s="458"/>
      <c r="X95" s="459"/>
    </row>
    <row r="96" spans="2:24" ht="13.5" customHeight="1">
      <c r="B96" s="653"/>
      <c r="C96" s="928"/>
      <c r="D96" s="807" t="s">
        <v>113</v>
      </c>
      <c r="E96" s="1039"/>
      <c r="F96" s="75"/>
      <c r="G96" s="171"/>
      <c r="H96" s="59"/>
      <c r="I96" s="179"/>
      <c r="J96" s="223"/>
      <c r="K96" s="223"/>
      <c r="L96" s="778"/>
      <c r="M96" s="778"/>
      <c r="N96" s="778"/>
      <c r="O96" s="171"/>
      <c r="P96" s="59"/>
      <c r="Q96" s="458"/>
      <c r="R96" s="458"/>
      <c r="S96" s="458"/>
      <c r="T96" s="797"/>
      <c r="U96" s="458"/>
      <c r="V96" s="458"/>
      <c r="W96" s="458"/>
      <c r="X96" s="459"/>
    </row>
    <row r="97" spans="2:24" ht="5.25" customHeight="1">
      <c r="B97" s="653"/>
      <c r="C97" s="928"/>
      <c r="D97" s="569"/>
      <c r="E97" s="1040"/>
      <c r="F97" s="571"/>
      <c r="G97" s="171"/>
      <c r="H97" s="59"/>
      <c r="I97" s="179"/>
      <c r="J97" s="143"/>
      <c r="K97" s="143"/>
      <c r="L97" s="184"/>
      <c r="M97" s="184"/>
      <c r="N97" s="184"/>
      <c r="O97" s="171"/>
      <c r="P97" s="59"/>
      <c r="Q97" s="458"/>
      <c r="R97" s="458"/>
      <c r="S97" s="458"/>
      <c r="T97" s="797"/>
      <c r="U97" s="458"/>
      <c r="V97" s="458"/>
      <c r="W97" s="458"/>
      <c r="X97" s="459"/>
    </row>
    <row r="98" spans="2:24" ht="13.5" customHeight="1">
      <c r="B98" s="653"/>
      <c r="C98" s="928"/>
      <c r="D98" s="678"/>
      <c r="E98" s="186" t="s">
        <v>334</v>
      </c>
      <c r="F98" s="185">
        <f>'Comprehensive Budget'!F97</f>
        <v>0</v>
      </c>
      <c r="G98" s="171"/>
      <c r="H98" s="59"/>
      <c r="I98" s="179"/>
      <c r="J98" s="216">
        <f>F98</f>
        <v>0</v>
      </c>
      <c r="K98" s="143"/>
      <c r="L98" s="748">
        <f>F98-J98</f>
        <v>0</v>
      </c>
      <c r="M98" s="184"/>
      <c r="N98" s="184"/>
      <c r="O98" s="171"/>
      <c r="P98" s="59"/>
      <c r="Q98" s="458"/>
      <c r="R98" s="458"/>
      <c r="S98" s="458"/>
      <c r="T98" s="797"/>
      <c r="U98" s="458"/>
      <c r="V98" s="458"/>
      <c r="W98" s="458"/>
      <c r="X98" s="459"/>
    </row>
    <row r="99" spans="2:24" ht="13.5" customHeight="1" thickBot="1">
      <c r="B99" s="653"/>
      <c r="C99" s="928"/>
      <c r="D99" s="678"/>
      <c r="E99" s="186" t="s">
        <v>118</v>
      </c>
      <c r="F99" s="185">
        <f>'Comprehensive Budget'!F98</f>
        <v>0</v>
      </c>
      <c r="G99" s="171"/>
      <c r="H99" s="59"/>
      <c r="I99" s="179"/>
      <c r="J99" s="1213"/>
      <c r="K99" s="143"/>
      <c r="L99" s="748">
        <f>F99-J99</f>
        <v>0</v>
      </c>
      <c r="M99" s="184"/>
      <c r="N99" s="1204"/>
      <c r="O99" s="171"/>
      <c r="P99" s="59"/>
      <c r="Q99" s="458"/>
      <c r="R99" s="458"/>
      <c r="S99" s="458"/>
      <c r="T99" s="797"/>
      <c r="U99" s="458"/>
      <c r="V99" s="458"/>
      <c r="W99" s="458"/>
      <c r="X99" s="459"/>
    </row>
    <row r="100" spans="2:24" ht="13.5" customHeight="1">
      <c r="B100" s="653"/>
      <c r="C100" s="928"/>
      <c r="D100" s="678"/>
      <c r="E100" s="737" t="s">
        <v>331</v>
      </c>
      <c r="F100" s="185">
        <f>'Comprehensive Budget'!F99</f>
        <v>0</v>
      </c>
      <c r="G100" s="171"/>
      <c r="H100" s="59"/>
      <c r="I100" s="179"/>
      <c r="J100" s="65">
        <v>0</v>
      </c>
      <c r="K100" s="143"/>
      <c r="L100" s="748">
        <f>F100-J100</f>
        <v>0</v>
      </c>
      <c r="M100" s="184"/>
      <c r="N100" s="184"/>
      <c r="O100" s="171"/>
      <c r="P100" s="59"/>
      <c r="Q100" s="458"/>
      <c r="R100" s="458"/>
      <c r="S100" s="798"/>
      <c r="T100" s="798"/>
      <c r="U100" s="798"/>
      <c r="V100" s="458"/>
      <c r="W100" s="458"/>
      <c r="X100" s="799"/>
    </row>
    <row r="101" spans="2:24" ht="5.25" customHeight="1">
      <c r="B101" s="653"/>
      <c r="C101" s="928"/>
      <c r="D101" s="678"/>
      <c r="E101" s="957"/>
      <c r="F101" s="183"/>
      <c r="G101" s="171"/>
      <c r="H101" s="59"/>
      <c r="I101" s="179"/>
      <c r="J101" s="143"/>
      <c r="K101" s="143"/>
      <c r="L101" s="184"/>
      <c r="M101" s="184"/>
      <c r="N101" s="184"/>
      <c r="O101" s="171"/>
      <c r="P101" s="59"/>
      <c r="Q101" s="458"/>
      <c r="R101" s="458"/>
      <c r="S101" s="798"/>
      <c r="T101" s="798"/>
      <c r="U101" s="798"/>
      <c r="V101" s="458"/>
      <c r="W101" s="458"/>
      <c r="X101" s="799"/>
    </row>
    <row r="102" spans="2:24" ht="13.5" customHeight="1">
      <c r="B102" s="653"/>
      <c r="C102" s="928"/>
      <c r="D102" s="807" t="s">
        <v>44</v>
      </c>
      <c r="E102" s="73"/>
      <c r="F102" s="74"/>
      <c r="G102" s="171"/>
      <c r="H102" s="59"/>
      <c r="I102" s="179"/>
      <c r="J102" s="223"/>
      <c r="K102" s="223"/>
      <c r="L102" s="778"/>
      <c r="M102" s="778"/>
      <c r="N102" s="778"/>
      <c r="O102" s="171"/>
      <c r="P102" s="59"/>
      <c r="Q102" s="458"/>
      <c r="R102" s="458"/>
      <c r="S102" s="458"/>
      <c r="T102" s="797"/>
      <c r="U102" s="458"/>
      <c r="V102" s="458"/>
      <c r="W102" s="458"/>
      <c r="X102" s="459"/>
    </row>
    <row r="103" spans="2:24" ht="5.25" customHeight="1">
      <c r="B103" s="653"/>
      <c r="C103" s="928"/>
      <c r="D103" s="569"/>
      <c r="E103" s="569"/>
      <c r="F103" s="568"/>
      <c r="G103" s="171"/>
      <c r="H103" s="59"/>
      <c r="I103" s="179"/>
      <c r="J103" s="143"/>
      <c r="K103" s="143"/>
      <c r="L103" s="184"/>
      <c r="M103" s="184"/>
      <c r="N103" s="184"/>
      <c r="O103" s="171"/>
      <c r="P103" s="59"/>
      <c r="Q103" s="458"/>
      <c r="R103" s="458"/>
      <c r="S103" s="458"/>
      <c r="T103" s="797"/>
      <c r="U103" s="458"/>
      <c r="V103" s="458"/>
      <c r="W103" s="458"/>
      <c r="X103" s="459"/>
    </row>
    <row r="104" spans="2:24" ht="13.5" customHeight="1">
      <c r="B104" s="653"/>
      <c r="C104" s="928"/>
      <c r="D104" s="357"/>
      <c r="E104" s="794" t="s">
        <v>210</v>
      </c>
      <c r="F104" s="185">
        <f>'Comprehensive Budget'!F103</f>
        <v>0</v>
      </c>
      <c r="G104" s="171"/>
      <c r="H104" s="59"/>
      <c r="I104" s="179"/>
      <c r="J104" s="216">
        <f>F104</f>
        <v>0</v>
      </c>
      <c r="K104" s="143"/>
      <c r="L104" s="748">
        <f>F104-J104</f>
        <v>0</v>
      </c>
      <c r="M104" s="184"/>
      <c r="N104" s="184"/>
      <c r="O104" s="171"/>
      <c r="P104" s="59"/>
      <c r="Q104" s="458"/>
      <c r="R104" s="458"/>
      <c r="S104" s="458"/>
      <c r="T104" s="797"/>
      <c r="U104" s="458"/>
      <c r="V104" s="458"/>
      <c r="W104" s="458"/>
      <c r="X104" s="459"/>
    </row>
    <row r="105" spans="2:24" ht="13.5" customHeight="1">
      <c r="B105" s="653"/>
      <c r="C105" s="928"/>
      <c r="D105" s="357"/>
      <c r="E105" s="794" t="s">
        <v>212</v>
      </c>
      <c r="F105" s="185">
        <f>'Comprehensive Budget'!F104</f>
        <v>0</v>
      </c>
      <c r="G105" s="171"/>
      <c r="H105" s="59"/>
      <c r="I105" s="179"/>
      <c r="J105" s="216">
        <f>F105</f>
        <v>0</v>
      </c>
      <c r="K105" s="143"/>
      <c r="L105" s="748">
        <f>F105-J105</f>
        <v>0</v>
      </c>
      <c r="M105" s="184"/>
      <c r="N105" s="184"/>
      <c r="O105" s="171"/>
      <c r="P105" s="59"/>
      <c r="Q105" s="458"/>
      <c r="R105" s="458"/>
      <c r="S105" s="458"/>
      <c r="T105" s="797"/>
      <c r="U105" s="458"/>
      <c r="V105" s="458"/>
      <c r="W105" s="458"/>
      <c r="X105" s="459"/>
    </row>
    <row r="106" spans="2:24" ht="13.5" customHeight="1" thickBot="1">
      <c r="B106" s="653"/>
      <c r="C106" s="928"/>
      <c r="D106" s="357"/>
      <c r="E106" s="794" t="s">
        <v>88</v>
      </c>
      <c r="F106" s="185">
        <f>'Comprehensive Budget'!F105</f>
        <v>0</v>
      </c>
      <c r="G106" s="171"/>
      <c r="H106" s="59"/>
      <c r="I106" s="179"/>
      <c r="J106" s="1213"/>
      <c r="K106" s="143"/>
      <c r="L106" s="748">
        <f>F106-J106</f>
        <v>0</v>
      </c>
      <c r="M106" s="184"/>
      <c r="N106" s="1204"/>
      <c r="O106" s="171"/>
      <c r="P106" s="59"/>
      <c r="Q106" s="458"/>
      <c r="R106" s="458"/>
      <c r="S106" s="458"/>
      <c r="T106" s="797"/>
      <c r="U106" s="458"/>
      <c r="V106" s="458"/>
      <c r="W106" s="458"/>
      <c r="X106" s="459"/>
    </row>
    <row r="107" spans="2:24" ht="13.5" customHeight="1">
      <c r="B107" s="653"/>
      <c r="C107" s="928"/>
      <c r="D107" s="357"/>
      <c r="E107" s="737" t="s">
        <v>331</v>
      </c>
      <c r="F107" s="185">
        <f>'Comprehensive Budget'!F106</f>
        <v>0</v>
      </c>
      <c r="G107" s="171"/>
      <c r="H107" s="59"/>
      <c r="I107" s="179"/>
      <c r="J107" s="65">
        <v>0</v>
      </c>
      <c r="K107" s="143"/>
      <c r="L107" s="748">
        <f>F107-J107</f>
        <v>0</v>
      </c>
      <c r="M107" s="184"/>
      <c r="N107" s="184"/>
      <c r="O107" s="171"/>
      <c r="P107" s="59"/>
      <c r="Q107" s="458"/>
      <c r="R107" s="458"/>
      <c r="S107" s="458"/>
      <c r="T107" s="797"/>
      <c r="U107" s="458"/>
      <c r="V107" s="458"/>
      <c r="W107" s="458"/>
      <c r="X107" s="459"/>
    </row>
    <row r="108" spans="2:24" ht="5.25" customHeight="1">
      <c r="B108" s="653"/>
      <c r="C108" s="928"/>
      <c r="D108" s="357"/>
      <c r="E108" s="957"/>
      <c r="F108" s="184"/>
      <c r="G108" s="171"/>
      <c r="H108" s="59"/>
      <c r="I108" s="179"/>
      <c r="J108" s="143"/>
      <c r="K108" s="143"/>
      <c r="L108" s="184"/>
      <c r="M108" s="184"/>
      <c r="N108" s="184"/>
      <c r="O108" s="171"/>
      <c r="P108" s="59"/>
      <c r="Q108" s="458"/>
      <c r="R108" s="458"/>
      <c r="S108" s="458"/>
      <c r="T108" s="797"/>
      <c r="U108" s="458"/>
      <c r="V108" s="458"/>
      <c r="W108" s="458"/>
      <c r="X108" s="459"/>
    </row>
    <row r="109" spans="2:24" ht="13.5" customHeight="1">
      <c r="B109" s="653"/>
      <c r="C109" s="928"/>
      <c r="D109" s="807" t="s">
        <v>45</v>
      </c>
      <c r="E109" s="1039"/>
      <c r="F109" s="75"/>
      <c r="G109" s="171"/>
      <c r="H109" s="59"/>
      <c r="I109" s="179"/>
      <c r="J109" s="223"/>
      <c r="K109" s="223"/>
      <c r="L109" s="778"/>
      <c r="M109" s="778"/>
      <c r="N109" s="778"/>
      <c r="O109" s="171"/>
      <c r="P109" s="59"/>
      <c r="Q109" s="458"/>
      <c r="R109" s="458"/>
      <c r="S109" s="458"/>
      <c r="T109" s="797"/>
      <c r="U109" s="458"/>
      <c r="V109" s="458"/>
      <c r="W109" s="458"/>
      <c r="X109" s="459"/>
    </row>
    <row r="110" spans="2:24" ht="5.25" customHeight="1">
      <c r="B110" s="653"/>
      <c r="C110" s="928"/>
      <c r="D110" s="569"/>
      <c r="E110" s="1040"/>
      <c r="F110" s="571"/>
      <c r="G110" s="171"/>
      <c r="H110" s="59"/>
      <c r="I110" s="179"/>
      <c r="J110" s="143"/>
      <c r="K110" s="143"/>
      <c r="L110" s="184"/>
      <c r="M110" s="184"/>
      <c r="N110" s="184"/>
      <c r="O110" s="171"/>
      <c r="P110" s="59"/>
      <c r="Q110" s="458"/>
      <c r="R110" s="458"/>
      <c r="S110" s="458"/>
      <c r="T110" s="797"/>
      <c r="U110" s="458"/>
      <c r="V110" s="458"/>
      <c r="W110" s="458"/>
      <c r="X110" s="459"/>
    </row>
    <row r="111" spans="2:24" ht="13.5" customHeight="1">
      <c r="B111" s="653"/>
      <c r="C111" s="928"/>
      <c r="D111" s="678"/>
      <c r="E111" s="794" t="s">
        <v>211</v>
      </c>
      <c r="F111" s="185">
        <f>'Comprehensive Budget'!F110</f>
        <v>0</v>
      </c>
      <c r="G111" s="171"/>
      <c r="H111" s="59"/>
      <c r="I111" s="179"/>
      <c r="J111" s="216">
        <f>F111</f>
        <v>0</v>
      </c>
      <c r="K111" s="143"/>
      <c r="L111" s="748">
        <f>F111-J111</f>
        <v>0</v>
      </c>
      <c r="M111" s="184"/>
      <c r="N111" s="184"/>
      <c r="O111" s="171"/>
      <c r="P111" s="59"/>
      <c r="Q111" s="458"/>
      <c r="R111" s="458"/>
      <c r="S111" s="458"/>
      <c r="T111" s="797"/>
      <c r="U111" s="458"/>
      <c r="V111" s="458"/>
      <c r="W111" s="458"/>
      <c r="X111" s="459"/>
    </row>
    <row r="112" spans="2:24" ht="13.5" customHeight="1" thickBot="1">
      <c r="B112" s="653"/>
      <c r="C112" s="928"/>
      <c r="D112" s="678"/>
      <c r="E112" s="794" t="s">
        <v>117</v>
      </c>
      <c r="F112" s="185">
        <f>'Comprehensive Budget'!F111</f>
        <v>0</v>
      </c>
      <c r="G112" s="171"/>
      <c r="H112" s="59"/>
      <c r="I112" s="179"/>
      <c r="J112" s="1213"/>
      <c r="K112" s="143"/>
      <c r="L112" s="748">
        <f>F112-J112</f>
        <v>0</v>
      </c>
      <c r="M112" s="184"/>
      <c r="N112" s="1204"/>
      <c r="O112" s="171"/>
      <c r="P112" s="59"/>
      <c r="Q112" s="458"/>
      <c r="R112" s="458"/>
      <c r="S112" s="458"/>
      <c r="T112" s="797"/>
      <c r="U112" s="458"/>
      <c r="V112" s="458"/>
      <c r="W112" s="458"/>
      <c r="X112" s="459"/>
    </row>
    <row r="113" spans="2:24" ht="13.5" customHeight="1">
      <c r="B113" s="653"/>
      <c r="C113" s="928"/>
      <c r="D113" s="678"/>
      <c r="E113" s="737" t="s">
        <v>331</v>
      </c>
      <c r="F113" s="185">
        <f>'Comprehensive Budget'!F112</f>
        <v>0</v>
      </c>
      <c r="G113" s="171"/>
      <c r="H113" s="59"/>
      <c r="I113" s="179"/>
      <c r="J113" s="65">
        <v>0</v>
      </c>
      <c r="K113" s="143"/>
      <c r="L113" s="748">
        <f>F113-J113</f>
        <v>0</v>
      </c>
      <c r="M113" s="184"/>
      <c r="N113" s="184"/>
      <c r="O113" s="171"/>
      <c r="P113" s="59"/>
      <c r="Q113" s="458"/>
      <c r="R113" s="458"/>
      <c r="S113" s="458"/>
      <c r="T113" s="797"/>
      <c r="U113" s="458"/>
      <c r="V113" s="458"/>
      <c r="W113" s="458"/>
      <c r="X113" s="459"/>
    </row>
    <row r="114" spans="2:24" ht="5.25" customHeight="1">
      <c r="B114" s="653"/>
      <c r="C114" s="928"/>
      <c r="D114" s="678"/>
      <c r="E114" s="957"/>
      <c r="F114" s="184"/>
      <c r="G114" s="171"/>
      <c r="H114" s="59"/>
      <c r="I114" s="179"/>
      <c r="J114" s="143"/>
      <c r="K114" s="143"/>
      <c r="L114" s="184"/>
      <c r="M114" s="184"/>
      <c r="N114" s="184"/>
      <c r="O114" s="171"/>
      <c r="P114" s="59"/>
      <c r="Q114" s="458"/>
      <c r="R114" s="458"/>
      <c r="S114" s="458"/>
      <c r="T114" s="797"/>
      <c r="U114" s="458"/>
      <c r="V114" s="458"/>
      <c r="W114" s="458"/>
      <c r="X114" s="459"/>
    </row>
    <row r="115" spans="2:24" ht="13.5" customHeight="1">
      <c r="B115" s="653"/>
      <c r="C115" s="928"/>
      <c r="D115" s="807" t="s">
        <v>289</v>
      </c>
      <c r="E115" s="1039"/>
      <c r="F115" s="75"/>
      <c r="G115" s="171"/>
      <c r="H115" s="59"/>
      <c r="I115" s="179"/>
      <c r="J115" s="223"/>
      <c r="K115" s="223"/>
      <c r="L115" s="778"/>
      <c r="M115" s="778"/>
      <c r="N115" s="778"/>
      <c r="O115" s="171"/>
      <c r="P115" s="59"/>
      <c r="Q115" s="458"/>
      <c r="R115" s="458"/>
      <c r="S115" s="458"/>
      <c r="T115" s="458"/>
      <c r="U115" s="458"/>
      <c r="V115" s="458"/>
      <c r="W115" s="458"/>
      <c r="X115" s="459"/>
    </row>
    <row r="116" spans="2:24" ht="5.25" customHeight="1">
      <c r="B116" s="653"/>
      <c r="C116" s="928"/>
      <c r="D116" s="569"/>
      <c r="E116" s="1040"/>
      <c r="F116" s="571"/>
      <c r="G116" s="171"/>
      <c r="H116" s="59"/>
      <c r="I116" s="179"/>
      <c r="J116" s="143"/>
      <c r="K116" s="143"/>
      <c r="L116" s="184"/>
      <c r="M116" s="184"/>
      <c r="N116" s="184"/>
      <c r="O116" s="171"/>
      <c r="P116" s="59"/>
      <c r="Q116" s="458"/>
      <c r="R116" s="458"/>
      <c r="S116" s="458"/>
      <c r="T116" s="458"/>
      <c r="U116" s="458"/>
      <c r="V116" s="458"/>
      <c r="W116" s="458"/>
      <c r="X116" s="459"/>
    </row>
    <row r="117" spans="2:24" ht="13.5" customHeight="1">
      <c r="B117" s="653"/>
      <c r="C117" s="928"/>
      <c r="D117" s="678"/>
      <c r="E117" s="186" t="s">
        <v>204</v>
      </c>
      <c r="F117" s="185">
        <f>'Comprehensive Budget'!F116</f>
        <v>0</v>
      </c>
      <c r="G117" s="171"/>
      <c r="H117" s="59"/>
      <c r="I117" s="179"/>
      <c r="J117" s="216">
        <f>F117</f>
        <v>0</v>
      </c>
      <c r="K117" s="143"/>
      <c r="L117" s="748">
        <f>F117-J117</f>
        <v>0</v>
      </c>
      <c r="M117" s="184"/>
      <c r="N117" s="184"/>
      <c r="O117" s="171"/>
      <c r="P117" s="59"/>
      <c r="Q117" s="458"/>
      <c r="R117" s="458"/>
      <c r="S117" s="458"/>
      <c r="T117" s="458"/>
      <c r="U117" s="458"/>
      <c r="V117" s="458"/>
      <c r="W117" s="458"/>
      <c r="X117" s="459"/>
    </row>
    <row r="118" spans="2:24" ht="13.5" customHeight="1">
      <c r="B118" s="653"/>
      <c r="C118" s="928"/>
      <c r="D118" s="678"/>
      <c r="E118" s="186" t="s">
        <v>205</v>
      </c>
      <c r="F118" s="185">
        <f>'Comprehensive Budget'!F117</f>
        <v>0</v>
      </c>
      <c r="G118" s="171"/>
      <c r="H118" s="59"/>
      <c r="I118" s="179"/>
      <c r="J118" s="216">
        <f>F118</f>
        <v>0</v>
      </c>
      <c r="K118" s="143"/>
      <c r="L118" s="748">
        <f>F118-J118</f>
        <v>0</v>
      </c>
      <c r="M118" s="184"/>
      <c r="N118" s="184"/>
      <c r="O118" s="171"/>
      <c r="P118" s="59"/>
      <c r="Q118" s="458"/>
      <c r="R118" s="458"/>
      <c r="S118" s="458"/>
      <c r="T118" s="458"/>
      <c r="U118" s="458"/>
      <c r="V118" s="458"/>
      <c r="W118" s="458"/>
      <c r="X118" s="459"/>
    </row>
    <row r="119" spans="2:24" ht="13.5" customHeight="1" thickBot="1">
      <c r="B119" s="653"/>
      <c r="C119" s="928"/>
      <c r="D119" s="678"/>
      <c r="E119" s="186" t="s">
        <v>290</v>
      </c>
      <c r="F119" s="185">
        <f>'Comprehensive Budget'!F118</f>
        <v>0</v>
      </c>
      <c r="G119" s="171"/>
      <c r="H119" s="59"/>
      <c r="I119" s="179"/>
      <c r="J119" s="1213"/>
      <c r="K119" s="143"/>
      <c r="L119" s="748">
        <f>F119-J119</f>
        <v>0</v>
      </c>
      <c r="M119" s="184"/>
      <c r="N119" s="1204"/>
      <c r="O119" s="171"/>
      <c r="P119" s="59"/>
      <c r="Q119" s="458"/>
      <c r="R119" s="458"/>
      <c r="S119" s="458"/>
      <c r="T119" s="458"/>
      <c r="U119" s="458"/>
      <c r="V119" s="458"/>
      <c r="W119" s="458"/>
      <c r="X119" s="459"/>
    </row>
    <row r="120" spans="2:24" ht="13.5" customHeight="1">
      <c r="B120" s="653"/>
      <c r="C120" s="928"/>
      <c r="D120" s="678"/>
      <c r="E120" s="737" t="s">
        <v>331</v>
      </c>
      <c r="F120" s="185">
        <f>'Comprehensive Budget'!F119</f>
        <v>0</v>
      </c>
      <c r="G120" s="171"/>
      <c r="H120" s="59"/>
      <c r="I120" s="179"/>
      <c r="J120" s="65">
        <v>0</v>
      </c>
      <c r="K120" s="143"/>
      <c r="L120" s="748">
        <f>F120-J120</f>
        <v>0</v>
      </c>
      <c r="M120" s="184"/>
      <c r="N120" s="184"/>
      <c r="O120" s="171"/>
      <c r="P120" s="59"/>
      <c r="Q120" s="458"/>
      <c r="R120" s="458"/>
      <c r="S120" s="458"/>
      <c r="T120" s="458"/>
      <c r="U120" s="458"/>
      <c r="V120" s="458"/>
      <c r="W120" s="458"/>
      <c r="X120" s="799"/>
    </row>
    <row r="121" spans="2:24" ht="5.25" customHeight="1">
      <c r="B121" s="653"/>
      <c r="C121" s="928"/>
      <c r="D121" s="678"/>
      <c r="E121" s="957"/>
      <c r="F121" s="184"/>
      <c r="G121" s="171"/>
      <c r="H121" s="59"/>
      <c r="I121" s="179"/>
      <c r="J121" s="143"/>
      <c r="K121" s="143"/>
      <c r="L121" s="184"/>
      <c r="M121" s="184"/>
      <c r="N121" s="184"/>
      <c r="O121" s="171"/>
      <c r="P121" s="59"/>
      <c r="Q121" s="458"/>
      <c r="R121" s="458"/>
      <c r="S121" s="458"/>
      <c r="T121" s="458"/>
      <c r="U121" s="458"/>
      <c r="V121" s="458"/>
      <c r="W121" s="458"/>
      <c r="X121" s="800"/>
    </row>
    <row r="122" spans="2:24" ht="13.5" customHeight="1">
      <c r="B122" s="653"/>
      <c r="C122" s="928"/>
      <c r="D122" s="807" t="s">
        <v>46</v>
      </c>
      <c r="E122" s="1039"/>
      <c r="F122" s="75"/>
      <c r="G122" s="171"/>
      <c r="H122" s="59"/>
      <c r="I122" s="179"/>
      <c r="J122" s="223"/>
      <c r="K122" s="223"/>
      <c r="L122" s="778"/>
      <c r="M122" s="778"/>
      <c r="N122" s="778"/>
      <c r="O122" s="171"/>
      <c r="P122" s="59"/>
      <c r="Q122" s="458"/>
      <c r="R122" s="458"/>
      <c r="S122" s="798"/>
      <c r="T122" s="798"/>
      <c r="U122" s="798"/>
      <c r="V122" s="458"/>
      <c r="W122" s="458"/>
      <c r="X122" s="801"/>
    </row>
    <row r="123" spans="2:24" ht="5.25" customHeight="1">
      <c r="B123" s="653"/>
      <c r="C123" s="928"/>
      <c r="D123" s="569"/>
      <c r="E123" s="1040"/>
      <c r="F123" s="571"/>
      <c r="G123" s="171"/>
      <c r="H123" s="59"/>
      <c r="I123" s="179"/>
      <c r="J123" s="143"/>
      <c r="K123" s="143"/>
      <c r="L123" s="184"/>
      <c r="M123" s="184"/>
      <c r="N123" s="184"/>
      <c r="O123" s="171"/>
      <c r="P123" s="59"/>
      <c r="Q123" s="458"/>
      <c r="R123" s="458"/>
      <c r="S123" s="798"/>
      <c r="T123" s="798"/>
      <c r="U123" s="798"/>
      <c r="V123" s="458"/>
      <c r="W123" s="458"/>
      <c r="X123" s="799"/>
    </row>
    <row r="124" spans="2:24" ht="13.5" customHeight="1" thickBot="1">
      <c r="B124" s="653"/>
      <c r="C124" s="928"/>
      <c r="D124" s="678"/>
      <c r="E124" s="186" t="s">
        <v>46</v>
      </c>
      <c r="F124" s="185">
        <f>'Comprehensive Budget'!F123</f>
        <v>0</v>
      </c>
      <c r="G124" s="171"/>
      <c r="H124" s="59"/>
      <c r="I124" s="179"/>
      <c r="J124" s="1213"/>
      <c r="K124" s="143"/>
      <c r="L124" s="748">
        <f>F124-J124</f>
        <v>0</v>
      </c>
      <c r="M124" s="184"/>
      <c r="N124" s="1204"/>
      <c r="O124" s="171"/>
      <c r="P124" s="59"/>
      <c r="Q124" s="458"/>
      <c r="R124" s="458"/>
      <c r="S124" s="798"/>
      <c r="T124" s="798"/>
      <c r="U124" s="798"/>
      <c r="V124" s="458"/>
      <c r="W124" s="458"/>
      <c r="X124" s="628"/>
    </row>
    <row r="125" spans="2:24" ht="13.5" customHeight="1">
      <c r="B125" s="653"/>
      <c r="C125" s="928"/>
      <c r="D125" s="678"/>
      <c r="E125" s="737" t="s">
        <v>331</v>
      </c>
      <c r="F125" s="185">
        <f>'Comprehensive Budget'!F124</f>
        <v>0</v>
      </c>
      <c r="G125" s="171"/>
      <c r="H125" s="59"/>
      <c r="I125" s="179"/>
      <c r="J125" s="65">
        <v>0</v>
      </c>
      <c r="K125" s="143"/>
      <c r="L125" s="748">
        <f>F125-J125</f>
        <v>0</v>
      </c>
      <c r="M125" s="184"/>
      <c r="N125" s="184"/>
      <c r="O125" s="171"/>
      <c r="P125" s="59"/>
      <c r="Q125" s="458"/>
      <c r="R125" s="458"/>
      <c r="S125" s="458"/>
      <c r="T125" s="458"/>
      <c r="U125" s="458"/>
      <c r="V125" s="458"/>
      <c r="W125" s="458"/>
      <c r="X125" s="799"/>
    </row>
    <row r="126" spans="2:24" ht="5.25" customHeight="1">
      <c r="B126" s="653"/>
      <c r="C126" s="928"/>
      <c r="D126" s="678"/>
      <c r="E126" s="957"/>
      <c r="F126" s="184"/>
      <c r="G126" s="171"/>
      <c r="H126" s="59"/>
      <c r="I126" s="179"/>
      <c r="J126" s="143"/>
      <c r="K126" s="143"/>
      <c r="L126" s="184"/>
      <c r="M126" s="184"/>
      <c r="N126" s="184"/>
      <c r="O126" s="171"/>
      <c r="P126" s="59"/>
      <c r="Q126" s="458"/>
      <c r="R126" s="458"/>
      <c r="S126" s="458"/>
      <c r="T126" s="458"/>
      <c r="U126" s="458"/>
      <c r="V126" s="458"/>
      <c r="W126" s="458"/>
      <c r="X126" s="459"/>
    </row>
    <row r="127" spans="2:24" ht="13.5" customHeight="1">
      <c r="B127" s="653"/>
      <c r="C127" s="928"/>
      <c r="D127" s="807" t="s">
        <v>47</v>
      </c>
      <c r="E127" s="1039"/>
      <c r="F127" s="75"/>
      <c r="G127" s="171"/>
      <c r="H127" s="59"/>
      <c r="I127" s="179"/>
      <c r="J127" s="223"/>
      <c r="K127" s="223"/>
      <c r="L127" s="778"/>
      <c r="M127" s="778"/>
      <c r="N127" s="778"/>
      <c r="O127" s="171"/>
      <c r="P127" s="59"/>
      <c r="Q127" s="458"/>
      <c r="R127" s="458"/>
      <c r="S127" s="458"/>
      <c r="T127" s="458"/>
      <c r="U127" s="458"/>
      <c r="V127" s="458"/>
      <c r="W127" s="458"/>
      <c r="X127" s="800"/>
    </row>
    <row r="128" spans="2:24" ht="5.25" customHeight="1">
      <c r="B128" s="653"/>
      <c r="C128" s="928"/>
      <c r="D128" s="569"/>
      <c r="E128" s="1040"/>
      <c r="F128" s="571"/>
      <c r="G128" s="171"/>
      <c r="H128" s="59"/>
      <c r="I128" s="179"/>
      <c r="J128" s="143"/>
      <c r="K128" s="143"/>
      <c r="L128" s="184"/>
      <c r="M128" s="184"/>
      <c r="N128" s="184"/>
      <c r="O128" s="171"/>
      <c r="P128" s="59"/>
      <c r="Q128" s="458"/>
      <c r="R128" s="458"/>
      <c r="S128" s="458"/>
      <c r="T128" s="458"/>
      <c r="U128" s="458"/>
      <c r="V128" s="458"/>
      <c r="W128" s="458"/>
      <c r="X128" s="800"/>
    </row>
    <row r="129" spans="2:24" ht="13.5" customHeight="1">
      <c r="B129" s="653"/>
      <c r="C129" s="928"/>
      <c r="D129" s="678"/>
      <c r="E129" s="186" t="str">
        <f>'Comprehensive Budget'!E128</f>
        <v>xxx</v>
      </c>
      <c r="F129" s="185">
        <f>'Comprehensive Budget'!F128</f>
        <v>0</v>
      </c>
      <c r="G129" s="171"/>
      <c r="H129" s="59"/>
      <c r="I129" s="179"/>
      <c r="J129" s="1214"/>
      <c r="K129" s="143"/>
      <c r="L129" s="748">
        <f>F129-J129</f>
        <v>0</v>
      </c>
      <c r="M129" s="184"/>
      <c r="N129" s="1215"/>
      <c r="O129" s="171"/>
      <c r="P129" s="59"/>
      <c r="Q129" s="458"/>
      <c r="R129" s="458"/>
      <c r="S129" s="458"/>
      <c r="T129" s="458"/>
      <c r="U129" s="458"/>
      <c r="V129" s="458"/>
      <c r="W129" s="458"/>
      <c r="X129" s="800"/>
    </row>
    <row r="130" spans="2:24" ht="13.5" customHeight="1">
      <c r="B130" s="653"/>
      <c r="C130" s="928"/>
      <c r="D130" s="678"/>
      <c r="E130" s="186" t="str">
        <f>'Comprehensive Budget'!E129</f>
        <v>xxx</v>
      </c>
      <c r="F130" s="185">
        <f>'Comprehensive Budget'!F129</f>
        <v>0</v>
      </c>
      <c r="G130" s="171"/>
      <c r="H130" s="59"/>
      <c r="I130" s="179"/>
      <c r="J130" s="1216"/>
      <c r="K130" s="143"/>
      <c r="L130" s="748">
        <f>F130-J130</f>
        <v>0</v>
      </c>
      <c r="M130" s="803"/>
      <c r="N130" s="1210"/>
      <c r="O130" s="171"/>
      <c r="P130" s="59"/>
      <c r="Q130" s="458"/>
      <c r="R130" s="458"/>
      <c r="S130" s="458"/>
      <c r="T130" s="458"/>
      <c r="U130" s="458"/>
      <c r="V130" s="458"/>
      <c r="W130" s="458"/>
      <c r="X130" s="800"/>
    </row>
    <row r="131" spans="2:24" ht="13.5" customHeight="1" thickBot="1">
      <c r="B131" s="653"/>
      <c r="C131" s="928"/>
      <c r="D131" s="678"/>
      <c r="E131" s="186" t="str">
        <f>'Comprehensive Budget'!E130</f>
        <v>xxx</v>
      </c>
      <c r="F131" s="185">
        <f>'Comprehensive Budget'!F130</f>
        <v>0</v>
      </c>
      <c r="G131" s="171"/>
      <c r="H131" s="59"/>
      <c r="I131" s="179"/>
      <c r="J131" s="1217"/>
      <c r="K131" s="143"/>
      <c r="L131" s="748">
        <f>F131-J131</f>
        <v>0</v>
      </c>
      <c r="M131" s="184"/>
      <c r="N131" s="1218"/>
      <c r="O131" s="171"/>
      <c r="P131" s="59"/>
      <c r="Q131" s="458"/>
      <c r="R131" s="458"/>
      <c r="S131" s="458"/>
      <c r="T131" s="458"/>
      <c r="U131" s="458"/>
      <c r="V131" s="458"/>
      <c r="W131" s="458"/>
      <c r="X131" s="800"/>
    </row>
    <row r="132" spans="2:24" ht="13.5" customHeight="1">
      <c r="B132" s="653"/>
      <c r="C132" s="928"/>
      <c r="D132" s="678"/>
      <c r="E132" s="737" t="s">
        <v>331</v>
      </c>
      <c r="F132" s="185">
        <f>'Comprehensive Budget'!F131</f>
        <v>0</v>
      </c>
      <c r="G132" s="171"/>
      <c r="H132" s="59"/>
      <c r="I132" s="179"/>
      <c r="J132" s="307">
        <v>0</v>
      </c>
      <c r="K132" s="143"/>
      <c r="L132" s="748">
        <f>F132-J132</f>
        <v>0</v>
      </c>
      <c r="M132" s="184"/>
      <c r="N132" s="184"/>
      <c r="O132" s="171"/>
      <c r="P132" s="59"/>
      <c r="Q132" s="458"/>
      <c r="R132" s="458"/>
      <c r="S132" s="458"/>
      <c r="T132" s="458"/>
      <c r="U132" s="458"/>
      <c r="V132" s="458"/>
      <c r="W132" s="458"/>
      <c r="X132" s="800"/>
    </row>
    <row r="133" spans="2:24" ht="8.25" customHeight="1">
      <c r="B133" s="653"/>
      <c r="C133" s="928"/>
      <c r="D133" s="678"/>
      <c r="E133" s="957"/>
      <c r="F133" s="184"/>
      <c r="G133" s="171"/>
      <c r="H133" s="59"/>
      <c r="I133" s="179"/>
      <c r="J133" s="143"/>
      <c r="K133" s="143"/>
      <c r="L133" s="184"/>
      <c r="M133" s="184"/>
      <c r="N133" s="184"/>
      <c r="O133" s="171"/>
      <c r="P133" s="59"/>
      <c r="Q133" s="458"/>
      <c r="R133" s="458"/>
      <c r="S133" s="458"/>
      <c r="T133" s="458"/>
      <c r="U133" s="458"/>
      <c r="V133" s="458"/>
      <c r="W133" s="458"/>
      <c r="X133" s="800"/>
    </row>
    <row r="134" spans="2:24" ht="13.5" customHeight="1">
      <c r="B134" s="653"/>
      <c r="C134" s="928"/>
      <c r="D134" s="807" t="s">
        <v>114</v>
      </c>
      <c r="E134" s="1039"/>
      <c r="F134" s="75"/>
      <c r="G134" s="171"/>
      <c r="H134" s="59"/>
      <c r="I134" s="179"/>
      <c r="J134" s="223"/>
      <c r="K134" s="223"/>
      <c r="L134" s="778"/>
      <c r="M134" s="778"/>
      <c r="N134" s="778"/>
      <c r="O134" s="171"/>
      <c r="P134" s="59"/>
      <c r="Q134" s="458"/>
      <c r="R134" s="458"/>
      <c r="S134" s="458"/>
      <c r="T134" s="458"/>
      <c r="U134" s="458"/>
      <c r="V134" s="458"/>
      <c r="W134" s="458"/>
      <c r="X134" s="800"/>
    </row>
    <row r="135" spans="2:24" ht="5.25" customHeight="1">
      <c r="B135" s="653"/>
      <c r="C135" s="928"/>
      <c r="D135" s="569"/>
      <c r="E135" s="1040"/>
      <c r="F135" s="571"/>
      <c r="G135" s="171"/>
      <c r="H135" s="59"/>
      <c r="I135" s="179"/>
      <c r="J135" s="143"/>
      <c r="K135" s="143"/>
      <c r="L135" s="184"/>
      <c r="M135" s="184"/>
      <c r="N135" s="184"/>
      <c r="O135" s="171"/>
      <c r="P135" s="59"/>
      <c r="Q135" s="458"/>
      <c r="R135" s="458"/>
      <c r="S135" s="458"/>
      <c r="T135" s="458"/>
      <c r="U135" s="458"/>
      <c r="V135" s="458"/>
      <c r="W135" s="458"/>
      <c r="X135" s="800"/>
    </row>
    <row r="136" spans="2:24" ht="13.5" customHeight="1">
      <c r="B136" s="653"/>
      <c r="C136" s="928"/>
      <c r="D136" s="678"/>
      <c r="E136" s="186" t="s">
        <v>199</v>
      </c>
      <c r="F136" s="185">
        <f>'Comprehensive Budget'!F135</f>
        <v>0</v>
      </c>
      <c r="G136" s="171"/>
      <c r="H136" s="59"/>
      <c r="I136" s="179"/>
      <c r="J136" s="552">
        <v>0</v>
      </c>
      <c r="K136" s="143"/>
      <c r="L136" s="748">
        <f>F136-J136</f>
        <v>0</v>
      </c>
      <c r="M136" s="184"/>
      <c r="N136" s="1219"/>
      <c r="O136" s="171"/>
      <c r="P136" s="59"/>
      <c r="Q136" s="458"/>
      <c r="R136" s="458"/>
      <c r="S136" s="458"/>
      <c r="T136" s="458"/>
      <c r="U136" s="458"/>
      <c r="V136" s="458"/>
      <c r="W136" s="458"/>
      <c r="X136" s="800"/>
    </row>
    <row r="137" spans="2:24" ht="13.5" customHeight="1">
      <c r="B137" s="653"/>
      <c r="C137" s="928"/>
      <c r="D137" s="678"/>
      <c r="E137" s="186" t="str">
        <f>'Comprehensive Budget'!E136</f>
        <v>xxxx</v>
      </c>
      <c r="F137" s="185">
        <f>'Comprehensive Budget'!F136</f>
        <v>0</v>
      </c>
      <c r="G137" s="171"/>
      <c r="H137" s="59"/>
      <c r="I137" s="179"/>
      <c r="J137" s="1220"/>
      <c r="K137" s="143"/>
      <c r="L137" s="748">
        <f>F137-J137</f>
        <v>0</v>
      </c>
      <c r="M137" s="803"/>
      <c r="N137" s="1219"/>
      <c r="O137" s="171"/>
      <c r="P137" s="59"/>
      <c r="Q137" s="458"/>
      <c r="R137" s="458"/>
      <c r="S137" s="458"/>
      <c r="T137" s="458"/>
      <c r="U137" s="458"/>
      <c r="V137" s="458"/>
      <c r="W137" s="458"/>
      <c r="X137" s="800"/>
    </row>
    <row r="138" spans="2:24" ht="13.5" customHeight="1" thickBot="1">
      <c r="B138" s="653"/>
      <c r="C138" s="928"/>
      <c r="D138" s="678"/>
      <c r="E138" s="186" t="str">
        <f>'Comprehensive Budget'!E137</f>
        <v>xxxx</v>
      </c>
      <c r="F138" s="185">
        <f>'Comprehensive Budget'!F137</f>
        <v>0</v>
      </c>
      <c r="G138" s="171"/>
      <c r="H138" s="59"/>
      <c r="I138" s="179"/>
      <c r="J138" s="1217"/>
      <c r="K138" s="143"/>
      <c r="L138" s="748">
        <f>F138-J138</f>
        <v>0</v>
      </c>
      <c r="M138" s="184"/>
      <c r="N138" s="1218"/>
      <c r="O138" s="171"/>
      <c r="P138" s="59"/>
      <c r="Q138" s="458"/>
      <c r="R138" s="458"/>
      <c r="S138" s="806"/>
      <c r="T138" s="806"/>
      <c r="U138" s="806"/>
      <c r="V138" s="806"/>
      <c r="W138" s="806"/>
      <c r="X138" s="800"/>
    </row>
    <row r="139" spans="2:24" ht="13.5" customHeight="1">
      <c r="B139" s="653"/>
      <c r="C139" s="928"/>
      <c r="D139" s="678"/>
      <c r="E139" s="737" t="s">
        <v>331</v>
      </c>
      <c r="F139" s="185">
        <f>'Comprehensive Budget'!F138</f>
        <v>0</v>
      </c>
      <c r="G139" s="171"/>
      <c r="H139" s="59"/>
      <c r="I139" s="179"/>
      <c r="J139" s="307">
        <v>0</v>
      </c>
      <c r="K139" s="143"/>
      <c r="L139" s="748">
        <f>F139-J139</f>
        <v>0</v>
      </c>
      <c r="M139" s="184"/>
      <c r="N139" s="184"/>
      <c r="O139" s="171"/>
      <c r="P139" s="59"/>
      <c r="Q139" s="458"/>
      <c r="R139" s="458"/>
      <c r="S139" s="458"/>
      <c r="T139" s="458"/>
      <c r="U139" s="458"/>
      <c r="V139" s="458"/>
      <c r="W139" s="458"/>
      <c r="X139" s="800"/>
    </row>
    <row r="140" spans="2:24" ht="5.25" customHeight="1">
      <c r="B140" s="653"/>
      <c r="C140" s="928"/>
      <c r="D140" s="678"/>
      <c r="E140" s="957"/>
      <c r="F140" s="184"/>
      <c r="G140" s="171"/>
      <c r="H140" s="59"/>
      <c r="I140" s="179"/>
      <c r="J140" s="143"/>
      <c r="K140" s="143"/>
      <c r="L140" s="184"/>
      <c r="M140" s="184"/>
      <c r="N140" s="184"/>
      <c r="O140" s="171"/>
      <c r="P140" s="59"/>
      <c r="Q140" s="458"/>
      <c r="R140" s="458"/>
      <c r="S140" s="806"/>
      <c r="T140" s="806"/>
      <c r="U140" s="806"/>
      <c r="V140" s="806"/>
      <c r="W140" s="806"/>
      <c r="X140" s="800"/>
    </row>
    <row r="141" spans="2:24" ht="13.5" customHeight="1">
      <c r="B141" s="653"/>
      <c r="C141" s="928"/>
      <c r="D141" s="807" t="s">
        <v>306</v>
      </c>
      <c r="E141" s="1039"/>
      <c r="F141" s="75"/>
      <c r="G141" s="171"/>
      <c r="H141" s="59"/>
      <c r="I141" s="179"/>
      <c r="J141" s="223"/>
      <c r="K141" s="223"/>
      <c r="L141" s="778"/>
      <c r="M141" s="778"/>
      <c r="N141" s="778"/>
      <c r="O141" s="171"/>
      <c r="P141" s="59"/>
      <c r="Q141" s="458"/>
      <c r="R141" s="458"/>
      <c r="S141" s="458"/>
      <c r="T141" s="458"/>
      <c r="U141" s="458"/>
      <c r="V141" s="458"/>
      <c r="W141" s="458"/>
      <c r="X141" s="800"/>
    </row>
    <row r="142" spans="2:24" ht="5.25" customHeight="1">
      <c r="B142" s="653"/>
      <c r="C142" s="928"/>
      <c r="D142" s="569"/>
      <c r="E142" s="1041"/>
      <c r="F142" s="572"/>
      <c r="G142" s="171"/>
      <c r="H142" s="59"/>
      <c r="I142" s="179"/>
      <c r="J142" s="143"/>
      <c r="K142" s="143"/>
      <c r="L142" s="184"/>
      <c r="M142" s="184"/>
      <c r="N142" s="184"/>
      <c r="O142" s="171"/>
      <c r="P142" s="59"/>
      <c r="Q142" s="458"/>
      <c r="R142" s="458"/>
      <c r="S142" s="458"/>
      <c r="T142" s="458"/>
      <c r="U142" s="458"/>
      <c r="V142" s="458"/>
      <c r="W142" s="458"/>
      <c r="X142" s="800"/>
    </row>
    <row r="143" spans="2:24" ht="13.5" customHeight="1" thickBot="1">
      <c r="B143" s="653"/>
      <c r="C143" s="928"/>
      <c r="D143" s="561"/>
      <c r="E143" s="186" t="s">
        <v>304</v>
      </c>
      <c r="F143" s="185">
        <f>'Comprehensive Budget'!F142</f>
        <v>0</v>
      </c>
      <c r="G143" s="171"/>
      <c r="H143" s="59"/>
      <c r="I143" s="179"/>
      <c r="J143" s="1213">
        <v>0</v>
      </c>
      <c r="K143" s="143"/>
      <c r="L143" s="748">
        <f>F143-J143</f>
        <v>0</v>
      </c>
      <c r="M143" s="184"/>
      <c r="N143" s="1218"/>
      <c r="O143" s="171"/>
      <c r="P143" s="59"/>
      <c r="Q143" s="458"/>
      <c r="R143" s="458"/>
      <c r="S143" s="458"/>
      <c r="T143" s="458"/>
      <c r="U143" s="458"/>
      <c r="V143" s="458"/>
      <c r="W143" s="458"/>
      <c r="X143" s="800"/>
    </row>
    <row r="144" spans="2:24" ht="4.5" customHeight="1">
      <c r="B144" s="653"/>
      <c r="C144" s="928"/>
      <c r="D144" s="678"/>
      <c r="E144" s="560"/>
      <c r="F144" s="562"/>
      <c r="G144" s="171"/>
      <c r="H144" s="59"/>
      <c r="I144" s="179"/>
      <c r="J144" s="1042"/>
      <c r="K144" s="143"/>
      <c r="L144" s="562"/>
      <c r="M144" s="184"/>
      <c r="N144" s="184"/>
      <c r="O144" s="171"/>
      <c r="P144" s="59"/>
      <c r="Q144" s="458"/>
      <c r="R144" s="458"/>
      <c r="S144" s="458"/>
      <c r="T144" s="458"/>
      <c r="U144" s="458"/>
      <c r="V144" s="458"/>
      <c r="W144" s="458"/>
      <c r="X144" s="800"/>
    </row>
    <row r="145" spans="2:24" ht="3.75" customHeight="1">
      <c r="B145" s="653"/>
      <c r="C145" s="928"/>
      <c r="D145" s="678"/>
      <c r="E145" s="561"/>
      <c r="F145" s="184"/>
      <c r="G145" s="171"/>
      <c r="H145" s="59"/>
      <c r="I145" s="179"/>
      <c r="J145" s="143"/>
      <c r="K145" s="143"/>
      <c r="L145" s="184"/>
      <c r="M145" s="184"/>
      <c r="N145" s="143"/>
      <c r="O145" s="171"/>
      <c r="P145" s="59"/>
      <c r="Q145" s="458"/>
      <c r="R145" s="458"/>
      <c r="S145" s="806"/>
      <c r="T145" s="806"/>
      <c r="U145" s="806"/>
      <c r="V145" s="806"/>
      <c r="W145" s="806"/>
      <c r="X145" s="800"/>
    </row>
    <row r="146" spans="2:24" ht="3.75" customHeight="1" thickBot="1">
      <c r="B146" s="653"/>
      <c r="C146" s="928"/>
      <c r="D146" s="678"/>
      <c r="E146" s="957"/>
      <c r="F146" s="184"/>
      <c r="G146" s="171"/>
      <c r="H146" s="59"/>
      <c r="I146" s="179"/>
      <c r="J146" s="221"/>
      <c r="K146" s="221"/>
      <c r="L146" s="810"/>
      <c r="M146" s="810"/>
      <c r="N146" s="810"/>
      <c r="O146" s="171"/>
      <c r="P146" s="59"/>
      <c r="Q146" s="458"/>
      <c r="R146" s="458"/>
      <c r="S146" s="806"/>
      <c r="T146" s="806"/>
      <c r="U146" s="806"/>
      <c r="V146" s="806"/>
      <c r="W146" s="806"/>
      <c r="X146" s="800"/>
    </row>
    <row r="147" spans="2:24" ht="18" customHeight="1" thickBot="1" thickTop="1">
      <c r="B147" s="653"/>
      <c r="C147" s="928"/>
      <c r="D147" s="678"/>
      <c r="E147" s="811" t="s">
        <v>92</v>
      </c>
      <c r="F147" s="144">
        <f>SUM(F25:F143)</f>
        <v>0</v>
      </c>
      <c r="G147" s="173"/>
      <c r="H147" s="63"/>
      <c r="I147" s="181"/>
      <c r="J147" s="224">
        <f>SUM(J25:J143)</f>
        <v>0</v>
      </c>
      <c r="K147" s="224"/>
      <c r="L147" s="224">
        <f>SUM(L25:L143)</f>
        <v>0</v>
      </c>
      <c r="M147" s="224"/>
      <c r="N147" s="224">
        <f>SUM(N25:N143)</f>
        <v>0</v>
      </c>
      <c r="O147" s="173"/>
      <c r="P147" s="63"/>
      <c r="Q147" s="458"/>
      <c r="R147" s="458"/>
      <c r="S147" s="806"/>
      <c r="T147" s="806"/>
      <c r="U147" s="806"/>
      <c r="V147" s="806"/>
      <c r="W147" s="806"/>
      <c r="X147" s="800"/>
    </row>
    <row r="148" spans="2:24" ht="14.25" customHeight="1" thickBot="1" thickTop="1">
      <c r="B148" s="653"/>
      <c r="C148" s="1015"/>
      <c r="D148" s="813"/>
      <c r="E148" s="814"/>
      <c r="F148" s="174"/>
      <c r="G148" s="175"/>
      <c r="H148" s="63"/>
      <c r="I148" s="182"/>
      <c r="J148" s="816"/>
      <c r="K148" s="816"/>
      <c r="L148" s="817"/>
      <c r="M148" s="817"/>
      <c r="N148" s="817"/>
      <c r="O148" s="175"/>
      <c r="P148" s="63"/>
      <c r="Q148" s="458"/>
      <c r="R148" s="458"/>
      <c r="S148" s="798"/>
      <c r="T148" s="798"/>
      <c r="U148" s="798"/>
      <c r="V148" s="798"/>
      <c r="W148" s="798"/>
      <c r="X148" s="625"/>
    </row>
    <row r="149" spans="2:24" ht="14.25" customHeight="1">
      <c r="B149" s="653"/>
      <c r="C149" s="51"/>
      <c r="D149" s="655"/>
      <c r="E149" s="818"/>
      <c r="F149" s="63"/>
      <c r="G149" s="63"/>
      <c r="H149" s="63"/>
      <c r="I149" s="63"/>
      <c r="J149" s="51"/>
      <c r="K149" s="51"/>
      <c r="L149" s="48"/>
      <c r="M149" s="48"/>
      <c r="N149" s="48"/>
      <c r="O149" s="48"/>
      <c r="P149" s="1043"/>
      <c r="Q149" s="1043"/>
      <c r="R149" s="1043"/>
      <c r="S149" s="1043"/>
      <c r="T149" s="459"/>
      <c r="U149" s="63"/>
      <c r="V149" s="819"/>
      <c r="W149" s="819"/>
      <c r="X149" s="625"/>
    </row>
    <row r="150" spans="2:24" ht="14.25" customHeight="1">
      <c r="B150" s="653"/>
      <c r="C150" s="51"/>
      <c r="D150" s="655"/>
      <c r="E150" s="818"/>
      <c r="F150" s="63"/>
      <c r="G150" s="63"/>
      <c r="H150" s="63"/>
      <c r="I150" s="63"/>
      <c r="J150" s="51"/>
      <c r="K150" s="51"/>
      <c r="L150" s="48"/>
      <c r="M150" s="48"/>
      <c r="N150" s="829">
        <f>L147-N147</f>
        <v>0</v>
      </c>
      <c r="O150" s="48"/>
      <c r="P150" s="1043"/>
      <c r="Q150" s="1043"/>
      <c r="R150" s="1043"/>
      <c r="S150" s="1043"/>
      <c r="T150" s="51"/>
      <c r="U150" s="63"/>
      <c r="V150" s="819"/>
      <c r="W150" s="819"/>
      <c r="X150" s="625"/>
    </row>
    <row r="151" spans="2:24" ht="45" customHeight="1" thickBot="1">
      <c r="B151" s="1020"/>
      <c r="C151" s="51"/>
      <c r="D151" s="655"/>
      <c r="E151" s="818"/>
      <c r="F151" s="63"/>
      <c r="G151" s="63"/>
      <c r="H151" s="63"/>
      <c r="I151" s="63"/>
      <c r="J151" s="51"/>
      <c r="K151" s="51"/>
      <c r="L151" s="48"/>
      <c r="M151" s="48"/>
      <c r="N151" s="836" t="s">
        <v>168</v>
      </c>
      <c r="O151" s="48"/>
      <c r="P151" s="1043"/>
      <c r="Q151" s="1043"/>
      <c r="R151" s="1043"/>
      <c r="S151" s="1043"/>
      <c r="T151" s="51"/>
      <c r="U151" s="63"/>
      <c r="V151" s="819"/>
      <c r="W151" s="819"/>
      <c r="X151" s="1044"/>
    </row>
    <row r="152" spans="2:24" ht="14.25" customHeight="1">
      <c r="B152" s="68"/>
      <c r="C152" s="68"/>
      <c r="D152" s="1045"/>
      <c r="E152" s="1046"/>
      <c r="F152" s="67"/>
      <c r="G152" s="67"/>
      <c r="H152" s="67"/>
      <c r="I152" s="67"/>
      <c r="J152" s="68"/>
      <c r="K152" s="68"/>
      <c r="L152" s="68"/>
      <c r="M152" s="68"/>
      <c r="N152" s="1047"/>
      <c r="O152" s="68"/>
      <c r="P152" s="1048"/>
      <c r="Q152" s="1048"/>
      <c r="R152" s="1048"/>
      <c r="S152" s="1048"/>
      <c r="T152" s="68"/>
      <c r="U152" s="68"/>
      <c r="V152" s="68"/>
      <c r="W152" s="68"/>
      <c r="X152" s="1049"/>
    </row>
    <row r="153" spans="2:24" ht="14.25" customHeight="1" thickBot="1">
      <c r="B153" s="1050"/>
      <c r="C153" s="1050"/>
      <c r="D153" s="1051"/>
      <c r="E153" s="1052"/>
      <c r="F153" s="66"/>
      <c r="G153" s="66"/>
      <c r="H153" s="66"/>
      <c r="I153" s="66"/>
      <c r="J153" s="1050"/>
      <c r="K153" s="1050"/>
      <c r="L153" s="1050"/>
      <c r="M153" s="1050"/>
      <c r="N153" s="1053"/>
      <c r="O153" s="1050"/>
      <c r="P153" s="1054"/>
      <c r="Q153" s="1054"/>
      <c r="R153" s="1054"/>
      <c r="S153" s="1054"/>
      <c r="T153" s="1050"/>
      <c r="U153" s="1050"/>
      <c r="V153" s="1050"/>
      <c r="W153" s="1050"/>
      <c r="X153" s="1055"/>
    </row>
    <row r="154" spans="2:24" ht="14.25" customHeight="1">
      <c r="B154" s="653"/>
      <c r="C154" s="51"/>
      <c r="D154" s="655"/>
      <c r="E154" s="818"/>
      <c r="F154" s="63"/>
      <c r="G154" s="63"/>
      <c r="H154" s="63"/>
      <c r="I154" s="63"/>
      <c r="J154" s="51"/>
      <c r="K154" s="51"/>
      <c r="L154" s="48"/>
      <c r="M154" s="48"/>
      <c r="N154" s="836"/>
      <c r="O154" s="48"/>
      <c r="P154" s="1043"/>
      <c r="Q154" s="1043"/>
      <c r="R154" s="1043"/>
      <c r="S154" s="1043"/>
      <c r="T154" s="53"/>
      <c r="U154" s="53"/>
      <c r="V154" s="53"/>
      <c r="W154" s="53"/>
      <c r="X154" s="1023"/>
    </row>
    <row r="155" spans="2:24" ht="32.25" customHeight="1">
      <c r="B155" s="653"/>
      <c r="C155" s="217" t="s">
        <v>166</v>
      </c>
      <c r="D155" s="48"/>
      <c r="E155" s="818"/>
      <c r="F155" s="63"/>
      <c r="G155" s="63"/>
      <c r="H155" s="63"/>
      <c r="I155" s="63"/>
      <c r="J155" s="51"/>
      <c r="K155" s="51"/>
      <c r="L155" s="48"/>
      <c r="M155" s="48"/>
      <c r="N155" s="847"/>
      <c r="O155" s="48"/>
      <c r="P155" s="1043"/>
      <c r="Q155" s="1043"/>
      <c r="R155" s="1043"/>
      <c r="S155" s="1043"/>
      <c r="T155" s="51"/>
      <c r="U155" s="828"/>
      <c r="V155" s="458"/>
      <c r="W155" s="458"/>
      <c r="X155" s="625"/>
    </row>
    <row r="156" spans="2:24" ht="21" customHeight="1">
      <c r="B156" s="653"/>
      <c r="C156" s="1056" t="s">
        <v>23</v>
      </c>
      <c r="D156" s="1057"/>
      <c r="E156" s="1058" t="s">
        <v>327</v>
      </c>
      <c r="F156" s="63"/>
      <c r="G156" s="63"/>
      <c r="H156" s="63"/>
      <c r="I156" s="63"/>
      <c r="J156" s="51"/>
      <c r="K156" s="51"/>
      <c r="L156" s="48"/>
      <c r="M156" s="48"/>
      <c r="N156" s="847"/>
      <c r="O156" s="48"/>
      <c r="P156" s="51"/>
      <c r="Q156" s="1059"/>
      <c r="R156" s="1059"/>
      <c r="S156" s="1059"/>
      <c r="T156" s="51"/>
      <c r="U156" s="828"/>
      <c r="V156" s="458"/>
      <c r="W156" s="458"/>
      <c r="X156" s="625"/>
    </row>
    <row r="157" spans="2:24" ht="21" customHeight="1">
      <c r="B157" s="653"/>
      <c r="C157" s="1056"/>
      <c r="D157" s="1057"/>
      <c r="E157" s="1058"/>
      <c r="F157" s="63"/>
      <c r="G157" s="63"/>
      <c r="H157" s="63"/>
      <c r="I157" s="63"/>
      <c r="J157" s="51"/>
      <c r="K157" s="51"/>
      <c r="L157" s="48"/>
      <c r="M157" s="48"/>
      <c r="N157" s="1060">
        <f>F13</f>
        <v>2022</v>
      </c>
      <c r="O157" s="1061" t="str">
        <f>IF(F16=F13,"","-")</f>
        <v>-</v>
      </c>
      <c r="P157" s="630">
        <f>IF(F16=F13,"",F16)</f>
        <v>2023</v>
      </c>
      <c r="Q157" s="1059"/>
      <c r="R157" s="1059"/>
      <c r="S157" s="1059"/>
      <c r="T157" s="51"/>
      <c r="U157" s="828"/>
      <c r="V157" s="458"/>
      <c r="W157" s="458"/>
      <c r="X157" s="625"/>
    </row>
    <row r="158" spans="2:24" ht="40.5" customHeight="1">
      <c r="B158" s="653"/>
      <c r="C158" s="51"/>
      <c r="D158" s="655"/>
      <c r="E158" s="818"/>
      <c r="F158" s="63"/>
      <c r="G158" s="63"/>
      <c r="H158" s="63"/>
      <c r="I158" s="63"/>
      <c r="J158" s="48"/>
      <c r="K158" s="48"/>
      <c r="L158" s="48"/>
      <c r="M158" s="48"/>
      <c r="N158" s="847"/>
      <c r="O158" s="48"/>
      <c r="P158" s="51"/>
      <c r="Q158" s="51"/>
      <c r="R158" s="51"/>
      <c r="S158" s="51"/>
      <c r="T158" s="1062"/>
      <c r="U158" s="624"/>
      <c r="V158" s="624"/>
      <c r="W158" s="624"/>
      <c r="X158" s="625"/>
    </row>
    <row r="159" spans="2:24" ht="9" customHeight="1">
      <c r="B159" s="653"/>
      <c r="C159" s="989"/>
      <c r="D159" s="990"/>
      <c r="E159" s="1063"/>
      <c r="F159" s="187"/>
      <c r="G159" s="187"/>
      <c r="H159" s="187"/>
      <c r="I159" s="187"/>
      <c r="J159" s="821"/>
      <c r="K159" s="822"/>
      <c r="L159" s="48"/>
      <c r="M159" s="48"/>
      <c r="N159" s="48"/>
      <c r="O159" s="48"/>
      <c r="P159" s="51"/>
      <c r="Q159" s="51"/>
      <c r="R159" s="51"/>
      <c r="S159" s="51"/>
      <c r="T159" s="624"/>
      <c r="U159" s="624"/>
      <c r="V159" s="624"/>
      <c r="W159" s="624"/>
      <c r="X159" s="625"/>
    </row>
    <row r="160" spans="2:24" s="666" customFormat="1" ht="18" customHeight="1">
      <c r="B160" s="662"/>
      <c r="C160" s="932"/>
      <c r="D160" s="1064"/>
      <c r="E160" s="1064"/>
      <c r="F160" s="1064"/>
      <c r="G160" s="1065" t="s">
        <v>145</v>
      </c>
      <c r="H160" s="1066" t="s">
        <v>95</v>
      </c>
      <c r="I160" s="1065"/>
      <c r="J160" s="190">
        <f>N150</f>
        <v>0</v>
      </c>
      <c r="K160" s="308"/>
      <c r="L160" s="50"/>
      <c r="M160" s="50"/>
      <c r="N160" s="50"/>
      <c r="O160" s="50"/>
      <c r="P160" s="665"/>
      <c r="Q160" s="665"/>
      <c r="R160" s="665"/>
      <c r="S160" s="665"/>
      <c r="T160" s="624"/>
      <c r="U160" s="624"/>
      <c r="V160" s="624"/>
      <c r="W160" s="624"/>
      <c r="X160" s="625"/>
    </row>
    <row r="161" spans="2:24" s="666" customFormat="1" ht="7.5" customHeight="1">
      <c r="B161" s="662"/>
      <c r="C161" s="932"/>
      <c r="D161" s="1064"/>
      <c r="E161" s="1064"/>
      <c r="F161" s="1064"/>
      <c r="G161" s="1065"/>
      <c r="H161" s="1066"/>
      <c r="I161" s="1065"/>
      <c r="J161" s="190"/>
      <c r="K161" s="308"/>
      <c r="L161" s="50"/>
      <c r="M161" s="50"/>
      <c r="N161" s="50"/>
      <c r="O161" s="50"/>
      <c r="P161" s="665"/>
      <c r="Q161" s="665"/>
      <c r="R161" s="665"/>
      <c r="S161" s="665"/>
      <c r="T161" s="624"/>
      <c r="U161" s="624"/>
      <c r="V161" s="624"/>
      <c r="W161" s="624"/>
      <c r="X161" s="625"/>
    </row>
    <row r="162" spans="2:24" ht="29.25" customHeight="1" thickBot="1">
      <c r="B162" s="653"/>
      <c r="C162" s="928"/>
      <c r="D162" s="678"/>
      <c r="E162" s="1599" t="s">
        <v>328</v>
      </c>
      <c r="F162" s="1600"/>
      <c r="G162" s="1600"/>
      <c r="H162" s="1066" t="s">
        <v>95</v>
      </c>
      <c r="I162" s="112"/>
      <c r="J162" s="1198" t="s">
        <v>410</v>
      </c>
      <c r="K162" s="1067"/>
      <c r="L162" s="48"/>
      <c r="M162" s="48"/>
      <c r="N162" s="48"/>
      <c r="O162" s="48"/>
      <c r="P162" s="51"/>
      <c r="Q162" s="51"/>
      <c r="R162" s="51"/>
      <c r="S162" s="51"/>
      <c r="T162" s="1068"/>
      <c r="U162" s="1068"/>
      <c r="V162" s="1068"/>
      <c r="W162" s="1068"/>
      <c r="X162" s="625"/>
    </row>
    <row r="163" spans="2:24" ht="10.5" customHeight="1">
      <c r="B163" s="653"/>
      <c r="C163" s="928"/>
      <c r="D163" s="678"/>
      <c r="E163" s="357"/>
      <c r="F163" s="1069"/>
      <c r="G163" s="1069"/>
      <c r="H163" s="1070"/>
      <c r="I163" s="1069"/>
      <c r="J163" s="191"/>
      <c r="K163" s="309"/>
      <c r="L163" s="48"/>
      <c r="M163" s="48"/>
      <c r="N163" s="48"/>
      <c r="O163" s="48"/>
      <c r="P163" s="51"/>
      <c r="Q163" s="51"/>
      <c r="R163" s="51"/>
      <c r="S163" s="51"/>
      <c r="T163" s="1062"/>
      <c r="U163" s="1071"/>
      <c r="V163" s="1071"/>
      <c r="W163" s="1071"/>
      <c r="X163" s="625"/>
    </row>
    <row r="164" spans="2:24" ht="31.5" customHeight="1" thickBot="1">
      <c r="B164" s="653"/>
      <c r="C164" s="1015"/>
      <c r="D164" s="1601" t="s">
        <v>147</v>
      </c>
      <c r="E164" s="1602"/>
      <c r="F164" s="1602"/>
      <c r="G164" s="1602"/>
      <c r="H164" s="1072" t="s">
        <v>95</v>
      </c>
      <c r="I164" s="1073"/>
      <c r="J164" s="192">
        <f>IF(OR(J162="NA",J162=""),0,J160-J162)</f>
        <v>0</v>
      </c>
      <c r="K164" s="192"/>
      <c r="L164" s="1074" t="s">
        <v>14</v>
      </c>
      <c r="M164" s="1075"/>
      <c r="N164" s="1075"/>
      <c r="O164" s="1076"/>
      <c r="P164" s="51"/>
      <c r="Q164" s="51"/>
      <c r="R164" s="51"/>
      <c r="S164" s="51"/>
      <c r="T164" s="1071"/>
      <c r="U164" s="1071"/>
      <c r="V164" s="1071"/>
      <c r="W164" s="1071"/>
      <c r="X164" s="625"/>
    </row>
    <row r="165" spans="2:24" ht="13.5" customHeight="1">
      <c r="B165" s="653"/>
      <c r="C165" s="48"/>
      <c r="D165" s="1077"/>
      <c r="E165" s="1078"/>
      <c r="F165" s="52"/>
      <c r="G165" s="52"/>
      <c r="H165" s="52"/>
      <c r="I165" s="52"/>
      <c r="J165" s="1079"/>
      <c r="K165" s="1079"/>
      <c r="L165" s="1079"/>
      <c r="M165" s="1079"/>
      <c r="N165" s="1079"/>
      <c r="O165" s="1079"/>
      <c r="P165" s="51"/>
      <c r="Q165" s="51"/>
      <c r="R165" s="51"/>
      <c r="S165" s="51"/>
      <c r="T165" s="1080"/>
      <c r="U165" s="1080"/>
      <c r="V165" s="1080"/>
      <c r="W165" s="1080"/>
      <c r="X165" s="625"/>
    </row>
    <row r="166" spans="2:24" ht="11.25" customHeight="1">
      <c r="B166" s="653"/>
      <c r="C166" s="51"/>
      <c r="D166" s="655"/>
      <c r="E166" s="51"/>
      <c r="F166" s="51"/>
      <c r="G166" s="51"/>
      <c r="H166" s="51"/>
      <c r="I166" s="51"/>
      <c r="J166" s="51"/>
      <c r="K166" s="51"/>
      <c r="L166" s="51"/>
      <c r="M166" s="51"/>
      <c r="N166" s="51"/>
      <c r="O166" s="51"/>
      <c r="P166" s="51"/>
      <c r="Q166" s="51"/>
      <c r="R166" s="51"/>
      <c r="S166" s="51"/>
      <c r="T166" s="1062"/>
      <c r="U166" s="1071"/>
      <c r="V166" s="1071"/>
      <c r="W166" s="1071"/>
      <c r="X166" s="625"/>
    </row>
    <row r="167" spans="2:24" ht="12.75" customHeight="1">
      <c r="B167" s="653"/>
      <c r="C167" s="51"/>
      <c r="D167" s="655"/>
      <c r="E167" s="51"/>
      <c r="F167" s="51"/>
      <c r="G167" s="51"/>
      <c r="H167" s="51"/>
      <c r="I167" s="51"/>
      <c r="J167" s="51"/>
      <c r="K167" s="51"/>
      <c r="L167" s="51"/>
      <c r="M167" s="51"/>
      <c r="N167" s="51"/>
      <c r="O167" s="51"/>
      <c r="P167" s="51"/>
      <c r="Q167" s="51"/>
      <c r="R167" s="51"/>
      <c r="S167" s="51"/>
      <c r="T167" s="1071"/>
      <c r="U167" s="1071"/>
      <c r="V167" s="1071"/>
      <c r="W167" s="1071"/>
      <c r="X167" s="625"/>
    </row>
    <row r="168" spans="2:24" ht="6.75" customHeight="1">
      <c r="B168" s="653"/>
      <c r="C168" s="51"/>
      <c r="D168" s="655"/>
      <c r="E168" s="51"/>
      <c r="F168" s="51"/>
      <c r="G168" s="51"/>
      <c r="H168" s="51"/>
      <c r="I168" s="51"/>
      <c r="J168" s="51"/>
      <c r="K168" s="51"/>
      <c r="L168" s="51"/>
      <c r="M168" s="51"/>
      <c r="N168" s="51"/>
      <c r="O168" s="51"/>
      <c r="P168" s="51"/>
      <c r="Q168" s="51"/>
      <c r="R168" s="51"/>
      <c r="S168" s="51"/>
      <c r="T168" s="1071"/>
      <c r="U168" s="1071"/>
      <c r="V168" s="1071"/>
      <c r="W168" s="1071"/>
      <c r="X168" s="625"/>
    </row>
    <row r="169" spans="2:24" ht="31.5" customHeight="1">
      <c r="B169" s="653"/>
      <c r="C169" s="1019" t="s">
        <v>110</v>
      </c>
      <c r="D169" s="655"/>
      <c r="E169" s="51"/>
      <c r="F169" s="51"/>
      <c r="G169" s="51"/>
      <c r="H169" s="51"/>
      <c r="I169" s="51"/>
      <c r="J169" s="51"/>
      <c r="K169" s="51"/>
      <c r="L169" s="51"/>
      <c r="M169" s="51"/>
      <c r="N169" s="51"/>
      <c r="O169" s="51"/>
      <c r="P169" s="51"/>
      <c r="Q169" s="51"/>
      <c r="R169" s="51"/>
      <c r="S169" s="51"/>
      <c r="T169" s="1071"/>
      <c r="U169" s="1071"/>
      <c r="V169" s="1071"/>
      <c r="W169" s="1071"/>
      <c r="X169" s="625"/>
    </row>
    <row r="170" spans="2:24" ht="8.25" customHeight="1" thickBot="1">
      <c r="B170" s="1020"/>
      <c r="C170" s="54"/>
      <c r="D170" s="1021"/>
      <c r="E170" s="54"/>
      <c r="F170" s="54"/>
      <c r="G170" s="54"/>
      <c r="H170" s="54"/>
      <c r="I170" s="54"/>
      <c r="J170" s="54"/>
      <c r="K170" s="54"/>
      <c r="L170" s="54"/>
      <c r="M170" s="54"/>
      <c r="N170" s="54"/>
      <c r="O170" s="54"/>
      <c r="P170" s="54"/>
      <c r="Q170" s="54"/>
      <c r="R170" s="54"/>
      <c r="S170" s="54"/>
      <c r="T170" s="54"/>
      <c r="U170" s="1081"/>
      <c r="V170" s="904"/>
      <c r="W170" s="904"/>
      <c r="X170" s="1044"/>
    </row>
    <row r="171" spans="2:24" ht="12.75">
      <c r="B171" s="68"/>
      <c r="C171" s="68"/>
      <c r="D171" s="1045"/>
      <c r="E171" s="68"/>
      <c r="F171" s="68"/>
      <c r="G171" s="68"/>
      <c r="H171" s="68"/>
      <c r="I171" s="68"/>
      <c r="J171" s="68"/>
      <c r="K171" s="68"/>
      <c r="L171" s="68"/>
      <c r="M171" s="68"/>
      <c r="N171" s="68"/>
      <c r="O171" s="68"/>
      <c r="P171" s="68"/>
      <c r="Q171" s="68"/>
      <c r="R171" s="68"/>
      <c r="S171" s="68"/>
      <c r="T171" s="68"/>
      <c r="U171" s="1082"/>
      <c r="V171" s="850"/>
      <c r="W171" s="850"/>
      <c r="X171" s="850"/>
    </row>
    <row r="172" spans="2:24" ht="20.25" customHeight="1">
      <c r="B172" s="10"/>
      <c r="C172" s="10"/>
      <c r="D172" s="1083"/>
      <c r="E172" s="10"/>
      <c r="F172" s="10"/>
      <c r="G172" s="10"/>
      <c r="H172" s="10"/>
      <c r="I172" s="10"/>
      <c r="J172" s="10"/>
      <c r="K172" s="10"/>
      <c r="L172" s="10"/>
      <c r="M172" s="10"/>
      <c r="N172" s="10"/>
      <c r="O172" s="10"/>
      <c r="P172" s="10"/>
      <c r="Q172" s="10"/>
      <c r="R172" s="10"/>
      <c r="S172" s="10"/>
      <c r="T172" s="10"/>
      <c r="U172" s="1082"/>
      <c r="V172" s="1084"/>
      <c r="W172" s="1084"/>
      <c r="X172" s="1084"/>
    </row>
    <row r="173" spans="21:24" ht="12.75" customHeight="1">
      <c r="U173" s="1082"/>
      <c r="V173" s="1085"/>
      <c r="W173" s="1085"/>
      <c r="X173" s="1086"/>
    </row>
    <row r="174" spans="21:24" ht="15">
      <c r="U174" s="1082"/>
      <c r="V174" s="1087"/>
      <c r="W174" s="1087"/>
      <c r="X174" s="1087"/>
    </row>
    <row r="175" spans="21:24" ht="12.75">
      <c r="U175" s="1082"/>
      <c r="V175" s="10"/>
      <c r="W175" s="10"/>
      <c r="X175" s="10"/>
    </row>
    <row r="176" spans="21:24" ht="12.75">
      <c r="U176" s="1082"/>
      <c r="V176" s="10"/>
      <c r="W176" s="10"/>
      <c r="X176" s="10"/>
    </row>
    <row r="177" spans="21:24" ht="12.75">
      <c r="U177" s="1082"/>
      <c r="V177" s="10"/>
      <c r="W177" s="10"/>
      <c r="X177" s="10"/>
    </row>
    <row r="178" spans="21:24" ht="12.75">
      <c r="U178" s="1082"/>
      <c r="V178" s="10"/>
      <c r="W178" s="10"/>
      <c r="X178" s="10"/>
    </row>
    <row r="179" spans="21:24" ht="12.75">
      <c r="U179" s="1082"/>
      <c r="V179" s="10"/>
      <c r="W179" s="10"/>
      <c r="X179" s="10"/>
    </row>
    <row r="180" spans="21:24" ht="12.75">
      <c r="U180" s="1082"/>
      <c r="V180" s="10"/>
      <c r="W180" s="10"/>
      <c r="X180" s="10"/>
    </row>
    <row r="181" spans="21:24" ht="12.75">
      <c r="U181" s="1082"/>
      <c r="V181" s="11"/>
      <c r="W181" s="11"/>
      <c r="X181" s="850"/>
    </row>
    <row r="182" spans="21:24" ht="12.75">
      <c r="U182" s="1082"/>
      <c r="V182" s="11"/>
      <c r="W182" s="11"/>
      <c r="X182" s="850"/>
    </row>
    <row r="183" spans="21:24" ht="12.75">
      <c r="U183" s="1088"/>
      <c r="V183" s="11"/>
      <c r="W183" s="11"/>
      <c r="X183" s="850"/>
    </row>
    <row r="184" spans="21:24" ht="12.75">
      <c r="U184" s="1089"/>
      <c r="V184" s="11"/>
      <c r="W184" s="11"/>
      <c r="X184" s="850"/>
    </row>
    <row r="185" spans="21:24" ht="12.75">
      <c r="U185" s="1082"/>
      <c r="V185" s="850"/>
      <c r="W185" s="850"/>
      <c r="X185" s="850"/>
    </row>
    <row r="186" spans="21:24" ht="12.75">
      <c r="U186" s="1090"/>
      <c r="V186" s="850"/>
      <c r="W186" s="850"/>
      <c r="X186" s="850"/>
    </row>
    <row r="187" spans="21:24" ht="15">
      <c r="U187" s="1091"/>
      <c r="V187" s="850"/>
      <c r="W187" s="850"/>
      <c r="X187" s="850"/>
    </row>
    <row r="188" spans="21:24" ht="15">
      <c r="U188" s="1091"/>
      <c r="V188" s="850"/>
      <c r="W188" s="850"/>
      <c r="X188" s="850"/>
    </row>
    <row r="189" spans="21:24" ht="12.75">
      <c r="U189" s="850"/>
      <c r="V189" s="10"/>
      <c r="W189" s="10"/>
      <c r="X189" s="850"/>
    </row>
    <row r="190" spans="21:24" ht="12.75">
      <c r="U190" s="1092"/>
      <c r="V190" s="1093"/>
      <c r="W190" s="1093"/>
      <c r="X190" s="1094"/>
    </row>
    <row r="191" spans="20:24" ht="12.75">
      <c r="T191" s="1095"/>
      <c r="U191" s="850"/>
      <c r="V191" s="850"/>
      <c r="W191" s="850"/>
      <c r="X191" s="850"/>
    </row>
    <row r="192" spans="20:24" ht="12.75">
      <c r="T192" s="1095"/>
      <c r="U192" s="850"/>
      <c r="V192" s="850"/>
      <c r="W192" s="850"/>
      <c r="X192" s="850"/>
    </row>
    <row r="193" spans="20:24" ht="12.75">
      <c r="T193" s="1095"/>
      <c r="U193" s="850"/>
      <c r="V193" s="850"/>
      <c r="W193" s="850"/>
      <c r="X193" s="850"/>
    </row>
    <row r="194" spans="20:24" ht="12.75">
      <c r="T194" s="1095"/>
      <c r="U194" s="851"/>
      <c r="V194" s="851"/>
      <c r="W194" s="851"/>
      <c r="X194" s="851"/>
    </row>
    <row r="195" spans="20:24" ht="12.75">
      <c r="T195" s="1095"/>
      <c r="U195" s="851"/>
      <c r="V195" s="851"/>
      <c r="W195" s="851"/>
      <c r="X195" s="851"/>
    </row>
  </sheetData>
  <sheetProtection password="E09D" sheet="1" objects="1" scenarios="1" selectLockedCells="1"/>
  <mergeCells count="12">
    <mergeCell ref="D164:G164"/>
    <mergeCell ref="J10:J16"/>
    <mergeCell ref="L10:L16"/>
    <mergeCell ref="N10:N16"/>
    <mergeCell ref="S78:V89"/>
    <mergeCell ref="S51:V73"/>
    <mergeCell ref="Y57:AB57"/>
    <mergeCell ref="AC57:AD57"/>
    <mergeCell ref="Y48:AB48"/>
    <mergeCell ref="Y49:AB49"/>
    <mergeCell ref="Y50:AB50"/>
    <mergeCell ref="E162:G162"/>
  </mergeCells>
  <conditionalFormatting sqref="J164:K164">
    <cfRule type="cellIs" priority="1" dxfId="20" operator="lessThan" stopIfTrue="1">
      <formula>0</formula>
    </cfRule>
  </conditionalFormatting>
  <printOptions horizontalCentered="1"/>
  <pageMargins left="0.25" right="0.31" top="0.5" bottom="0.61" header="0.28" footer="0.4"/>
  <pageSetup cellComments="asDisplayed" fitToHeight="2" horizontalDpi="1200" verticalDpi="1200" orientation="portrait" scale="45" r:id="rId4"/>
  <headerFooter alignWithMargins="0">
    <oddFooter>&amp;L&amp;"Arial,Regular"&amp;F:  &amp;A&amp;C&amp;R&amp;"Arial,Regular"Page &amp;P of &amp;N
</oddFooter>
  </headerFooter>
  <rowBreaks count="1" manualBreakCount="1">
    <brk id="113" min="1" max="23" man="1"/>
  </rowBreaks>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44"/>
  </sheetPr>
  <dimension ref="B2:AD191"/>
  <sheetViews>
    <sheetView showGridLines="0" zoomScale="90" zoomScaleNormal="90" zoomScaleSheetLayoutView="50" zoomScalePageLayoutView="0" workbookViewId="0" topLeftCell="A170">
      <selection activeCell="F184" sqref="F184"/>
    </sheetView>
  </sheetViews>
  <sheetFormatPr defaultColWidth="11.00390625" defaultRowHeight="12.75"/>
  <cols>
    <col min="1" max="1" width="2.50390625" style="648" customWidth="1"/>
    <col min="2" max="3" width="2.25390625" style="648" customWidth="1"/>
    <col min="4" max="4" width="1.625" style="648" customWidth="1"/>
    <col min="5" max="5" width="32.125" style="648" customWidth="1"/>
    <col min="6" max="6" width="14.75390625" style="648" customWidth="1"/>
    <col min="7" max="7" width="2.25390625" style="648" customWidth="1"/>
    <col min="8" max="8" width="4.00390625" style="648" customWidth="1"/>
    <col min="9" max="9" width="2.00390625" style="648" customWidth="1"/>
    <col min="10" max="11" width="14.75390625" style="648" customWidth="1"/>
    <col min="12" max="12" width="1.25" style="648" customWidth="1"/>
    <col min="13" max="13" width="14.75390625" style="648" customWidth="1"/>
    <col min="14" max="14" width="2.00390625" style="648" customWidth="1"/>
    <col min="15" max="15" width="1.37890625" style="648" customWidth="1"/>
    <col min="16" max="16" width="9.75390625" style="648" customWidth="1"/>
    <col min="17" max="17" width="1.75390625" style="648" customWidth="1"/>
    <col min="18" max="18" width="1.4921875" style="648" customWidth="1"/>
    <col min="19" max="19" width="10.375" style="648" customWidth="1"/>
    <col min="20" max="20" width="6.375" style="648" customWidth="1"/>
    <col min="21" max="21" width="4.125" style="648" customWidth="1"/>
    <col min="22" max="22" width="37.375" style="648" customWidth="1"/>
    <col min="23" max="23" width="1.37890625" style="648" customWidth="1"/>
    <col min="24" max="24" width="2.875" style="9" customWidth="1"/>
    <col min="25" max="25" width="12.625" style="648" customWidth="1"/>
    <col min="26" max="26" width="11.875" style="648" customWidth="1"/>
    <col min="27" max="27" width="2.25390625" style="648" customWidth="1"/>
    <col min="28" max="28" width="13.50390625" style="648" customWidth="1"/>
    <col min="29" max="16384" width="11.00390625" style="648" customWidth="1"/>
  </cols>
  <sheetData>
    <row r="1" ht="3.75" customHeight="1" thickBot="1"/>
    <row r="2" spans="2:24" ht="12.75">
      <c r="B2" s="649"/>
      <c r="C2" s="650"/>
      <c r="D2" s="650"/>
      <c r="E2" s="650"/>
      <c r="F2" s="650"/>
      <c r="G2" s="650"/>
      <c r="H2" s="650"/>
      <c r="I2" s="650"/>
      <c r="J2" s="650"/>
      <c r="K2" s="650"/>
      <c r="L2" s="650"/>
      <c r="M2" s="650"/>
      <c r="N2" s="650"/>
      <c r="O2" s="650"/>
      <c r="P2" s="650"/>
      <c r="Q2" s="650"/>
      <c r="R2" s="650"/>
      <c r="S2" s="651"/>
      <c r="T2" s="651"/>
      <c r="U2" s="651"/>
      <c r="V2" s="651"/>
      <c r="W2" s="651"/>
      <c r="X2" s="652"/>
    </row>
    <row r="3" spans="2:29" s="9" customFormat="1" ht="24" customHeight="1">
      <c r="B3" s="653"/>
      <c r="C3" s="654" t="s">
        <v>96</v>
      </c>
      <c r="D3" s="655"/>
      <c r="E3" s="51"/>
      <c r="F3" s="51"/>
      <c r="G3" s="51"/>
      <c r="H3" s="51"/>
      <c r="I3" s="51"/>
      <c r="J3" s="51" t="str">
        <f>'Preliminary Information'!$J$3</f>
        <v>Version 1.4</v>
      </c>
      <c r="K3" s="656" t="s">
        <v>198</v>
      </c>
      <c r="L3" s="657"/>
      <c r="M3" s="658">
        <f>'Preliminary Information'!G6</f>
        <v>0</v>
      </c>
      <c r="N3" s="51"/>
      <c r="O3" s="51"/>
      <c r="P3" s="51"/>
      <c r="Q3" s="51"/>
      <c r="R3" s="51"/>
      <c r="S3" s="51"/>
      <c r="T3" s="51"/>
      <c r="U3" s="51"/>
      <c r="V3" s="51"/>
      <c r="W3" s="51"/>
      <c r="X3" s="459"/>
      <c r="AC3" s="659"/>
    </row>
    <row r="4" spans="2:24" s="9" customFormat="1" ht="19.5" customHeight="1">
      <c r="B4" s="653"/>
      <c r="C4" s="51"/>
      <c r="D4" s="660"/>
      <c r="E4" s="661"/>
      <c r="F4" s="660"/>
      <c r="G4" s="660"/>
      <c r="H4" s="660"/>
      <c r="I4" s="660"/>
      <c r="J4" s="51"/>
      <c r="K4" s="656" t="s">
        <v>218</v>
      </c>
      <c r="L4" s="657"/>
      <c r="M4" s="658">
        <f>'Preliminary Information'!G7</f>
        <v>0</v>
      </c>
      <c r="N4" s="51"/>
      <c r="O4" s="51"/>
      <c r="P4" s="51"/>
      <c r="Q4" s="51"/>
      <c r="R4" s="51"/>
      <c r="S4" s="51"/>
      <c r="T4" s="51"/>
      <c r="U4" s="51"/>
      <c r="V4" s="51"/>
      <c r="W4" s="51"/>
      <c r="X4" s="459"/>
    </row>
    <row r="5" spans="2:29" s="666" customFormat="1" ht="25.5" customHeight="1">
      <c r="B5" s="662"/>
      <c r="C5" s="663" t="s">
        <v>23</v>
      </c>
      <c r="D5" s="664" t="s">
        <v>317</v>
      </c>
      <c r="E5" s="664"/>
      <c r="F5" s="665"/>
      <c r="G5" s="665"/>
      <c r="H5" s="665"/>
      <c r="I5" s="665"/>
      <c r="J5" s="665"/>
      <c r="K5" s="665"/>
      <c r="L5" s="665"/>
      <c r="M5" s="665"/>
      <c r="N5" s="665"/>
      <c r="O5" s="665"/>
      <c r="P5" s="665"/>
      <c r="Q5" s="665"/>
      <c r="R5" s="665"/>
      <c r="S5" s="665"/>
      <c r="T5" s="665"/>
      <c r="U5" s="665"/>
      <c r="V5" s="665"/>
      <c r="W5" s="665"/>
      <c r="X5" s="459"/>
      <c r="AC5" s="659"/>
    </row>
    <row r="6" spans="2:24" s="666" customFormat="1" ht="17.25" customHeight="1">
      <c r="B6" s="662"/>
      <c r="C6" s="663" t="s">
        <v>24</v>
      </c>
      <c r="D6" s="664" t="s">
        <v>169</v>
      </c>
      <c r="E6" s="665"/>
      <c r="F6" s="665"/>
      <c r="G6" s="665"/>
      <c r="H6" s="665"/>
      <c r="I6" s="665"/>
      <c r="J6" s="665"/>
      <c r="K6" s="665"/>
      <c r="L6" s="665"/>
      <c r="M6" s="665"/>
      <c r="N6" s="665"/>
      <c r="O6" s="665"/>
      <c r="P6" s="665"/>
      <c r="Q6" s="665"/>
      <c r="R6" s="665"/>
      <c r="S6" s="665"/>
      <c r="T6" s="665"/>
      <c r="U6" s="665"/>
      <c r="V6" s="665"/>
      <c r="W6" s="665"/>
      <c r="X6" s="667"/>
    </row>
    <row r="7" spans="2:24" ht="7.5" customHeight="1">
      <c r="B7" s="668"/>
      <c r="C7" s="458"/>
      <c r="D7" s="458"/>
      <c r="E7" s="458"/>
      <c r="F7" s="458"/>
      <c r="G7" s="458"/>
      <c r="H7" s="458"/>
      <c r="I7" s="458"/>
      <c r="J7" s="458"/>
      <c r="K7" s="458"/>
      <c r="L7" s="458"/>
      <c r="M7" s="458"/>
      <c r="N7" s="458"/>
      <c r="O7" s="458"/>
      <c r="P7" s="458"/>
      <c r="Q7" s="458"/>
      <c r="R7" s="458"/>
      <c r="S7" s="669"/>
      <c r="T7" s="669"/>
      <c r="U7" s="669"/>
      <c r="V7" s="669"/>
      <c r="W7" s="669"/>
      <c r="X7" s="667"/>
    </row>
    <row r="8" spans="2:24" ht="42.75" customHeight="1">
      <c r="B8" s="668"/>
      <c r="C8" s="670"/>
      <c r="D8" s="671"/>
      <c r="E8" s="672"/>
      <c r="F8" s="673" t="s">
        <v>101</v>
      </c>
      <c r="G8" s="674"/>
      <c r="H8" s="62"/>
      <c r="I8" s="161"/>
      <c r="J8" s="1603" t="s">
        <v>439</v>
      </c>
      <c r="K8" s="1618" t="s">
        <v>365</v>
      </c>
      <c r="L8" s="646"/>
      <c r="M8" s="1619" t="s">
        <v>366</v>
      </c>
      <c r="N8" s="154"/>
      <c r="O8" s="62"/>
      <c r="P8" s="458"/>
      <c r="Q8" s="458"/>
      <c r="R8" s="458"/>
      <c r="S8" s="669"/>
      <c r="T8" s="669"/>
      <c r="U8" s="669"/>
      <c r="V8" s="669"/>
      <c r="W8" s="669"/>
      <c r="X8" s="459"/>
    </row>
    <row r="9" spans="2:24" ht="24" customHeight="1">
      <c r="B9" s="668"/>
      <c r="C9" s="677"/>
      <c r="D9" s="678"/>
      <c r="E9" s="357"/>
      <c r="F9" s="139" t="s">
        <v>86</v>
      </c>
      <c r="G9" s="155"/>
      <c r="H9" s="62"/>
      <c r="I9" s="162"/>
      <c r="J9" s="1604"/>
      <c r="K9" s="1608"/>
      <c r="L9" s="647"/>
      <c r="M9" s="1604"/>
      <c r="N9" s="155"/>
      <c r="O9" s="62"/>
      <c r="P9" s="458"/>
      <c r="Q9" s="458"/>
      <c r="R9" s="458"/>
      <c r="S9" s="669"/>
      <c r="T9" s="669"/>
      <c r="U9" s="669"/>
      <c r="V9" s="669"/>
      <c r="W9" s="669"/>
      <c r="X9" s="459"/>
    </row>
    <row r="10" spans="2:24" ht="20.25" customHeight="1">
      <c r="B10" s="668"/>
      <c r="C10" s="677"/>
      <c r="D10" s="678"/>
      <c r="E10" s="357"/>
      <c r="F10" s="213" t="str">
        <f>'Comprehensive Budget'!G10</f>
        <v>July 1st of</v>
      </c>
      <c r="G10" s="156"/>
      <c r="H10" s="61"/>
      <c r="I10" s="163"/>
      <c r="J10" s="1605"/>
      <c r="K10" s="1608"/>
      <c r="L10" s="647"/>
      <c r="M10" s="1604"/>
      <c r="N10" s="155"/>
      <c r="O10" s="62"/>
      <c r="P10" s="458"/>
      <c r="Q10" s="458"/>
      <c r="R10" s="458"/>
      <c r="S10" s="669"/>
      <c r="T10" s="669"/>
      <c r="U10" s="669"/>
      <c r="V10" s="669"/>
      <c r="W10" s="669"/>
      <c r="X10" s="459"/>
    </row>
    <row r="11" spans="2:24" ht="16.5" customHeight="1">
      <c r="B11" s="668"/>
      <c r="C11" s="677"/>
      <c r="D11" s="678"/>
      <c r="E11" s="357"/>
      <c r="F11" s="105">
        <f>'Comprehensive Budget'!H11</f>
        <v>2024</v>
      </c>
      <c r="G11" s="157"/>
      <c r="H11" s="42"/>
      <c r="I11" s="164"/>
      <c r="J11" s="1605"/>
      <c r="K11" s="1608"/>
      <c r="L11" s="647"/>
      <c r="M11" s="1604"/>
      <c r="N11" s="155"/>
      <c r="O11" s="62"/>
      <c r="P11" s="458"/>
      <c r="Q11" s="458"/>
      <c r="R11" s="458"/>
      <c r="S11" s="458"/>
      <c r="T11" s="458"/>
      <c r="U11" s="458"/>
      <c r="V11" s="458"/>
      <c r="W11" s="458"/>
      <c r="X11" s="459"/>
    </row>
    <row r="12" spans="2:24" ht="18" customHeight="1">
      <c r="B12" s="668"/>
      <c r="C12" s="677"/>
      <c r="D12" s="678"/>
      <c r="E12" s="357"/>
      <c r="F12" s="193" t="s">
        <v>85</v>
      </c>
      <c r="G12" s="157"/>
      <c r="H12" s="42"/>
      <c r="I12" s="164"/>
      <c r="J12" s="1605"/>
      <c r="K12" s="1608"/>
      <c r="L12" s="647"/>
      <c r="M12" s="1604"/>
      <c r="N12" s="155"/>
      <c r="O12" s="62"/>
      <c r="P12" s="458"/>
      <c r="Q12" s="458"/>
      <c r="R12" s="458"/>
      <c r="S12" s="458"/>
      <c r="T12" s="458"/>
      <c r="U12" s="458"/>
      <c r="V12" s="458"/>
      <c r="W12" s="458"/>
      <c r="X12" s="459"/>
    </row>
    <row r="13" spans="2:24" ht="12" customHeight="1">
      <c r="B13" s="668"/>
      <c r="C13" s="677"/>
      <c r="D13" s="678"/>
      <c r="E13" s="357"/>
      <c r="F13" s="213" t="str">
        <f>'Comprehensive Budget'!H13</f>
        <v>June 30th of</v>
      </c>
      <c r="G13" s="156"/>
      <c r="H13" s="61"/>
      <c r="I13" s="163"/>
      <c r="J13" s="1605"/>
      <c r="K13" s="1608"/>
      <c r="L13" s="647"/>
      <c r="M13" s="1604"/>
      <c r="N13" s="155"/>
      <c r="O13" s="62"/>
      <c r="P13" s="458"/>
      <c r="Q13" s="458"/>
      <c r="R13" s="458"/>
      <c r="S13" s="458"/>
      <c r="T13" s="458"/>
      <c r="U13" s="458"/>
      <c r="V13" s="458"/>
      <c r="W13" s="458"/>
      <c r="X13" s="459"/>
    </row>
    <row r="14" spans="2:24" ht="19.5" customHeight="1">
      <c r="B14" s="668"/>
      <c r="C14" s="677"/>
      <c r="D14" s="681"/>
      <c r="E14" s="682"/>
      <c r="F14" s="194">
        <f>'Comprehensive Budget'!H14</f>
        <v>2025</v>
      </c>
      <c r="G14" s="157"/>
      <c r="H14" s="42"/>
      <c r="I14" s="164"/>
      <c r="J14" s="1606"/>
      <c r="K14" s="1609"/>
      <c r="L14" s="683"/>
      <c r="M14" s="1620"/>
      <c r="N14" s="155"/>
      <c r="O14" s="62"/>
      <c r="P14" s="458"/>
      <c r="Q14" s="458"/>
      <c r="R14" s="458"/>
      <c r="S14" s="458"/>
      <c r="T14" s="458"/>
      <c r="U14" s="458"/>
      <c r="V14" s="458"/>
      <c r="W14" s="458"/>
      <c r="X14" s="459"/>
    </row>
    <row r="15" spans="2:24" ht="12.75">
      <c r="B15" s="668"/>
      <c r="C15" s="677"/>
      <c r="D15" s="684"/>
      <c r="E15" s="685">
        <v>1</v>
      </c>
      <c r="F15" s="140">
        <v>2</v>
      </c>
      <c r="G15" s="158"/>
      <c r="H15" s="56"/>
      <c r="I15" s="165"/>
      <c r="J15" s="685">
        <v>3</v>
      </c>
      <c r="K15" s="140">
        <v>4</v>
      </c>
      <c r="L15" s="140"/>
      <c r="M15" s="686">
        <v>5</v>
      </c>
      <c r="N15" s="158"/>
      <c r="O15" s="56"/>
      <c r="P15" s="458"/>
      <c r="Q15" s="458"/>
      <c r="R15" s="458"/>
      <c r="S15" s="458"/>
      <c r="T15" s="458"/>
      <c r="U15" s="458"/>
      <c r="V15" s="458"/>
      <c r="W15" s="458"/>
      <c r="X15" s="459"/>
    </row>
    <row r="16" spans="2:24" ht="6" customHeight="1" thickBot="1">
      <c r="B16" s="668"/>
      <c r="C16" s="687"/>
      <c r="D16" s="688"/>
      <c r="E16" s="689"/>
      <c r="F16" s="690"/>
      <c r="G16" s="160"/>
      <c r="H16" s="56"/>
      <c r="I16" s="166"/>
      <c r="J16" s="689"/>
      <c r="K16" s="690"/>
      <c r="L16" s="690"/>
      <c r="M16" s="690"/>
      <c r="N16" s="160"/>
      <c r="O16" s="56"/>
      <c r="P16" s="458"/>
      <c r="Q16" s="458"/>
      <c r="R16" s="458"/>
      <c r="S16" s="458"/>
      <c r="T16" s="458"/>
      <c r="U16" s="458"/>
      <c r="V16" s="458"/>
      <c r="W16" s="458"/>
      <c r="X16" s="459"/>
    </row>
    <row r="17" spans="2:24" ht="6.75" customHeight="1">
      <c r="B17" s="668"/>
      <c r="C17" s="458"/>
      <c r="D17" s="691"/>
      <c r="E17" s="692"/>
      <c r="F17" s="56"/>
      <c r="G17" s="56"/>
      <c r="H17" s="56"/>
      <c r="I17" s="693"/>
      <c r="J17" s="692"/>
      <c r="K17" s="56"/>
      <c r="L17" s="56"/>
      <c r="M17" s="56"/>
      <c r="N17" s="693"/>
      <c r="O17" s="56"/>
      <c r="P17" s="458"/>
      <c r="Q17" s="458"/>
      <c r="R17" s="458"/>
      <c r="S17" s="458"/>
      <c r="T17" s="458"/>
      <c r="U17" s="458"/>
      <c r="V17" s="458"/>
      <c r="W17" s="458"/>
      <c r="X17" s="459"/>
    </row>
    <row r="18" spans="2:24" ht="5.25" customHeight="1">
      <c r="B18" s="668"/>
      <c r="C18" s="458"/>
      <c r="D18" s="691"/>
      <c r="E18" s="692"/>
      <c r="F18" s="56"/>
      <c r="G18" s="56"/>
      <c r="H18" s="56"/>
      <c r="I18" s="56"/>
      <c r="J18" s="692"/>
      <c r="K18" s="56"/>
      <c r="L18" s="56"/>
      <c r="M18" s="56"/>
      <c r="N18" s="56"/>
      <c r="O18" s="56"/>
      <c r="P18" s="458"/>
      <c r="Q18" s="458"/>
      <c r="R18" s="458"/>
      <c r="S18" s="458"/>
      <c r="T18" s="458"/>
      <c r="U18" s="458"/>
      <c r="V18" s="458"/>
      <c r="W18" s="458"/>
      <c r="X18" s="459"/>
    </row>
    <row r="19" spans="2:24" ht="12.75">
      <c r="B19" s="668"/>
      <c r="C19" s="694"/>
      <c r="D19" s="695"/>
      <c r="E19" s="696"/>
      <c r="F19" s="167"/>
      <c r="G19" s="168"/>
      <c r="H19" s="56"/>
      <c r="I19" s="165"/>
      <c r="J19" s="697"/>
      <c r="K19" s="698"/>
      <c r="L19" s="698"/>
      <c r="M19" s="698"/>
      <c r="N19" s="158"/>
      <c r="O19" s="56"/>
      <c r="P19" s="458"/>
      <c r="Q19" s="458"/>
      <c r="R19" s="458"/>
      <c r="S19" s="458"/>
      <c r="T19" s="458"/>
      <c r="U19" s="458"/>
      <c r="V19" s="458"/>
      <c r="W19" s="458"/>
      <c r="X19" s="459"/>
    </row>
    <row r="20" spans="2:24" ht="16.5" customHeight="1">
      <c r="B20" s="668"/>
      <c r="C20" s="699"/>
      <c r="D20" s="700" t="s">
        <v>91</v>
      </c>
      <c r="E20" s="700"/>
      <c r="F20" s="701"/>
      <c r="G20" s="702"/>
      <c r="H20" s="703"/>
      <c r="I20" s="704"/>
      <c r="J20" s="705"/>
      <c r="K20" s="705"/>
      <c r="L20" s="705"/>
      <c r="M20" s="705"/>
      <c r="N20" s="706"/>
      <c r="O20" s="707"/>
      <c r="P20" s="458"/>
      <c r="Q20" s="458"/>
      <c r="R20" s="458"/>
      <c r="S20" s="458"/>
      <c r="T20" s="458"/>
      <c r="U20" s="458"/>
      <c r="V20" s="458"/>
      <c r="W20" s="458"/>
      <c r="X20" s="459"/>
    </row>
    <row r="21" spans="2:24" ht="5.25" customHeight="1">
      <c r="B21" s="668"/>
      <c r="C21" s="699"/>
      <c r="D21" s="141"/>
      <c r="E21" s="141"/>
      <c r="F21" s="708"/>
      <c r="G21" s="702"/>
      <c r="H21" s="703"/>
      <c r="I21" s="704"/>
      <c r="J21" s="709"/>
      <c r="K21" s="709"/>
      <c r="L21" s="709"/>
      <c r="M21" s="709"/>
      <c r="N21" s="706"/>
      <c r="O21" s="707"/>
      <c r="P21" s="458"/>
      <c r="Q21" s="458"/>
      <c r="R21" s="458"/>
      <c r="S21" s="458"/>
      <c r="T21" s="458"/>
      <c r="U21" s="458"/>
      <c r="V21" s="458"/>
      <c r="W21" s="458"/>
      <c r="X21" s="459"/>
    </row>
    <row r="22" spans="2:24" ht="13.5" customHeight="1">
      <c r="B22" s="668"/>
      <c r="C22" s="699"/>
      <c r="D22" s="710" t="s">
        <v>48</v>
      </c>
      <c r="E22" s="711"/>
      <c r="F22" s="712"/>
      <c r="G22" s="713"/>
      <c r="H22" s="714"/>
      <c r="I22" s="715"/>
      <c r="J22" s="716"/>
      <c r="K22" s="712"/>
      <c r="L22" s="712"/>
      <c r="M22" s="712"/>
      <c r="N22" s="713"/>
      <c r="O22" s="714"/>
      <c r="P22" s="458"/>
      <c r="Q22" s="458"/>
      <c r="R22" s="458"/>
      <c r="S22" s="458"/>
      <c r="T22" s="458"/>
      <c r="U22" s="458"/>
      <c r="V22" s="458"/>
      <c r="W22" s="458"/>
      <c r="X22" s="459"/>
    </row>
    <row r="23" spans="2:24" ht="5.25" customHeight="1">
      <c r="B23" s="668"/>
      <c r="C23" s="699"/>
      <c r="D23" s="717"/>
      <c r="E23" s="718"/>
      <c r="F23" s="719"/>
      <c r="G23" s="713"/>
      <c r="H23" s="714"/>
      <c r="I23" s="715"/>
      <c r="J23" s="719"/>
      <c r="K23" s="719"/>
      <c r="L23" s="719"/>
      <c r="M23" s="719"/>
      <c r="N23" s="713"/>
      <c r="O23" s="714"/>
      <c r="P23" s="458"/>
      <c r="Q23" s="458"/>
      <c r="R23" s="720"/>
      <c r="S23" s="721"/>
      <c r="T23" s="721"/>
      <c r="U23" s="721"/>
      <c r="V23" s="721"/>
      <c r="W23" s="722"/>
      <c r="X23" s="459"/>
    </row>
    <row r="24" spans="2:24" ht="13.5" customHeight="1">
      <c r="B24" s="668"/>
      <c r="C24" s="699"/>
      <c r="D24" s="678"/>
      <c r="E24" s="186" t="s">
        <v>61</v>
      </c>
      <c r="F24" s="185">
        <f>'Comprehensive Budget'!H24</f>
        <v>0</v>
      </c>
      <c r="G24" s="171"/>
      <c r="H24" s="59"/>
      <c r="I24" s="179"/>
      <c r="J24" s="1188"/>
      <c r="K24" s="748">
        <f aca="true" t="shared" si="0" ref="K24:K30">F24-J24</f>
        <v>0</v>
      </c>
      <c r="L24" s="184"/>
      <c r="M24" s="310"/>
      <c r="N24" s="171"/>
      <c r="O24" s="59"/>
      <c r="P24" s="458"/>
      <c r="Q24" s="458"/>
      <c r="R24" s="724"/>
      <c r="S24" s="725" t="s">
        <v>100</v>
      </c>
      <c r="T24" s="726"/>
      <c r="U24" s="726"/>
      <c r="V24" s="726"/>
      <c r="W24" s="727"/>
      <c r="X24" s="459"/>
    </row>
    <row r="25" spans="2:24" ht="13.5" customHeight="1">
      <c r="B25" s="668"/>
      <c r="C25" s="699"/>
      <c r="D25" s="678"/>
      <c r="E25" s="186" t="s">
        <v>299</v>
      </c>
      <c r="F25" s="185">
        <f>'Comprehensive Budget'!H25</f>
        <v>0</v>
      </c>
      <c r="G25" s="171"/>
      <c r="H25" s="59"/>
      <c r="I25" s="179"/>
      <c r="J25" s="1188"/>
      <c r="K25" s="723">
        <f t="shared" si="0"/>
        <v>0</v>
      </c>
      <c r="L25" s="184"/>
      <c r="M25" s="314"/>
      <c r="N25" s="171"/>
      <c r="O25" s="59"/>
      <c r="P25" s="458"/>
      <c r="Q25" s="458"/>
      <c r="R25" s="724"/>
      <c r="S25" s="728" t="s">
        <v>106</v>
      </c>
      <c r="T25" s="726"/>
      <c r="U25" s="729"/>
      <c r="V25" s="729"/>
      <c r="W25" s="730"/>
      <c r="X25" s="459"/>
    </row>
    <row r="26" spans="2:24" ht="13.5" customHeight="1" thickBot="1">
      <c r="B26" s="668"/>
      <c r="C26" s="699"/>
      <c r="D26" s="678"/>
      <c r="E26" s="186" t="s">
        <v>294</v>
      </c>
      <c r="F26" s="185">
        <f>'Comprehensive Budget'!H26</f>
        <v>0</v>
      </c>
      <c r="G26" s="171"/>
      <c r="H26" s="59"/>
      <c r="I26" s="179"/>
      <c r="J26" s="1188"/>
      <c r="K26" s="723">
        <f t="shared" si="0"/>
        <v>0</v>
      </c>
      <c r="L26" s="184"/>
      <c r="M26" s="311"/>
      <c r="N26" s="171"/>
      <c r="O26" s="59"/>
      <c r="P26" s="458"/>
      <c r="Q26" s="458"/>
      <c r="R26" s="731"/>
      <c r="S26" s="732"/>
      <c r="T26" s="732"/>
      <c r="U26" s="732"/>
      <c r="V26" s="732"/>
      <c r="W26" s="733"/>
      <c r="X26" s="459"/>
    </row>
    <row r="27" spans="2:24" ht="13.5" customHeight="1">
      <c r="B27" s="668"/>
      <c r="C27" s="699"/>
      <c r="D27" s="678"/>
      <c r="E27" s="186" t="s">
        <v>295</v>
      </c>
      <c r="F27" s="185">
        <f>'Comprehensive Budget'!H27</f>
        <v>0</v>
      </c>
      <c r="G27" s="171"/>
      <c r="H27" s="59"/>
      <c r="I27" s="179"/>
      <c r="J27" s="201">
        <v>0</v>
      </c>
      <c r="K27" s="723">
        <f t="shared" si="0"/>
        <v>0</v>
      </c>
      <c r="L27" s="184"/>
      <c r="M27" s="734"/>
      <c r="N27" s="171"/>
      <c r="O27" s="59"/>
      <c r="P27" s="458"/>
      <c r="Q27" s="458"/>
      <c r="R27" s="458"/>
      <c r="S27" s="458"/>
      <c r="T27" s="458"/>
      <c r="U27" s="458"/>
      <c r="V27" s="458"/>
      <c r="W27" s="458"/>
      <c r="X27" s="459"/>
    </row>
    <row r="28" spans="2:24" ht="13.5" customHeight="1" thickBot="1">
      <c r="B28" s="668"/>
      <c r="C28" s="699"/>
      <c r="D28" s="678"/>
      <c r="E28" s="186" t="s">
        <v>62</v>
      </c>
      <c r="F28" s="185">
        <f>'Comprehensive Budget'!H28</f>
        <v>0</v>
      </c>
      <c r="G28" s="171"/>
      <c r="H28" s="59"/>
      <c r="I28" s="179"/>
      <c r="J28" s="1188"/>
      <c r="K28" s="723">
        <f t="shared" si="0"/>
        <v>0</v>
      </c>
      <c r="L28" s="184"/>
      <c r="M28" s="312"/>
      <c r="N28" s="171"/>
      <c r="O28" s="59"/>
      <c r="P28" s="458"/>
      <c r="Q28" s="458"/>
      <c r="R28" s="458"/>
      <c r="S28" s="458"/>
      <c r="T28" s="458"/>
      <c r="U28" s="458"/>
      <c r="V28" s="458"/>
      <c r="W28" s="458"/>
      <c r="X28" s="459"/>
    </row>
    <row r="29" spans="2:24" ht="13.5" customHeight="1" hidden="1">
      <c r="B29" s="668"/>
      <c r="C29" s="699"/>
      <c r="D29" s="678"/>
      <c r="E29" s="735" t="s">
        <v>310</v>
      </c>
      <c r="F29" s="185">
        <f>'Comprehensive Budget'!H29</f>
        <v>0</v>
      </c>
      <c r="G29" s="171"/>
      <c r="H29" s="59"/>
      <c r="I29" s="179"/>
      <c r="J29" s="201">
        <v>0</v>
      </c>
      <c r="K29" s="723">
        <f>F29-J29</f>
        <v>0</v>
      </c>
      <c r="L29" s="184"/>
      <c r="M29" s="736"/>
      <c r="N29" s="171"/>
      <c r="O29" s="59"/>
      <c r="P29" s="458"/>
      <c r="Q29" s="458"/>
      <c r="R29" s="458"/>
      <c r="S29" s="458"/>
      <c r="T29" s="458"/>
      <c r="U29" s="458"/>
      <c r="V29" s="458"/>
      <c r="W29" s="458"/>
      <c r="X29" s="459"/>
    </row>
    <row r="30" spans="2:24" ht="13.5" customHeight="1">
      <c r="B30" s="668"/>
      <c r="C30" s="699"/>
      <c r="D30" s="678"/>
      <c r="E30" s="737" t="s">
        <v>331</v>
      </c>
      <c r="F30" s="185">
        <f>'Comprehensive Budget'!H30</f>
        <v>0</v>
      </c>
      <c r="G30" s="171"/>
      <c r="H30" s="59"/>
      <c r="I30" s="179"/>
      <c r="J30" s="201">
        <v>0</v>
      </c>
      <c r="K30" s="723">
        <f t="shared" si="0"/>
        <v>0</v>
      </c>
      <c r="L30" s="184"/>
      <c r="M30" s="736"/>
      <c r="N30" s="171"/>
      <c r="O30" s="59"/>
      <c r="P30" s="458"/>
      <c r="Q30" s="458"/>
      <c r="R30" s="458"/>
      <c r="S30" s="458"/>
      <c r="T30" s="458"/>
      <c r="U30" s="458"/>
      <c r="V30" s="458"/>
      <c r="W30" s="458"/>
      <c r="X30" s="459"/>
    </row>
    <row r="31" spans="2:24" ht="5.25" customHeight="1">
      <c r="B31" s="668"/>
      <c r="C31" s="699"/>
      <c r="D31" s="678"/>
      <c r="E31" s="138"/>
      <c r="F31" s="184"/>
      <c r="G31" s="171"/>
      <c r="H31" s="59"/>
      <c r="I31" s="179"/>
      <c r="J31" s="143"/>
      <c r="K31" s="184"/>
      <c r="L31" s="184"/>
      <c r="M31" s="184"/>
      <c r="N31" s="171"/>
      <c r="O31" s="59"/>
      <c r="P31" s="458"/>
      <c r="Q31" s="458"/>
      <c r="R31" s="458"/>
      <c r="S31" s="458"/>
      <c r="T31" s="458"/>
      <c r="U31" s="458"/>
      <c r="V31" s="458"/>
      <c r="W31" s="458"/>
      <c r="X31" s="459"/>
    </row>
    <row r="32" spans="2:24" ht="13.5" customHeight="1">
      <c r="B32" s="668"/>
      <c r="C32" s="699"/>
      <c r="D32" s="710" t="s">
        <v>63</v>
      </c>
      <c r="E32" s="738"/>
      <c r="F32" s="203"/>
      <c r="G32" s="739"/>
      <c r="H32" s="740"/>
      <c r="I32" s="741"/>
      <c r="J32" s="203"/>
      <c r="K32" s="203"/>
      <c r="L32" s="203"/>
      <c r="M32" s="203"/>
      <c r="N32" s="739"/>
      <c r="O32" s="740"/>
      <c r="P32" s="458"/>
      <c r="Q32" s="458"/>
      <c r="R32" s="458"/>
      <c r="S32" s="458"/>
      <c r="T32" s="458"/>
      <c r="U32" s="458"/>
      <c r="V32" s="458"/>
      <c r="W32" s="458"/>
      <c r="X32" s="459"/>
    </row>
    <row r="33" spans="2:24" ht="5.25" customHeight="1">
      <c r="B33" s="668"/>
      <c r="C33" s="699"/>
      <c r="D33" s="742"/>
      <c r="E33" s="743"/>
      <c r="F33" s="204"/>
      <c r="G33" s="739"/>
      <c r="H33" s="740"/>
      <c r="I33" s="741"/>
      <c r="J33" s="204"/>
      <c r="K33" s="204"/>
      <c r="L33" s="204"/>
      <c r="M33" s="204"/>
      <c r="N33" s="739"/>
      <c r="O33" s="740"/>
      <c r="P33" s="458"/>
      <c r="Q33" s="458"/>
      <c r="R33" s="744"/>
      <c r="S33" s="745"/>
      <c r="T33" s="745"/>
      <c r="U33" s="745"/>
      <c r="V33" s="745"/>
      <c r="W33" s="746"/>
      <c r="X33" s="459"/>
    </row>
    <row r="34" spans="2:24" ht="13.5" customHeight="1">
      <c r="B34" s="668"/>
      <c r="C34" s="699"/>
      <c r="D34" s="747"/>
      <c r="E34" s="186" t="s">
        <v>302</v>
      </c>
      <c r="F34" s="185">
        <f>'Comprehensive Budget'!H34</f>
        <v>0</v>
      </c>
      <c r="G34" s="171"/>
      <c r="H34" s="59"/>
      <c r="I34" s="179"/>
      <c r="J34" s="1188">
        <v>0</v>
      </c>
      <c r="K34" s="748">
        <f aca="true" t="shared" si="1" ref="K34:K43">F34-J34</f>
        <v>0</v>
      </c>
      <c r="L34" s="184"/>
      <c r="M34" s="310"/>
      <c r="N34" s="171"/>
      <c r="O34" s="59"/>
      <c r="P34" s="458"/>
      <c r="Q34" s="458"/>
      <c r="R34" s="749"/>
      <c r="S34" s="750" t="s">
        <v>99</v>
      </c>
      <c r="T34" s="751"/>
      <c r="U34" s="751"/>
      <c r="V34" s="751"/>
      <c r="W34" s="752"/>
      <c r="X34" s="459"/>
    </row>
    <row r="35" spans="2:24" ht="15" customHeight="1">
      <c r="B35" s="668"/>
      <c r="C35" s="699"/>
      <c r="D35" s="747"/>
      <c r="E35" s="186" t="s">
        <v>303</v>
      </c>
      <c r="F35" s="185">
        <f>'Comprehensive Budget'!H35</f>
        <v>0</v>
      </c>
      <c r="G35" s="171"/>
      <c r="H35" s="59"/>
      <c r="I35" s="179"/>
      <c r="J35" s="753">
        <v>0</v>
      </c>
      <c r="K35" s="748">
        <f t="shared" si="1"/>
        <v>0</v>
      </c>
      <c r="L35" s="184"/>
      <c r="M35" s="314"/>
      <c r="N35" s="171"/>
      <c r="O35" s="59"/>
      <c r="P35" s="458"/>
      <c r="Q35" s="458"/>
      <c r="R35" s="749"/>
      <c r="S35" s="754" t="s">
        <v>370</v>
      </c>
      <c r="T35" s="751"/>
      <c r="U35" s="755"/>
      <c r="V35" s="755"/>
      <c r="W35" s="756"/>
      <c r="X35" s="459"/>
    </row>
    <row r="36" spans="2:24" ht="13.5" customHeight="1" thickBot="1">
      <c r="B36" s="668"/>
      <c r="C36" s="699"/>
      <c r="D36" s="747"/>
      <c r="E36" s="186" t="s">
        <v>64</v>
      </c>
      <c r="F36" s="185">
        <f>'Comprehensive Budget'!H36</f>
        <v>0</v>
      </c>
      <c r="G36" s="171"/>
      <c r="H36" s="59"/>
      <c r="I36" s="179"/>
      <c r="J36" s="1188"/>
      <c r="K36" s="748">
        <f t="shared" si="1"/>
        <v>0</v>
      </c>
      <c r="L36" s="184"/>
      <c r="M36" s="311"/>
      <c r="N36" s="171"/>
      <c r="O36" s="59"/>
      <c r="P36" s="458"/>
      <c r="Q36" s="458"/>
      <c r="R36" s="757"/>
      <c r="S36" s="758"/>
      <c r="T36" s="758"/>
      <c r="U36" s="758"/>
      <c r="V36" s="758"/>
      <c r="W36" s="759"/>
      <c r="X36" s="459"/>
    </row>
    <row r="37" spans="2:24" ht="13.5" customHeight="1">
      <c r="B37" s="668"/>
      <c r="C37" s="699"/>
      <c r="D37" s="747"/>
      <c r="E37" s="186" t="s">
        <v>297</v>
      </c>
      <c r="F37" s="185">
        <f>'Comprehensive Budget'!H37</f>
        <v>0</v>
      </c>
      <c r="G37" s="171"/>
      <c r="H37" s="59"/>
      <c r="I37" s="179"/>
      <c r="J37" s="218">
        <v>0</v>
      </c>
      <c r="K37" s="723">
        <f t="shared" si="1"/>
        <v>0</v>
      </c>
      <c r="L37" s="184"/>
      <c r="M37" s="641"/>
      <c r="N37" s="171"/>
      <c r="O37" s="59"/>
      <c r="P37" s="458"/>
      <c r="Q37" s="458"/>
      <c r="R37" s="458"/>
      <c r="S37" s="458"/>
      <c r="T37" s="458"/>
      <c r="U37" s="458"/>
      <c r="V37" s="458"/>
      <c r="W37" s="458"/>
      <c r="X37" s="459"/>
    </row>
    <row r="38" spans="2:24" ht="13.5" customHeight="1" thickBot="1">
      <c r="B38" s="668"/>
      <c r="C38" s="699"/>
      <c r="D38" s="747"/>
      <c r="E38" s="186" t="s">
        <v>65</v>
      </c>
      <c r="F38" s="185">
        <f>'Comprehensive Budget'!H38</f>
        <v>0</v>
      </c>
      <c r="G38" s="171"/>
      <c r="H38" s="59"/>
      <c r="I38" s="179"/>
      <c r="J38" s="1188"/>
      <c r="K38" s="748">
        <f t="shared" si="1"/>
        <v>0</v>
      </c>
      <c r="L38" s="184"/>
      <c r="M38" s="312"/>
      <c r="N38" s="171"/>
      <c r="O38" s="59"/>
      <c r="P38" s="458"/>
      <c r="Q38" s="458"/>
      <c r="R38" s="458"/>
      <c r="S38" s="458"/>
      <c r="T38" s="458"/>
      <c r="U38" s="458"/>
      <c r="V38" s="458"/>
      <c r="W38" s="458"/>
      <c r="X38" s="459"/>
    </row>
    <row r="39" spans="2:24" ht="13.5" customHeight="1">
      <c r="B39" s="668"/>
      <c r="C39" s="699"/>
      <c r="D39" s="747"/>
      <c r="E39" s="186" t="s">
        <v>296</v>
      </c>
      <c r="F39" s="185">
        <f>'Comprehensive Budget'!H39</f>
        <v>0</v>
      </c>
      <c r="G39" s="171"/>
      <c r="H39" s="59"/>
      <c r="I39" s="179"/>
      <c r="J39" s="205">
        <v>0</v>
      </c>
      <c r="K39" s="723">
        <f t="shared" si="1"/>
        <v>0</v>
      </c>
      <c r="L39" s="184"/>
      <c r="M39" s="734"/>
      <c r="N39" s="171"/>
      <c r="O39" s="59"/>
      <c r="P39" s="458"/>
      <c r="Q39" s="458"/>
      <c r="R39" s="458"/>
      <c r="S39" s="51"/>
      <c r="T39" s="51"/>
      <c r="U39" s="51"/>
      <c r="V39" s="51"/>
      <c r="W39" s="51"/>
      <c r="X39" s="459"/>
    </row>
    <row r="40" spans="2:24" ht="13.5" customHeight="1" thickBot="1">
      <c r="B40" s="668"/>
      <c r="C40" s="699"/>
      <c r="D40" s="747"/>
      <c r="E40" s="186" t="s">
        <v>12</v>
      </c>
      <c r="F40" s="185">
        <f>'Comprehensive Budget'!H40</f>
        <v>0</v>
      </c>
      <c r="G40" s="171"/>
      <c r="H40" s="59"/>
      <c r="I40" s="179"/>
      <c r="J40" s="1188"/>
      <c r="K40" s="723">
        <f t="shared" si="1"/>
        <v>0</v>
      </c>
      <c r="L40" s="184"/>
      <c r="M40" s="312"/>
      <c r="N40" s="171"/>
      <c r="O40" s="59"/>
      <c r="P40" s="458"/>
      <c r="Q40" s="458"/>
      <c r="R40" s="458"/>
      <c r="S40" s="458"/>
      <c r="T40" s="458"/>
      <c r="U40" s="458"/>
      <c r="V40" s="458"/>
      <c r="W40" s="458"/>
      <c r="X40" s="459"/>
    </row>
    <row r="41" spans="2:24" ht="13.5" customHeight="1">
      <c r="B41" s="668"/>
      <c r="C41" s="699"/>
      <c r="D41" s="747"/>
      <c r="E41" s="186" t="s">
        <v>298</v>
      </c>
      <c r="F41" s="185">
        <f>'Comprehensive Budget'!H41</f>
        <v>0</v>
      </c>
      <c r="G41" s="171"/>
      <c r="H41" s="59"/>
      <c r="I41" s="179"/>
      <c r="J41" s="201">
        <v>0</v>
      </c>
      <c r="K41" s="723">
        <f t="shared" si="1"/>
        <v>0</v>
      </c>
      <c r="L41" s="184"/>
      <c r="M41" s="760"/>
      <c r="N41" s="171"/>
      <c r="O41" s="59"/>
      <c r="P41" s="458"/>
      <c r="Q41" s="458"/>
      <c r="R41" s="458"/>
      <c r="S41" s="458"/>
      <c r="T41" s="458"/>
      <c r="U41" s="458"/>
      <c r="V41" s="458"/>
      <c r="W41" s="458"/>
      <c r="X41" s="459"/>
    </row>
    <row r="42" spans="2:24" ht="13.5" customHeight="1" hidden="1">
      <c r="B42" s="668"/>
      <c r="C42" s="699"/>
      <c r="D42" s="678"/>
      <c r="E42" s="735" t="s">
        <v>310</v>
      </c>
      <c r="F42" s="185">
        <f>'Comprehensive Budget'!H42</f>
        <v>0</v>
      </c>
      <c r="G42" s="171"/>
      <c r="H42" s="59"/>
      <c r="I42" s="179"/>
      <c r="J42" s="201">
        <v>0</v>
      </c>
      <c r="K42" s="723">
        <f t="shared" si="1"/>
        <v>0</v>
      </c>
      <c r="L42" s="184"/>
      <c r="M42" s="736"/>
      <c r="N42" s="171"/>
      <c r="O42" s="59"/>
      <c r="P42" s="458"/>
      <c r="Q42" s="458"/>
      <c r="R42" s="458"/>
      <c r="S42" s="458"/>
      <c r="T42" s="458"/>
      <c r="U42" s="458"/>
      <c r="V42" s="458"/>
      <c r="W42" s="458"/>
      <c r="X42" s="459"/>
    </row>
    <row r="43" spans="2:24" ht="13.5" customHeight="1">
      <c r="B43" s="668"/>
      <c r="C43" s="699"/>
      <c r="D43" s="747"/>
      <c r="E43" s="737" t="s">
        <v>331</v>
      </c>
      <c r="F43" s="185">
        <f>'Comprehensive Budget'!H43</f>
        <v>0</v>
      </c>
      <c r="G43" s="171"/>
      <c r="H43" s="59"/>
      <c r="I43" s="179"/>
      <c r="J43" s="201">
        <v>0</v>
      </c>
      <c r="K43" s="723">
        <f t="shared" si="1"/>
        <v>0</v>
      </c>
      <c r="L43" s="184"/>
      <c r="M43" s="184"/>
      <c r="N43" s="171"/>
      <c r="O43" s="59"/>
      <c r="P43" s="458"/>
      <c r="Q43" s="458"/>
      <c r="R43" s="761"/>
      <c r="S43" s="762"/>
      <c r="T43" s="762"/>
      <c r="U43" s="762"/>
      <c r="V43" s="762"/>
      <c r="W43" s="763"/>
      <c r="X43" s="459"/>
    </row>
    <row r="44" spans="2:24" ht="5.25" customHeight="1">
      <c r="B44" s="668"/>
      <c r="C44" s="699"/>
      <c r="D44" s="678"/>
      <c r="E44" s="138"/>
      <c r="F44" s="184"/>
      <c r="G44" s="171"/>
      <c r="H44" s="59"/>
      <c r="I44" s="179"/>
      <c r="J44" s="143"/>
      <c r="K44" s="184"/>
      <c r="L44" s="184"/>
      <c r="M44" s="184"/>
      <c r="N44" s="171"/>
      <c r="O44" s="59"/>
      <c r="P44" s="458"/>
      <c r="Q44" s="458"/>
      <c r="R44" s="764"/>
      <c r="S44" s="765"/>
      <c r="T44" s="765"/>
      <c r="U44" s="765"/>
      <c r="V44" s="765"/>
      <c r="W44" s="766"/>
      <c r="X44" s="459"/>
    </row>
    <row r="45" spans="2:24" ht="13.5" customHeight="1">
      <c r="B45" s="668"/>
      <c r="C45" s="699"/>
      <c r="D45" s="710" t="s">
        <v>13</v>
      </c>
      <c r="E45" s="738"/>
      <c r="F45" s="203"/>
      <c r="G45" s="739"/>
      <c r="H45" s="740"/>
      <c r="I45" s="741"/>
      <c r="J45" s="203"/>
      <c r="K45" s="203"/>
      <c r="L45" s="203"/>
      <c r="M45" s="203"/>
      <c r="N45" s="739"/>
      <c r="O45" s="1153" t="s">
        <v>375</v>
      </c>
      <c r="P45" s="51"/>
      <c r="Q45" s="458"/>
      <c r="R45" s="764"/>
      <c r="S45" s="767" t="s">
        <v>98</v>
      </c>
      <c r="T45" s="768"/>
      <c r="U45" s="768"/>
      <c r="V45" s="768"/>
      <c r="W45" s="769"/>
      <c r="X45" s="459"/>
    </row>
    <row r="46" spans="2:24" ht="5.25" customHeight="1">
      <c r="B46" s="668"/>
      <c r="C46" s="699"/>
      <c r="D46" s="678"/>
      <c r="E46" s="770"/>
      <c r="F46" s="184"/>
      <c r="G46" s="171"/>
      <c r="H46" s="59"/>
      <c r="I46" s="179"/>
      <c r="J46" s="143"/>
      <c r="K46" s="184"/>
      <c r="L46" s="184"/>
      <c r="M46" s="184"/>
      <c r="N46" s="171"/>
      <c r="O46" s="59"/>
      <c r="P46" s="51"/>
      <c r="Q46" s="458"/>
      <c r="R46" s="764"/>
      <c r="S46" s="768"/>
      <c r="T46" s="768"/>
      <c r="U46" s="768"/>
      <c r="V46" s="768"/>
      <c r="W46" s="769"/>
      <c r="X46" s="459"/>
    </row>
    <row r="47" spans="2:28" ht="13.5" customHeight="1">
      <c r="B47" s="668"/>
      <c r="C47" s="699"/>
      <c r="D47" s="678"/>
      <c r="E47" s="186" t="s">
        <v>213</v>
      </c>
      <c r="F47" s="185">
        <f>'Comprehensive Budget'!H47</f>
        <v>0</v>
      </c>
      <c r="G47" s="171"/>
      <c r="H47" s="59"/>
      <c r="I47" s="179"/>
      <c r="J47" s="222">
        <f>F47</f>
        <v>0</v>
      </c>
      <c r="K47" s="723">
        <f>F47-J47</f>
        <v>0</v>
      </c>
      <c r="L47" s="184"/>
      <c r="M47" s="184">
        <f>K47</f>
        <v>0</v>
      </c>
      <c r="N47" s="171"/>
      <c r="O47" s="51"/>
      <c r="P47" s="1154">
        <f>(J47/0.9)*0.1</f>
        <v>0</v>
      </c>
      <c r="Q47" s="458"/>
      <c r="R47" s="764"/>
      <c r="S47" s="771" t="s">
        <v>148</v>
      </c>
      <c r="T47" s="772"/>
      <c r="U47" s="768"/>
      <c r="V47" s="772"/>
      <c r="W47" s="766"/>
      <c r="X47" s="459"/>
      <c r="Y47" s="1595"/>
      <c r="Z47" s="1617"/>
      <c r="AA47" s="1617"/>
      <c r="AB47" s="1617"/>
    </row>
    <row r="48" spans="2:28" ht="13.5" customHeight="1">
      <c r="B48" s="668"/>
      <c r="C48" s="699"/>
      <c r="D48" s="678"/>
      <c r="E48" s="186" t="s">
        <v>338</v>
      </c>
      <c r="F48" s="185">
        <f>'Comprehensive Budget'!H48</f>
        <v>0</v>
      </c>
      <c r="G48" s="171"/>
      <c r="H48" s="59"/>
      <c r="I48" s="179"/>
      <c r="J48" s="201">
        <v>0</v>
      </c>
      <c r="K48" s="723">
        <f>F48-J48</f>
        <v>0</v>
      </c>
      <c r="L48" s="184"/>
      <c r="M48" s="143">
        <f>K48</f>
        <v>0</v>
      </c>
      <c r="N48" s="171"/>
      <c r="O48" s="51"/>
      <c r="P48" s="1154">
        <f>(K48/0.9)*0.1</f>
        <v>0</v>
      </c>
      <c r="Q48" s="458"/>
      <c r="R48" s="764"/>
      <c r="S48" s="773" t="s">
        <v>105</v>
      </c>
      <c r="T48" s="772"/>
      <c r="U48" s="772"/>
      <c r="V48" s="772"/>
      <c r="W48" s="766"/>
      <c r="X48" s="459"/>
      <c r="Y48" s="1595"/>
      <c r="Z48" s="1617"/>
      <c r="AA48" s="1617"/>
      <c r="AB48" s="1617"/>
    </row>
    <row r="49" spans="2:28" ht="13.5" customHeight="1">
      <c r="B49" s="668"/>
      <c r="C49" s="699"/>
      <c r="D49" s="678"/>
      <c r="E49" s="186" t="s">
        <v>339</v>
      </c>
      <c r="F49" s="185">
        <f>'Comprehensive Budget'!H49</f>
        <v>0</v>
      </c>
      <c r="G49" s="171"/>
      <c r="H49" s="59"/>
      <c r="I49" s="179"/>
      <c r="J49" s="201">
        <v>0</v>
      </c>
      <c r="K49" s="723">
        <f>F49-J49</f>
        <v>0</v>
      </c>
      <c r="L49" s="184"/>
      <c r="M49" s="143">
        <f>K49</f>
        <v>0</v>
      </c>
      <c r="N49" s="171"/>
      <c r="O49" s="51"/>
      <c r="P49" s="1154">
        <f>(K49/0.9)*0.1</f>
        <v>0</v>
      </c>
      <c r="Q49" s="458"/>
      <c r="R49" s="764"/>
      <c r="S49" s="765"/>
      <c r="T49" s="774"/>
      <c r="U49" s="774"/>
      <c r="V49" s="774"/>
      <c r="W49" s="775"/>
      <c r="X49" s="459"/>
      <c r="Y49" s="1595"/>
      <c r="Z49" s="1617"/>
      <c r="AA49" s="1617"/>
      <c r="AB49" s="1617"/>
    </row>
    <row r="50" spans="2:30" ht="13.5" customHeight="1" thickBot="1">
      <c r="B50" s="668"/>
      <c r="C50" s="699"/>
      <c r="D50" s="678"/>
      <c r="E50" s="186" t="s">
        <v>292</v>
      </c>
      <c r="F50" s="185">
        <f>'Comprehensive Budget'!H50</f>
        <v>0</v>
      </c>
      <c r="G50" s="171"/>
      <c r="H50" s="59"/>
      <c r="I50" s="179"/>
      <c r="J50" s="1191"/>
      <c r="K50" s="723">
        <f>F50-J50</f>
        <v>0</v>
      </c>
      <c r="L50" s="184"/>
      <c r="M50" s="312"/>
      <c r="N50" s="171"/>
      <c r="O50" s="59"/>
      <c r="P50" s="1154"/>
      <c r="Q50" s="458"/>
      <c r="R50" s="764"/>
      <c r="S50" s="1615" t="s">
        <v>360</v>
      </c>
      <c r="T50" s="1616"/>
      <c r="U50" s="1616"/>
      <c r="V50" s="1616"/>
      <c r="W50" s="775"/>
      <c r="X50" s="459"/>
      <c r="Y50" s="1151"/>
      <c r="Z50" s="1151"/>
      <c r="AA50" s="1151"/>
      <c r="AB50" s="1151"/>
      <c r="AC50" s="1151"/>
      <c r="AD50" s="1151"/>
    </row>
    <row r="51" spans="2:30" ht="13.5" customHeight="1">
      <c r="B51" s="668"/>
      <c r="C51" s="699"/>
      <c r="D51" s="678"/>
      <c r="E51" s="737" t="s">
        <v>331</v>
      </c>
      <c r="F51" s="185">
        <f>'Comprehensive Budget'!H51</f>
        <v>0</v>
      </c>
      <c r="G51" s="171"/>
      <c r="H51" s="59"/>
      <c r="I51" s="179"/>
      <c r="J51" s="201">
        <v>0</v>
      </c>
      <c r="K51" s="723">
        <f>F51-J51</f>
        <v>0</v>
      </c>
      <c r="L51" s="184"/>
      <c r="M51" s="734"/>
      <c r="N51" s="171"/>
      <c r="O51" s="59"/>
      <c r="P51" s="51"/>
      <c r="Q51" s="458"/>
      <c r="R51" s="764"/>
      <c r="S51" s="1616"/>
      <c r="T51" s="1616"/>
      <c r="U51" s="1616"/>
      <c r="V51" s="1616"/>
      <c r="W51" s="775"/>
      <c r="X51" s="459"/>
      <c r="Y51" s="1151"/>
      <c r="Z51" s="1151"/>
      <c r="AA51" s="1151"/>
      <c r="AB51" s="1151"/>
      <c r="AC51" s="1151"/>
      <c r="AD51" s="1151"/>
    </row>
    <row r="52" spans="2:30" ht="5.25" customHeight="1">
      <c r="B52" s="668"/>
      <c r="C52" s="699"/>
      <c r="D52" s="678"/>
      <c r="E52" s="138"/>
      <c r="F52" s="184"/>
      <c r="G52" s="171"/>
      <c r="H52" s="59"/>
      <c r="I52" s="179"/>
      <c r="J52" s="143"/>
      <c r="K52" s="184"/>
      <c r="L52" s="184"/>
      <c r="M52" s="184"/>
      <c r="N52" s="171"/>
      <c r="O52" s="59"/>
      <c r="P52" s="51"/>
      <c r="Q52" s="458"/>
      <c r="R52" s="764"/>
      <c r="S52" s="1616"/>
      <c r="T52" s="1616"/>
      <c r="U52" s="1616"/>
      <c r="V52" s="1616"/>
      <c r="W52" s="775"/>
      <c r="X52" s="459"/>
      <c r="Y52" s="1151"/>
      <c r="Z52" s="1151"/>
      <c r="AA52" s="1151"/>
      <c r="AB52" s="1151"/>
      <c r="AC52" s="1151"/>
      <c r="AD52" s="1151"/>
    </row>
    <row r="53" spans="2:30" ht="13.5" customHeight="1">
      <c r="B53" s="668"/>
      <c r="C53" s="699"/>
      <c r="D53" s="710" t="s">
        <v>30</v>
      </c>
      <c r="E53" s="777"/>
      <c r="F53" s="203"/>
      <c r="G53" s="171"/>
      <c r="H53" s="59"/>
      <c r="I53" s="179"/>
      <c r="J53" s="223"/>
      <c r="K53" s="778"/>
      <c r="L53" s="778"/>
      <c r="M53" s="778"/>
      <c r="N53" s="171"/>
      <c r="O53" s="59"/>
      <c r="P53" s="51"/>
      <c r="Q53" s="458"/>
      <c r="R53" s="764"/>
      <c r="S53" s="1616"/>
      <c r="T53" s="1616"/>
      <c r="U53" s="1616"/>
      <c r="V53" s="1616"/>
      <c r="W53" s="775"/>
      <c r="X53" s="459"/>
      <c r="Y53" s="1151"/>
      <c r="Z53" s="1151"/>
      <c r="AA53" s="1151"/>
      <c r="AB53" s="1151"/>
      <c r="AC53" s="1151"/>
      <c r="AD53" s="1151"/>
    </row>
    <row r="54" spans="2:30" ht="5.25" customHeight="1">
      <c r="B54" s="668"/>
      <c r="C54" s="699"/>
      <c r="D54" s="742"/>
      <c r="E54" s="779"/>
      <c r="F54" s="204"/>
      <c r="G54" s="171"/>
      <c r="H54" s="59"/>
      <c r="I54" s="179"/>
      <c r="J54" s="143"/>
      <c r="K54" s="184"/>
      <c r="L54" s="184"/>
      <c r="M54" s="184"/>
      <c r="N54" s="171"/>
      <c r="O54" s="59"/>
      <c r="P54" s="51"/>
      <c r="Q54" s="458"/>
      <c r="R54" s="764"/>
      <c r="S54" s="1616"/>
      <c r="T54" s="1616"/>
      <c r="U54" s="1616"/>
      <c r="V54" s="1616"/>
      <c r="W54" s="775"/>
      <c r="X54" s="459"/>
      <c r="Y54" s="1151"/>
      <c r="Z54" s="1151"/>
      <c r="AA54" s="1151"/>
      <c r="AB54" s="1151"/>
      <c r="AC54" s="1151"/>
      <c r="AD54" s="1151"/>
    </row>
    <row r="55" spans="2:30" ht="13.5" customHeight="1">
      <c r="B55" s="668"/>
      <c r="C55" s="699"/>
      <c r="D55" s="747"/>
      <c r="E55" s="186" t="s">
        <v>436</v>
      </c>
      <c r="F55" s="185">
        <f>'Comprehensive Budget'!H55</f>
        <v>0</v>
      </c>
      <c r="G55" s="171"/>
      <c r="H55" s="59"/>
      <c r="I55" s="179"/>
      <c r="J55" s="65">
        <v>0</v>
      </c>
      <c r="K55" s="748">
        <f aca="true" t="shared" si="2" ref="K55:K63">F55-J55</f>
        <v>0</v>
      </c>
      <c r="L55" s="184"/>
      <c r="M55" s="313"/>
      <c r="N55" s="171"/>
      <c r="O55" s="59"/>
      <c r="P55" s="51"/>
      <c r="Q55" s="458"/>
      <c r="R55" s="764"/>
      <c r="S55" s="1616"/>
      <c r="T55" s="1616"/>
      <c r="U55" s="1616"/>
      <c r="V55" s="1616"/>
      <c r="W55" s="775"/>
      <c r="X55" s="459"/>
      <c r="Y55" s="1151"/>
      <c r="Z55" s="1151"/>
      <c r="AA55" s="1151"/>
      <c r="AB55" s="1151"/>
      <c r="AC55" s="1151"/>
      <c r="AD55" s="1151"/>
    </row>
    <row r="56" spans="2:28" ht="13.5" customHeight="1">
      <c r="B56" s="668"/>
      <c r="C56" s="699"/>
      <c r="D56" s="747"/>
      <c r="E56" s="186" t="s">
        <v>340</v>
      </c>
      <c r="F56" s="185">
        <f>'Comprehensive Budget'!H56</f>
        <v>0</v>
      </c>
      <c r="G56" s="171"/>
      <c r="H56" s="59"/>
      <c r="I56" s="179"/>
      <c r="J56" s="65">
        <v>0</v>
      </c>
      <c r="K56" s="748">
        <f t="shared" si="2"/>
        <v>0</v>
      </c>
      <c r="L56" s="184"/>
      <c r="M56" s="143">
        <f>K56</f>
        <v>0</v>
      </c>
      <c r="N56" s="171"/>
      <c r="O56" s="59"/>
      <c r="P56" s="1154">
        <f>(K56/0.9)*0.1</f>
        <v>0</v>
      </c>
      <c r="Q56" s="458"/>
      <c r="R56" s="764"/>
      <c r="S56" s="1616"/>
      <c r="T56" s="1616"/>
      <c r="U56" s="1616"/>
      <c r="V56" s="1616"/>
      <c r="W56" s="769"/>
      <c r="X56" s="459"/>
      <c r="Y56" s="1595"/>
      <c r="Z56" s="1617"/>
      <c r="AA56" s="1617"/>
      <c r="AB56" s="1617"/>
    </row>
    <row r="57" spans="2:24" ht="13.5" customHeight="1">
      <c r="B57" s="668"/>
      <c r="C57" s="699"/>
      <c r="D57" s="747"/>
      <c r="E57" s="186" t="s">
        <v>420</v>
      </c>
      <c r="F57" s="185">
        <f>'Comprehensive Budget'!H57</f>
        <v>0</v>
      </c>
      <c r="G57" s="171"/>
      <c r="H57" s="59"/>
      <c r="I57" s="179"/>
      <c r="J57" s="1191"/>
      <c r="K57" s="748">
        <f t="shared" si="2"/>
        <v>0</v>
      </c>
      <c r="L57" s="184"/>
      <c r="M57" s="184"/>
      <c r="N57" s="171"/>
      <c r="O57" s="59"/>
      <c r="P57" s="458"/>
      <c r="Q57" s="458"/>
      <c r="R57" s="764"/>
      <c r="S57" s="1616"/>
      <c r="T57" s="1616"/>
      <c r="U57" s="1616"/>
      <c r="V57" s="1616"/>
      <c r="W57" s="769"/>
      <c r="X57" s="459"/>
    </row>
    <row r="58" spans="2:24" ht="13.5" customHeight="1">
      <c r="B58" s="668"/>
      <c r="C58" s="699"/>
      <c r="D58" s="747"/>
      <c r="E58" s="186" t="s">
        <v>419</v>
      </c>
      <c r="F58" s="185">
        <f>'Comprehensive Budget'!H58</f>
        <v>0</v>
      </c>
      <c r="G58" s="171"/>
      <c r="H58" s="59"/>
      <c r="I58" s="179"/>
      <c r="J58" s="65">
        <v>0</v>
      </c>
      <c r="K58" s="748">
        <f t="shared" si="2"/>
        <v>0</v>
      </c>
      <c r="L58" s="184"/>
      <c r="M58" s="550">
        <f>K58</f>
        <v>0</v>
      </c>
      <c r="N58" s="171"/>
      <c r="O58" s="59"/>
      <c r="P58" s="1154">
        <f>(K58/0.9)*0.1</f>
        <v>0</v>
      </c>
      <c r="Q58" s="458"/>
      <c r="R58" s="764"/>
      <c r="S58" s="1616"/>
      <c r="T58" s="1616"/>
      <c r="U58" s="1616"/>
      <c r="V58" s="1616"/>
      <c r="W58" s="766"/>
      <c r="X58" s="459"/>
    </row>
    <row r="59" spans="2:24" ht="13.5" customHeight="1">
      <c r="B59" s="668"/>
      <c r="C59" s="699"/>
      <c r="D59" s="747"/>
      <c r="E59" s="186" t="s">
        <v>31</v>
      </c>
      <c r="F59" s="185">
        <f>'Comprehensive Budget'!H59</f>
        <v>0</v>
      </c>
      <c r="G59" s="171"/>
      <c r="H59" s="59"/>
      <c r="I59" s="179"/>
      <c r="J59" s="65">
        <v>0</v>
      </c>
      <c r="K59" s="748">
        <f t="shared" si="2"/>
        <v>0</v>
      </c>
      <c r="L59" s="184"/>
      <c r="M59" s="314"/>
      <c r="N59" s="171"/>
      <c r="O59" s="59"/>
      <c r="P59" s="458"/>
      <c r="Q59" s="458"/>
      <c r="R59" s="764"/>
      <c r="S59" s="1616"/>
      <c r="T59" s="1616"/>
      <c r="U59" s="1616"/>
      <c r="V59" s="1616"/>
      <c r="W59" s="766"/>
      <c r="X59" s="459"/>
    </row>
    <row r="60" spans="2:24" ht="13.5" customHeight="1">
      <c r="B60" s="668"/>
      <c r="C60" s="699"/>
      <c r="D60" s="747"/>
      <c r="E60" s="186" t="s">
        <v>32</v>
      </c>
      <c r="F60" s="185">
        <f>'Comprehensive Budget'!H60</f>
        <v>0</v>
      </c>
      <c r="G60" s="171"/>
      <c r="H60" s="59"/>
      <c r="I60" s="179"/>
      <c r="J60" s="65">
        <v>0</v>
      </c>
      <c r="K60" s="748">
        <f t="shared" si="2"/>
        <v>0</v>
      </c>
      <c r="L60" s="184"/>
      <c r="M60" s="313"/>
      <c r="N60" s="171"/>
      <c r="O60" s="59"/>
      <c r="P60" s="458"/>
      <c r="Q60" s="458"/>
      <c r="R60" s="764"/>
      <c r="S60" s="1616"/>
      <c r="T60" s="1616"/>
      <c r="U60" s="1616"/>
      <c r="V60" s="1616"/>
      <c r="W60" s="775"/>
      <c r="X60" s="459"/>
    </row>
    <row r="61" spans="2:24" ht="13.5" customHeight="1">
      <c r="B61" s="668"/>
      <c r="C61" s="699"/>
      <c r="D61" s="747"/>
      <c r="E61" s="186" t="s">
        <v>33</v>
      </c>
      <c r="F61" s="185">
        <f>'Comprehensive Budget'!H61</f>
        <v>0</v>
      </c>
      <c r="G61" s="171"/>
      <c r="H61" s="59"/>
      <c r="I61" s="179"/>
      <c r="J61" s="65">
        <v>0</v>
      </c>
      <c r="K61" s="748">
        <f t="shared" si="2"/>
        <v>0</v>
      </c>
      <c r="L61" s="184"/>
      <c r="M61" s="314"/>
      <c r="N61" s="171"/>
      <c r="O61" s="59"/>
      <c r="P61" s="458"/>
      <c r="Q61" s="458"/>
      <c r="R61" s="764"/>
      <c r="S61" s="1616"/>
      <c r="T61" s="1616"/>
      <c r="U61" s="1616"/>
      <c r="V61" s="1616"/>
      <c r="W61" s="775"/>
      <c r="X61" s="459"/>
    </row>
    <row r="62" spans="2:24" ht="13.5" customHeight="1" thickBot="1">
      <c r="B62" s="668"/>
      <c r="C62" s="699"/>
      <c r="D62" s="747"/>
      <c r="E62" s="186" t="s">
        <v>34</v>
      </c>
      <c r="F62" s="185">
        <f>'Comprehensive Budget'!H62</f>
        <v>0</v>
      </c>
      <c r="G62" s="171"/>
      <c r="H62" s="59"/>
      <c r="I62" s="179"/>
      <c r="J62" s="1191"/>
      <c r="K62" s="748">
        <f t="shared" si="2"/>
        <v>0</v>
      </c>
      <c r="L62" s="184"/>
      <c r="M62" s="311"/>
      <c r="N62" s="171"/>
      <c r="O62" s="59"/>
      <c r="P62" s="458"/>
      <c r="Q62" s="458"/>
      <c r="R62" s="764"/>
      <c r="S62" s="1616"/>
      <c r="T62" s="1616"/>
      <c r="U62" s="1616"/>
      <c r="V62" s="1616"/>
      <c r="W62" s="775"/>
      <c r="X62" s="459"/>
    </row>
    <row r="63" spans="2:24" ht="13.5" customHeight="1">
      <c r="B63" s="668"/>
      <c r="C63" s="699"/>
      <c r="D63" s="747"/>
      <c r="E63" s="737" t="s">
        <v>331</v>
      </c>
      <c r="F63" s="185">
        <f>'Comprehensive Budget'!H63</f>
        <v>0</v>
      </c>
      <c r="G63" s="171"/>
      <c r="H63" s="59"/>
      <c r="I63" s="179"/>
      <c r="J63" s="205">
        <v>0</v>
      </c>
      <c r="K63" s="723">
        <f t="shared" si="2"/>
        <v>0</v>
      </c>
      <c r="L63" s="184"/>
      <c r="M63" s="734"/>
      <c r="N63" s="171"/>
      <c r="O63" s="59"/>
      <c r="P63" s="458"/>
      <c r="Q63" s="458"/>
      <c r="R63" s="764"/>
      <c r="S63" s="1616"/>
      <c r="T63" s="1616"/>
      <c r="U63" s="1616"/>
      <c r="V63" s="1616"/>
      <c r="W63" s="775"/>
      <c r="X63" s="459"/>
    </row>
    <row r="64" spans="2:24" ht="5.25" customHeight="1">
      <c r="B64" s="668"/>
      <c r="C64" s="699"/>
      <c r="D64" s="678"/>
      <c r="E64" s="138"/>
      <c r="F64" s="184"/>
      <c r="G64" s="171"/>
      <c r="H64" s="59"/>
      <c r="I64" s="179"/>
      <c r="J64" s="143"/>
      <c r="K64" s="184"/>
      <c r="L64" s="184"/>
      <c r="M64" s="184"/>
      <c r="N64" s="171"/>
      <c r="O64" s="59"/>
      <c r="P64" s="458"/>
      <c r="Q64" s="458"/>
      <c r="R64" s="764"/>
      <c r="S64" s="1616"/>
      <c r="T64" s="1616"/>
      <c r="U64" s="1616"/>
      <c r="V64" s="1616"/>
      <c r="W64" s="775"/>
      <c r="X64" s="459"/>
    </row>
    <row r="65" spans="2:24" ht="13.5" customHeight="1">
      <c r="B65" s="668"/>
      <c r="C65" s="699"/>
      <c r="D65" s="710" t="s">
        <v>35</v>
      </c>
      <c r="E65" s="777"/>
      <c r="F65" s="203"/>
      <c r="G65" s="780"/>
      <c r="H65" s="59"/>
      <c r="I65" s="179"/>
      <c r="J65" s="223"/>
      <c r="K65" s="778"/>
      <c r="L65" s="778"/>
      <c r="M65" s="778"/>
      <c r="N65" s="171"/>
      <c r="O65" s="59"/>
      <c r="P65" s="458"/>
      <c r="Q65" s="458"/>
      <c r="R65" s="764"/>
      <c r="S65" s="1616"/>
      <c r="T65" s="1616"/>
      <c r="U65" s="1616"/>
      <c r="V65" s="1616"/>
      <c r="W65" s="775"/>
      <c r="X65" s="459"/>
    </row>
    <row r="66" spans="2:24" ht="5.25" customHeight="1">
      <c r="B66" s="668"/>
      <c r="C66" s="699"/>
      <c r="D66" s="742"/>
      <c r="E66" s="779"/>
      <c r="F66" s="204"/>
      <c r="G66" s="739"/>
      <c r="H66" s="59"/>
      <c r="I66" s="179"/>
      <c r="J66" s="143"/>
      <c r="K66" s="184"/>
      <c r="L66" s="184"/>
      <c r="M66" s="184"/>
      <c r="N66" s="171"/>
      <c r="O66" s="59"/>
      <c r="P66" s="458"/>
      <c r="Q66" s="458"/>
      <c r="R66" s="764"/>
      <c r="S66" s="1616"/>
      <c r="T66" s="1616"/>
      <c r="U66" s="1616"/>
      <c r="V66" s="1616"/>
      <c r="W66" s="775"/>
      <c r="X66" s="459"/>
    </row>
    <row r="67" spans="2:24" ht="13.5" customHeight="1">
      <c r="B67" s="668"/>
      <c r="C67" s="699"/>
      <c r="D67" s="678"/>
      <c r="E67" s="186" t="s">
        <v>36</v>
      </c>
      <c r="F67" s="185">
        <f>'Comprehensive Budget'!H67</f>
        <v>0</v>
      </c>
      <c r="G67" s="171"/>
      <c r="H67" s="59"/>
      <c r="I67" s="179"/>
      <c r="J67" s="222">
        <f>F67</f>
        <v>0</v>
      </c>
      <c r="K67" s="723">
        <f>F67-J67</f>
        <v>0</v>
      </c>
      <c r="L67" s="184"/>
      <c r="M67" s="736"/>
      <c r="N67" s="171"/>
      <c r="O67" s="59"/>
      <c r="P67" s="458"/>
      <c r="Q67" s="458"/>
      <c r="R67" s="764"/>
      <c r="S67" s="1616"/>
      <c r="T67" s="1616"/>
      <c r="U67" s="1616"/>
      <c r="V67" s="1616"/>
      <c r="W67" s="775"/>
      <c r="X67" s="459"/>
    </row>
    <row r="68" spans="2:24" ht="13.5" customHeight="1" thickBot="1">
      <c r="B68" s="668"/>
      <c r="C68" s="699"/>
      <c r="D68" s="678"/>
      <c r="E68" s="186" t="s">
        <v>115</v>
      </c>
      <c r="F68" s="185">
        <f>'Comprehensive Budget'!H68</f>
        <v>0</v>
      </c>
      <c r="G68" s="171"/>
      <c r="H68" s="59"/>
      <c r="I68" s="179"/>
      <c r="J68" s="202"/>
      <c r="K68" s="723">
        <f>F68-J68</f>
        <v>0</v>
      </c>
      <c r="L68" s="184"/>
      <c r="M68" s="312"/>
      <c r="N68" s="171"/>
      <c r="O68" s="59"/>
      <c r="P68" s="458"/>
      <c r="Q68" s="458"/>
      <c r="R68" s="764"/>
      <c r="S68" s="1616"/>
      <c r="T68" s="1616"/>
      <c r="U68" s="1616"/>
      <c r="V68" s="1616"/>
      <c r="W68" s="775"/>
      <c r="X68" s="459"/>
    </row>
    <row r="69" spans="2:24" ht="13.5" customHeight="1">
      <c r="B69" s="668"/>
      <c r="C69" s="699"/>
      <c r="D69" s="678"/>
      <c r="E69" s="737" t="s">
        <v>331</v>
      </c>
      <c r="F69" s="185">
        <f>'Comprehensive Budget'!H69</f>
        <v>0</v>
      </c>
      <c r="G69" s="171"/>
      <c r="H69" s="59"/>
      <c r="I69" s="179"/>
      <c r="J69" s="201">
        <v>0</v>
      </c>
      <c r="K69" s="723">
        <f>F69-J69</f>
        <v>0</v>
      </c>
      <c r="L69" s="184"/>
      <c r="M69" s="734"/>
      <c r="N69" s="171"/>
      <c r="O69" s="59"/>
      <c r="P69" s="458"/>
      <c r="Q69" s="458"/>
      <c r="R69" s="764"/>
      <c r="S69" s="1616"/>
      <c r="T69" s="1616"/>
      <c r="U69" s="1616"/>
      <c r="V69" s="1616"/>
      <c r="W69" s="775"/>
      <c r="X69" s="459"/>
    </row>
    <row r="70" spans="2:24" ht="5.25" customHeight="1">
      <c r="B70" s="668"/>
      <c r="C70" s="699"/>
      <c r="D70" s="678"/>
      <c r="E70" s="138"/>
      <c r="F70" s="184"/>
      <c r="G70" s="171"/>
      <c r="H70" s="59"/>
      <c r="I70" s="179"/>
      <c r="J70" s="143"/>
      <c r="K70" s="184"/>
      <c r="L70" s="184"/>
      <c r="M70" s="184"/>
      <c r="N70" s="171"/>
      <c r="O70" s="59"/>
      <c r="P70" s="458"/>
      <c r="Q70" s="458"/>
      <c r="R70" s="764"/>
      <c r="S70" s="1616"/>
      <c r="T70" s="1616"/>
      <c r="U70" s="1616"/>
      <c r="V70" s="1616"/>
      <c r="W70" s="775"/>
      <c r="X70" s="459"/>
    </row>
    <row r="71" spans="2:24" ht="13.5" customHeight="1">
      <c r="B71" s="668"/>
      <c r="C71" s="699"/>
      <c r="D71" s="710" t="s">
        <v>37</v>
      </c>
      <c r="E71" s="777"/>
      <c r="F71" s="203"/>
      <c r="G71" s="780"/>
      <c r="H71" s="59"/>
      <c r="I71" s="179"/>
      <c r="J71" s="223"/>
      <c r="K71" s="778"/>
      <c r="L71" s="778"/>
      <c r="M71" s="778"/>
      <c r="N71" s="171"/>
      <c r="O71" s="59"/>
      <c r="P71" s="458"/>
      <c r="Q71" s="458"/>
      <c r="R71" s="764"/>
      <c r="S71" s="1616"/>
      <c r="T71" s="1616"/>
      <c r="U71" s="1616"/>
      <c r="V71" s="1616"/>
      <c r="W71" s="775"/>
      <c r="X71" s="459"/>
    </row>
    <row r="72" spans="2:24" ht="5.25" customHeight="1">
      <c r="B72" s="668"/>
      <c r="C72" s="699"/>
      <c r="D72" s="742"/>
      <c r="E72" s="779"/>
      <c r="F72" s="204"/>
      <c r="G72" s="739"/>
      <c r="H72" s="59"/>
      <c r="I72" s="179"/>
      <c r="J72" s="143"/>
      <c r="K72" s="184"/>
      <c r="L72" s="184"/>
      <c r="M72" s="184"/>
      <c r="N72" s="171"/>
      <c r="O72" s="59"/>
      <c r="P72" s="458"/>
      <c r="Q72" s="458"/>
      <c r="R72" s="764"/>
      <c r="S72" s="1616"/>
      <c r="T72" s="1616"/>
      <c r="U72" s="1616"/>
      <c r="V72" s="1616"/>
      <c r="W72" s="775"/>
      <c r="X72" s="459"/>
    </row>
    <row r="73" spans="2:24" ht="13.5" customHeight="1" thickBot="1">
      <c r="B73" s="668"/>
      <c r="C73" s="699"/>
      <c r="D73" s="678"/>
      <c r="E73" s="781" t="s">
        <v>207</v>
      </c>
      <c r="F73" s="185">
        <f>'Comprehensive Budget'!H73</f>
        <v>0</v>
      </c>
      <c r="G73" s="171"/>
      <c r="H73" s="59"/>
      <c r="I73" s="179"/>
      <c r="J73" s="222">
        <f>F73</f>
        <v>0</v>
      </c>
      <c r="K73" s="723">
        <f>F73-J73</f>
        <v>0</v>
      </c>
      <c r="L73" s="184"/>
      <c r="M73" s="184"/>
      <c r="N73" s="171"/>
      <c r="O73" s="59"/>
      <c r="P73" s="458"/>
      <c r="Q73" s="458"/>
      <c r="R73" s="782"/>
      <c r="S73" s="783"/>
      <c r="T73" s="783"/>
      <c r="U73" s="783"/>
      <c r="V73" s="783"/>
      <c r="W73" s="784"/>
      <c r="X73" s="459"/>
    </row>
    <row r="74" spans="2:24" ht="13.5" customHeight="1">
      <c r="B74" s="668"/>
      <c r="C74" s="699"/>
      <c r="D74" s="678"/>
      <c r="E74" s="785" t="s">
        <v>208</v>
      </c>
      <c r="F74" s="185">
        <f>'Comprehensive Budget'!H74</f>
        <v>0</v>
      </c>
      <c r="G74" s="171"/>
      <c r="H74" s="59"/>
      <c r="I74" s="179"/>
      <c r="J74" s="222">
        <f>F74</f>
        <v>0</v>
      </c>
      <c r="K74" s="723">
        <f>F74-J74</f>
        <v>0</v>
      </c>
      <c r="L74" s="184"/>
      <c r="M74" s="184"/>
      <c r="N74" s="171"/>
      <c r="O74" s="59"/>
      <c r="P74" s="458"/>
      <c r="Q74" s="458"/>
      <c r="R74" s="458"/>
      <c r="S74" s="458"/>
      <c r="T74" s="458"/>
      <c r="U74" s="458"/>
      <c r="V74" s="458"/>
      <c r="W74" s="458"/>
      <c r="X74" s="459"/>
    </row>
    <row r="75" spans="2:24" ht="13.5" customHeight="1">
      <c r="B75" s="668"/>
      <c r="C75" s="699"/>
      <c r="D75" s="678"/>
      <c r="E75" s="785" t="s">
        <v>209</v>
      </c>
      <c r="F75" s="185">
        <f>'Comprehensive Budget'!H75</f>
        <v>0</v>
      </c>
      <c r="G75" s="171"/>
      <c r="H75" s="59"/>
      <c r="I75" s="179"/>
      <c r="J75" s="222">
        <f>F75</f>
        <v>0</v>
      </c>
      <c r="K75" s="723">
        <f>F75-J75</f>
        <v>0</v>
      </c>
      <c r="L75" s="184"/>
      <c r="M75" s="184"/>
      <c r="N75" s="171"/>
      <c r="O75" s="59"/>
      <c r="P75" s="458"/>
      <c r="Q75" s="458"/>
      <c r="R75" s="786"/>
      <c r="S75" s="787"/>
      <c r="T75" s="787"/>
      <c r="U75" s="787"/>
      <c r="V75" s="787"/>
      <c r="W75" s="788"/>
      <c r="X75" s="459"/>
    </row>
    <row r="76" spans="2:24" ht="13.5" customHeight="1" thickBot="1">
      <c r="B76" s="668"/>
      <c r="C76" s="699"/>
      <c r="D76" s="678"/>
      <c r="E76" s="186" t="s">
        <v>87</v>
      </c>
      <c r="F76" s="185">
        <f>'Comprehensive Budget'!H76</f>
        <v>0</v>
      </c>
      <c r="G76" s="171"/>
      <c r="H76" s="59"/>
      <c r="I76" s="179"/>
      <c r="J76" s="202"/>
      <c r="K76" s="723">
        <f>F76-J76</f>
        <v>0</v>
      </c>
      <c r="L76" s="184"/>
      <c r="M76" s="312"/>
      <c r="N76" s="171"/>
      <c r="O76" s="59"/>
      <c r="P76" s="458"/>
      <c r="Q76" s="458"/>
      <c r="R76" s="789"/>
      <c r="S76" s="790" t="s">
        <v>165</v>
      </c>
      <c r="T76" s="791"/>
      <c r="U76" s="791"/>
      <c r="V76" s="791"/>
      <c r="W76" s="792"/>
      <c r="X76" s="459"/>
    </row>
    <row r="77" spans="2:24" ht="13.5" customHeight="1">
      <c r="B77" s="668"/>
      <c r="C77" s="699"/>
      <c r="D77" s="678"/>
      <c r="E77" s="737" t="s">
        <v>331</v>
      </c>
      <c r="F77" s="185">
        <f>'Comprehensive Budget'!H77</f>
        <v>0</v>
      </c>
      <c r="G77" s="171"/>
      <c r="H77" s="59"/>
      <c r="I77" s="179"/>
      <c r="J77" s="201">
        <v>0</v>
      </c>
      <c r="K77" s="723">
        <f>F77-J77</f>
        <v>0</v>
      </c>
      <c r="L77" s="184"/>
      <c r="M77" s="734"/>
      <c r="N77" s="171"/>
      <c r="O77" s="59"/>
      <c r="P77" s="458"/>
      <c r="Q77" s="458"/>
      <c r="R77" s="789"/>
      <c r="S77" s="1613" t="s">
        <v>417</v>
      </c>
      <c r="T77" s="1613"/>
      <c r="U77" s="1613"/>
      <c r="V77" s="1613"/>
      <c r="W77" s="793"/>
      <c r="X77" s="459"/>
    </row>
    <row r="78" spans="2:24" ht="5.25" customHeight="1">
      <c r="B78" s="668"/>
      <c r="C78" s="699"/>
      <c r="D78" s="678"/>
      <c r="E78" s="138"/>
      <c r="F78" s="184"/>
      <c r="G78" s="171"/>
      <c r="H78" s="59"/>
      <c r="I78" s="179"/>
      <c r="J78" s="143"/>
      <c r="K78" s="184"/>
      <c r="L78" s="184"/>
      <c r="M78" s="184"/>
      <c r="N78" s="171"/>
      <c r="O78" s="59"/>
      <c r="P78" s="458"/>
      <c r="Q78" s="458"/>
      <c r="R78" s="789"/>
      <c r="S78" s="1613"/>
      <c r="T78" s="1613"/>
      <c r="U78" s="1613"/>
      <c r="V78" s="1613"/>
      <c r="W78" s="793"/>
      <c r="X78" s="459"/>
    </row>
    <row r="79" spans="2:24" ht="13.5" customHeight="1">
      <c r="B79" s="668"/>
      <c r="C79" s="699"/>
      <c r="D79" s="710" t="s">
        <v>39</v>
      </c>
      <c r="E79" s="777"/>
      <c r="F79" s="203"/>
      <c r="G79" s="780"/>
      <c r="H79" s="59"/>
      <c r="I79" s="179"/>
      <c r="J79" s="223"/>
      <c r="K79" s="778"/>
      <c r="L79" s="778"/>
      <c r="M79" s="778"/>
      <c r="N79" s="171"/>
      <c r="O79" s="59"/>
      <c r="P79" s="458"/>
      <c r="Q79" s="458"/>
      <c r="R79" s="789"/>
      <c r="S79" s="1613"/>
      <c r="T79" s="1613"/>
      <c r="U79" s="1613"/>
      <c r="V79" s="1613"/>
      <c r="W79" s="793"/>
      <c r="X79" s="459"/>
    </row>
    <row r="80" spans="2:24" ht="5.25" customHeight="1">
      <c r="B80" s="668"/>
      <c r="C80" s="699"/>
      <c r="D80" s="678"/>
      <c r="E80" s="357"/>
      <c r="F80" s="184"/>
      <c r="G80" s="171"/>
      <c r="H80" s="59"/>
      <c r="I80" s="179"/>
      <c r="J80" s="143"/>
      <c r="K80" s="184"/>
      <c r="L80" s="184"/>
      <c r="M80" s="184"/>
      <c r="N80" s="171"/>
      <c r="O80" s="59"/>
      <c r="P80" s="458"/>
      <c r="Q80" s="458"/>
      <c r="R80" s="789"/>
      <c r="S80" s="1613"/>
      <c r="T80" s="1613"/>
      <c r="U80" s="1613"/>
      <c r="V80" s="1613"/>
      <c r="W80" s="793"/>
      <c r="X80" s="459"/>
    </row>
    <row r="81" spans="2:24" ht="13.5" customHeight="1">
      <c r="B81" s="668"/>
      <c r="C81" s="699"/>
      <c r="D81" s="678"/>
      <c r="E81" s="186" t="s">
        <v>206</v>
      </c>
      <c r="F81" s="185">
        <f>'Comprehensive Budget'!H81</f>
        <v>0</v>
      </c>
      <c r="G81" s="171"/>
      <c r="H81" s="59"/>
      <c r="I81" s="179"/>
      <c r="J81" s="222">
        <f>F81</f>
        <v>0</v>
      </c>
      <c r="K81" s="723">
        <f>F81-J81</f>
        <v>0</v>
      </c>
      <c r="L81" s="184"/>
      <c r="M81" s="184"/>
      <c r="N81" s="171"/>
      <c r="O81" s="59"/>
      <c r="P81" s="458"/>
      <c r="Q81" s="458"/>
      <c r="R81" s="789"/>
      <c r="S81" s="1613"/>
      <c r="T81" s="1613"/>
      <c r="U81" s="1613"/>
      <c r="V81" s="1613"/>
      <c r="W81" s="793"/>
      <c r="X81" s="459"/>
    </row>
    <row r="82" spans="2:24" ht="13.5" customHeight="1">
      <c r="B82" s="668"/>
      <c r="C82" s="699"/>
      <c r="D82" s="678"/>
      <c r="E82" s="186" t="s">
        <v>40</v>
      </c>
      <c r="F82" s="185">
        <f>'Comprehensive Budget'!H82</f>
        <v>0</v>
      </c>
      <c r="G82" s="171"/>
      <c r="H82" s="59"/>
      <c r="I82" s="179"/>
      <c r="J82" s="222">
        <f>F82</f>
        <v>0</v>
      </c>
      <c r="K82" s="723">
        <f>F82-J82</f>
        <v>0</v>
      </c>
      <c r="L82" s="184"/>
      <c r="M82" s="550"/>
      <c r="N82" s="171"/>
      <c r="O82" s="59"/>
      <c r="P82" s="458"/>
      <c r="Q82" s="458"/>
      <c r="R82" s="789"/>
      <c r="S82" s="1613"/>
      <c r="T82" s="1613"/>
      <c r="U82" s="1613"/>
      <c r="V82" s="1613"/>
      <c r="W82" s="793"/>
      <c r="X82" s="459"/>
    </row>
    <row r="83" spans="2:24" ht="13.5" customHeight="1" thickBot="1">
      <c r="B83" s="668"/>
      <c r="C83" s="699"/>
      <c r="D83" s="678"/>
      <c r="E83" s="186" t="s">
        <v>89</v>
      </c>
      <c r="F83" s="185">
        <f>'Comprehensive Budget'!H83</f>
        <v>0</v>
      </c>
      <c r="G83" s="171"/>
      <c r="H83" s="59"/>
      <c r="I83" s="179"/>
      <c r="J83" s="202"/>
      <c r="K83" s="723">
        <f>F83-J83</f>
        <v>0</v>
      </c>
      <c r="L83" s="184"/>
      <c r="M83" s="312"/>
      <c r="N83" s="171"/>
      <c r="O83" s="59"/>
      <c r="P83" s="458"/>
      <c r="Q83" s="458"/>
      <c r="R83" s="789"/>
      <c r="S83" s="1613"/>
      <c r="T83" s="1613"/>
      <c r="U83" s="1613"/>
      <c r="V83" s="1613"/>
      <c r="W83" s="793"/>
      <c r="X83" s="459"/>
    </row>
    <row r="84" spans="2:24" ht="13.5" customHeight="1">
      <c r="B84" s="668"/>
      <c r="C84" s="699"/>
      <c r="D84" s="678"/>
      <c r="E84" s="737" t="s">
        <v>331</v>
      </c>
      <c r="F84" s="185">
        <f>'Comprehensive Budget'!H84</f>
        <v>0</v>
      </c>
      <c r="G84" s="171"/>
      <c r="H84" s="59"/>
      <c r="I84" s="179"/>
      <c r="J84" s="201">
        <v>0</v>
      </c>
      <c r="K84" s="723">
        <f>F84-J84</f>
        <v>0</v>
      </c>
      <c r="L84" s="184"/>
      <c r="M84" s="734"/>
      <c r="N84" s="171"/>
      <c r="O84" s="59"/>
      <c r="P84" s="458"/>
      <c r="Q84" s="458"/>
      <c r="R84" s="789"/>
      <c r="S84" s="1613"/>
      <c r="T84" s="1613"/>
      <c r="U84" s="1613"/>
      <c r="V84" s="1613"/>
      <c r="W84" s="793"/>
      <c r="X84" s="459"/>
    </row>
    <row r="85" spans="2:24" ht="5.25" customHeight="1">
      <c r="B85" s="668"/>
      <c r="C85" s="699"/>
      <c r="D85" s="678"/>
      <c r="E85" s="138"/>
      <c r="F85" s="184"/>
      <c r="G85" s="171"/>
      <c r="H85" s="59"/>
      <c r="I85" s="179"/>
      <c r="J85" s="143"/>
      <c r="K85" s="184"/>
      <c r="L85" s="184"/>
      <c r="M85" s="184"/>
      <c r="N85" s="171"/>
      <c r="O85" s="59"/>
      <c r="P85" s="458"/>
      <c r="Q85" s="458"/>
      <c r="R85" s="789"/>
      <c r="S85" s="1613"/>
      <c r="T85" s="1613"/>
      <c r="U85" s="1613"/>
      <c r="V85" s="1613"/>
      <c r="W85" s="793"/>
      <c r="X85" s="459"/>
    </row>
    <row r="86" spans="2:24" ht="13.5" customHeight="1">
      <c r="B86" s="668"/>
      <c r="C86" s="699"/>
      <c r="D86" s="710" t="s">
        <v>41</v>
      </c>
      <c r="E86" s="777"/>
      <c r="F86" s="203"/>
      <c r="G86" s="780"/>
      <c r="H86" s="59"/>
      <c r="I86" s="179"/>
      <c r="J86" s="223"/>
      <c r="K86" s="778"/>
      <c r="L86" s="778"/>
      <c r="M86" s="778"/>
      <c r="N86" s="171"/>
      <c r="O86" s="59"/>
      <c r="P86" s="458"/>
      <c r="Q86" s="458"/>
      <c r="R86" s="789"/>
      <c r="S86" s="1613"/>
      <c r="T86" s="1613"/>
      <c r="U86" s="1613"/>
      <c r="V86" s="1613"/>
      <c r="W86" s="793"/>
      <c r="X86" s="459"/>
    </row>
    <row r="87" spans="2:24" ht="5.25" customHeight="1">
      <c r="B87" s="668"/>
      <c r="C87" s="699"/>
      <c r="D87" s="742"/>
      <c r="E87" s="779"/>
      <c r="F87" s="204"/>
      <c r="G87" s="739"/>
      <c r="H87" s="59"/>
      <c r="I87" s="179"/>
      <c r="J87" s="143"/>
      <c r="K87" s="184"/>
      <c r="L87" s="184"/>
      <c r="M87" s="184"/>
      <c r="N87" s="171"/>
      <c r="O87" s="59"/>
      <c r="P87" s="458"/>
      <c r="Q87" s="458"/>
      <c r="R87" s="789"/>
      <c r="S87" s="1613"/>
      <c r="T87" s="1613"/>
      <c r="U87" s="1613"/>
      <c r="V87" s="1613"/>
      <c r="W87" s="793"/>
      <c r="X87" s="459"/>
    </row>
    <row r="88" spans="2:24" ht="13.5" customHeight="1" thickBot="1">
      <c r="B88" s="668"/>
      <c r="C88" s="699"/>
      <c r="D88" s="678"/>
      <c r="E88" s="794" t="s">
        <v>42</v>
      </c>
      <c r="F88" s="185">
        <f>'Comprehensive Budget'!H88</f>
        <v>0</v>
      </c>
      <c r="G88" s="171"/>
      <c r="H88" s="59"/>
      <c r="I88" s="179"/>
      <c r="J88" s="222">
        <f>F88</f>
        <v>0</v>
      </c>
      <c r="K88" s="723">
        <f aca="true" t="shared" si="3" ref="K88:K93">F88-J88</f>
        <v>0</v>
      </c>
      <c r="L88" s="184"/>
      <c r="M88" s="184"/>
      <c r="N88" s="171"/>
      <c r="O88" s="59"/>
      <c r="P88" s="458"/>
      <c r="Q88" s="458"/>
      <c r="R88" s="795"/>
      <c r="S88" s="1614"/>
      <c r="T88" s="1614"/>
      <c r="U88" s="1614"/>
      <c r="V88" s="1614"/>
      <c r="W88" s="796"/>
      <c r="X88" s="459"/>
    </row>
    <row r="89" spans="2:24" ht="13.5" customHeight="1">
      <c r="B89" s="668"/>
      <c r="C89" s="699"/>
      <c r="D89" s="678"/>
      <c r="E89" s="794" t="s">
        <v>214</v>
      </c>
      <c r="F89" s="185">
        <f>'Comprehensive Budget'!H89</f>
        <v>0</v>
      </c>
      <c r="G89" s="171"/>
      <c r="H89" s="59"/>
      <c r="I89" s="179"/>
      <c r="J89" s="222">
        <f>F89</f>
        <v>0</v>
      </c>
      <c r="K89" s="723">
        <f t="shared" si="3"/>
        <v>0</v>
      </c>
      <c r="L89" s="184"/>
      <c r="M89" s="184"/>
      <c r="N89" s="171"/>
      <c r="O89" s="59"/>
      <c r="P89" s="458"/>
      <c r="Q89" s="458"/>
      <c r="R89" s="458"/>
      <c r="S89" s="458"/>
      <c r="T89" s="797"/>
      <c r="U89" s="458"/>
      <c r="V89" s="458"/>
      <c r="W89" s="458"/>
      <c r="X89" s="459"/>
    </row>
    <row r="90" spans="2:24" ht="13.5" customHeight="1">
      <c r="B90" s="668"/>
      <c r="C90" s="699"/>
      <c r="D90" s="678"/>
      <c r="E90" s="794" t="s">
        <v>215</v>
      </c>
      <c r="F90" s="185">
        <f>'Comprehensive Budget'!H90</f>
        <v>0</v>
      </c>
      <c r="G90" s="171"/>
      <c r="H90" s="59"/>
      <c r="I90" s="179"/>
      <c r="J90" s="222">
        <f>F90</f>
        <v>0</v>
      </c>
      <c r="K90" s="723">
        <f t="shared" si="3"/>
        <v>0</v>
      </c>
      <c r="L90" s="184"/>
      <c r="M90" s="184"/>
      <c r="N90" s="171"/>
      <c r="O90" s="59"/>
      <c r="P90" s="458"/>
      <c r="Q90" s="458"/>
      <c r="R90" s="458"/>
      <c r="S90" s="458"/>
      <c r="T90" s="797"/>
      <c r="U90" s="458"/>
      <c r="V90" s="458"/>
      <c r="W90" s="458"/>
      <c r="X90" s="459"/>
    </row>
    <row r="91" spans="2:24" ht="13.5" customHeight="1">
      <c r="B91" s="668"/>
      <c r="C91" s="699"/>
      <c r="D91" s="678"/>
      <c r="E91" s="794" t="s">
        <v>43</v>
      </c>
      <c r="F91" s="185">
        <f>'Comprehensive Budget'!H91</f>
        <v>0</v>
      </c>
      <c r="G91" s="171"/>
      <c r="H91" s="59"/>
      <c r="I91" s="179"/>
      <c r="J91" s="222">
        <f>F91</f>
        <v>0</v>
      </c>
      <c r="K91" s="723">
        <f t="shared" si="3"/>
        <v>0</v>
      </c>
      <c r="L91" s="184"/>
      <c r="M91" s="184"/>
      <c r="N91" s="171"/>
      <c r="O91" s="59"/>
      <c r="P91" s="458"/>
      <c r="Q91" s="458"/>
      <c r="R91" s="458"/>
      <c r="S91" s="458"/>
      <c r="T91" s="797"/>
      <c r="U91" s="458"/>
      <c r="V91" s="458"/>
      <c r="W91" s="458"/>
      <c r="X91" s="459"/>
    </row>
    <row r="92" spans="2:24" ht="13.5" customHeight="1" thickBot="1">
      <c r="B92" s="668"/>
      <c r="C92" s="699"/>
      <c r="D92" s="678"/>
      <c r="E92" s="794" t="s">
        <v>116</v>
      </c>
      <c r="F92" s="185">
        <f>'Comprehensive Budget'!H92</f>
        <v>0</v>
      </c>
      <c r="G92" s="171"/>
      <c r="H92" s="59"/>
      <c r="I92" s="179"/>
      <c r="J92" s="202"/>
      <c r="K92" s="723">
        <f t="shared" si="3"/>
        <v>0</v>
      </c>
      <c r="L92" s="184"/>
      <c r="M92" s="312"/>
      <c r="N92" s="171"/>
      <c r="O92" s="59"/>
      <c r="P92" s="458"/>
      <c r="Q92" s="458"/>
      <c r="R92" s="458"/>
      <c r="S92" s="458"/>
      <c r="T92" s="797"/>
      <c r="U92" s="458"/>
      <c r="V92" s="458"/>
      <c r="W92" s="458"/>
      <c r="X92" s="459"/>
    </row>
    <row r="93" spans="2:24" ht="13.5" customHeight="1">
      <c r="B93" s="668"/>
      <c r="C93" s="699"/>
      <c r="D93" s="678"/>
      <c r="E93" s="737" t="s">
        <v>331</v>
      </c>
      <c r="F93" s="185">
        <f>'Comprehensive Budget'!H93</f>
        <v>0</v>
      </c>
      <c r="G93" s="171"/>
      <c r="H93" s="59"/>
      <c r="I93" s="179"/>
      <c r="J93" s="201">
        <v>0</v>
      </c>
      <c r="K93" s="723">
        <f t="shared" si="3"/>
        <v>0</v>
      </c>
      <c r="L93" s="184"/>
      <c r="M93" s="734"/>
      <c r="N93" s="171"/>
      <c r="O93" s="59"/>
      <c r="P93" s="458"/>
      <c r="Q93" s="458"/>
      <c r="R93" s="458"/>
      <c r="S93" s="458"/>
      <c r="T93" s="797"/>
      <c r="U93" s="458"/>
      <c r="V93" s="458"/>
      <c r="W93" s="458"/>
      <c r="X93" s="459"/>
    </row>
    <row r="94" spans="2:24" ht="5.25" customHeight="1">
      <c r="B94" s="668"/>
      <c r="C94" s="699"/>
      <c r="D94" s="678"/>
      <c r="E94" s="138"/>
      <c r="F94" s="184"/>
      <c r="G94" s="171"/>
      <c r="H94" s="59"/>
      <c r="I94" s="179"/>
      <c r="J94" s="143"/>
      <c r="K94" s="184"/>
      <c r="L94" s="184"/>
      <c r="M94" s="184"/>
      <c r="N94" s="171"/>
      <c r="O94" s="59"/>
      <c r="P94" s="458"/>
      <c r="Q94" s="458"/>
      <c r="R94" s="458"/>
      <c r="S94" s="458"/>
      <c r="T94" s="797"/>
      <c r="U94" s="458"/>
      <c r="V94" s="458"/>
      <c r="W94" s="458"/>
      <c r="X94" s="459"/>
    </row>
    <row r="95" spans="2:24" ht="13.5" customHeight="1">
      <c r="B95" s="668"/>
      <c r="C95" s="699"/>
      <c r="D95" s="710" t="s">
        <v>113</v>
      </c>
      <c r="E95" s="777"/>
      <c r="F95" s="203"/>
      <c r="G95" s="171"/>
      <c r="H95" s="59"/>
      <c r="I95" s="179"/>
      <c r="J95" s="223"/>
      <c r="K95" s="778"/>
      <c r="L95" s="778"/>
      <c r="M95" s="778"/>
      <c r="N95" s="171"/>
      <c r="O95" s="59"/>
      <c r="P95" s="458"/>
      <c r="Q95" s="458"/>
      <c r="R95" s="458"/>
      <c r="S95" s="458"/>
      <c r="T95" s="797"/>
      <c r="U95" s="458"/>
      <c r="V95" s="458"/>
      <c r="W95" s="458"/>
      <c r="X95" s="459"/>
    </row>
    <row r="96" spans="2:24" ht="5.25" customHeight="1">
      <c r="B96" s="668"/>
      <c r="C96" s="699"/>
      <c r="D96" s="678"/>
      <c r="E96" s="357"/>
      <c r="F96" s="184"/>
      <c r="G96" s="171"/>
      <c r="H96" s="59"/>
      <c r="I96" s="179"/>
      <c r="J96" s="143"/>
      <c r="K96" s="184"/>
      <c r="L96" s="184"/>
      <c r="M96" s="184"/>
      <c r="N96" s="171"/>
      <c r="O96" s="59"/>
      <c r="P96" s="458"/>
      <c r="Q96" s="458"/>
      <c r="R96" s="458"/>
      <c r="S96" s="458"/>
      <c r="T96" s="797"/>
      <c r="U96" s="458"/>
      <c r="V96" s="458"/>
      <c r="W96" s="458"/>
      <c r="X96" s="459"/>
    </row>
    <row r="97" spans="2:24" ht="13.5" customHeight="1">
      <c r="B97" s="668"/>
      <c r="C97" s="699"/>
      <c r="D97" s="678"/>
      <c r="E97" s="186" t="s">
        <v>334</v>
      </c>
      <c r="F97" s="185">
        <f>'Comprehensive Budget'!H97</f>
        <v>0</v>
      </c>
      <c r="G97" s="171"/>
      <c r="H97" s="59"/>
      <c r="I97" s="179"/>
      <c r="J97" s="222">
        <f>F97</f>
        <v>0</v>
      </c>
      <c r="K97" s="723">
        <f>F97-J97</f>
        <v>0</v>
      </c>
      <c r="L97" s="184"/>
      <c r="M97" s="184"/>
      <c r="N97" s="171"/>
      <c r="O97" s="59"/>
      <c r="P97" s="458"/>
      <c r="Q97" s="458"/>
      <c r="R97" s="458"/>
      <c r="S97" s="458"/>
      <c r="T97" s="797"/>
      <c r="U97" s="458"/>
      <c r="V97" s="458"/>
      <c r="W97" s="458"/>
      <c r="X97" s="459"/>
    </row>
    <row r="98" spans="2:24" ht="13.5" customHeight="1" thickBot="1">
      <c r="B98" s="668"/>
      <c r="C98" s="699"/>
      <c r="D98" s="678"/>
      <c r="E98" s="186" t="s">
        <v>113</v>
      </c>
      <c r="F98" s="185">
        <f>'Comprehensive Budget'!H98</f>
        <v>0</v>
      </c>
      <c r="G98" s="171"/>
      <c r="H98" s="59"/>
      <c r="I98" s="179"/>
      <c r="J98" s="202"/>
      <c r="K98" s="723">
        <f>F98-J98</f>
        <v>0</v>
      </c>
      <c r="L98" s="184"/>
      <c r="M98" s="312"/>
      <c r="N98" s="171"/>
      <c r="O98" s="59"/>
      <c r="P98" s="458"/>
      <c r="Q98" s="458"/>
      <c r="R98" s="458"/>
      <c r="S98" s="458"/>
      <c r="T98" s="797"/>
      <c r="U98" s="458"/>
      <c r="V98" s="458"/>
      <c r="W98" s="458"/>
      <c r="X98" s="459"/>
    </row>
    <row r="99" spans="2:24" ht="13.5" customHeight="1">
      <c r="B99" s="668"/>
      <c r="C99" s="699"/>
      <c r="D99" s="678"/>
      <c r="E99" s="737" t="s">
        <v>331</v>
      </c>
      <c r="F99" s="185">
        <f>'Comprehensive Budget'!H99</f>
        <v>0</v>
      </c>
      <c r="G99" s="171"/>
      <c r="H99" s="59"/>
      <c r="I99" s="179"/>
      <c r="J99" s="201">
        <v>0</v>
      </c>
      <c r="K99" s="723">
        <f>F99-J99</f>
        <v>0</v>
      </c>
      <c r="L99" s="184"/>
      <c r="M99" s="184"/>
      <c r="N99" s="171"/>
      <c r="O99" s="59"/>
      <c r="P99" s="458"/>
      <c r="Q99" s="458"/>
      <c r="R99" s="458"/>
      <c r="S99" s="798"/>
      <c r="T99" s="798"/>
      <c r="U99" s="798"/>
      <c r="V99" s="458"/>
      <c r="W99" s="458"/>
      <c r="X99" s="799"/>
    </row>
    <row r="100" spans="2:24" ht="5.25" customHeight="1">
      <c r="B100" s="668"/>
      <c r="C100" s="699"/>
      <c r="D100" s="678"/>
      <c r="E100" s="138"/>
      <c r="F100" s="184"/>
      <c r="G100" s="171"/>
      <c r="H100" s="59"/>
      <c r="I100" s="179"/>
      <c r="J100" s="143"/>
      <c r="K100" s="184"/>
      <c r="L100" s="184"/>
      <c r="M100" s="184"/>
      <c r="N100" s="171"/>
      <c r="O100" s="59"/>
      <c r="P100" s="458"/>
      <c r="Q100" s="458"/>
      <c r="R100" s="458"/>
      <c r="S100" s="798"/>
      <c r="T100" s="798"/>
      <c r="U100" s="798"/>
      <c r="V100" s="458"/>
      <c r="W100" s="458"/>
      <c r="X100" s="799"/>
    </row>
    <row r="101" spans="2:24" ht="13.5" customHeight="1">
      <c r="B101" s="668"/>
      <c r="C101" s="699"/>
      <c r="D101" s="710" t="s">
        <v>44</v>
      </c>
      <c r="E101" s="777"/>
      <c r="F101" s="203"/>
      <c r="G101" s="171"/>
      <c r="H101" s="59"/>
      <c r="I101" s="179"/>
      <c r="J101" s="223"/>
      <c r="K101" s="778"/>
      <c r="L101" s="778"/>
      <c r="M101" s="778"/>
      <c r="N101" s="171"/>
      <c r="O101" s="59"/>
      <c r="P101" s="458"/>
      <c r="Q101" s="458"/>
      <c r="R101" s="458"/>
      <c r="S101" s="458"/>
      <c r="T101" s="797"/>
      <c r="U101" s="458"/>
      <c r="V101" s="458"/>
      <c r="W101" s="458"/>
      <c r="X101" s="459"/>
    </row>
    <row r="102" spans="2:24" ht="5.25" customHeight="1">
      <c r="B102" s="668"/>
      <c r="C102" s="699"/>
      <c r="D102" s="678"/>
      <c r="E102" s="357"/>
      <c r="F102" s="184"/>
      <c r="G102" s="171"/>
      <c r="H102" s="59"/>
      <c r="I102" s="179"/>
      <c r="J102" s="143"/>
      <c r="K102" s="184"/>
      <c r="L102" s="184"/>
      <c r="M102" s="184"/>
      <c r="N102" s="171"/>
      <c r="O102" s="59"/>
      <c r="P102" s="458"/>
      <c r="Q102" s="458"/>
      <c r="R102" s="458"/>
      <c r="S102" s="458"/>
      <c r="T102" s="797"/>
      <c r="U102" s="458"/>
      <c r="V102" s="458"/>
      <c r="W102" s="458"/>
      <c r="X102" s="459"/>
    </row>
    <row r="103" spans="2:24" ht="13.5" customHeight="1">
      <c r="B103" s="668"/>
      <c r="C103" s="699"/>
      <c r="D103" s="678"/>
      <c r="E103" s="794" t="s">
        <v>210</v>
      </c>
      <c r="F103" s="185">
        <f>'Comprehensive Budget'!H103</f>
        <v>0</v>
      </c>
      <c r="G103" s="171"/>
      <c r="H103" s="59"/>
      <c r="I103" s="179"/>
      <c r="J103" s="222">
        <f>F103</f>
        <v>0</v>
      </c>
      <c r="K103" s="723">
        <f>F103-J103</f>
        <v>0</v>
      </c>
      <c r="L103" s="184"/>
      <c r="M103" s="184"/>
      <c r="N103" s="171"/>
      <c r="O103" s="59"/>
      <c r="P103" s="458"/>
      <c r="Q103" s="458"/>
      <c r="R103" s="458"/>
      <c r="S103" s="458"/>
      <c r="T103" s="797"/>
      <c r="U103" s="458"/>
      <c r="V103" s="458"/>
      <c r="W103" s="458"/>
      <c r="X103" s="459"/>
    </row>
    <row r="104" spans="2:24" ht="13.5" customHeight="1">
      <c r="B104" s="668"/>
      <c r="C104" s="699"/>
      <c r="D104" s="678"/>
      <c r="E104" s="794" t="s">
        <v>212</v>
      </c>
      <c r="F104" s="185">
        <f>'Comprehensive Budget'!H104</f>
        <v>0</v>
      </c>
      <c r="G104" s="171"/>
      <c r="H104" s="59"/>
      <c r="I104" s="179"/>
      <c r="J104" s="222">
        <f>F104</f>
        <v>0</v>
      </c>
      <c r="K104" s="723">
        <f>F104-J104</f>
        <v>0</v>
      </c>
      <c r="L104" s="184"/>
      <c r="M104" s="184"/>
      <c r="N104" s="171"/>
      <c r="O104" s="59"/>
      <c r="P104" s="458"/>
      <c r="Q104" s="458"/>
      <c r="R104" s="458"/>
      <c r="S104" s="458"/>
      <c r="T104" s="797"/>
      <c r="U104" s="458"/>
      <c r="V104" s="458"/>
      <c r="W104" s="458"/>
      <c r="X104" s="459"/>
    </row>
    <row r="105" spans="2:24" ht="13.5" customHeight="1" thickBot="1">
      <c r="B105" s="668"/>
      <c r="C105" s="699"/>
      <c r="D105" s="678"/>
      <c r="E105" s="794" t="s">
        <v>88</v>
      </c>
      <c r="F105" s="185">
        <f>'Comprehensive Budget'!H105</f>
        <v>0</v>
      </c>
      <c r="G105" s="171"/>
      <c r="H105" s="59"/>
      <c r="I105" s="179"/>
      <c r="J105" s="202"/>
      <c r="K105" s="723">
        <f>F105-J105</f>
        <v>0</v>
      </c>
      <c r="L105" s="184"/>
      <c r="M105" s="312"/>
      <c r="N105" s="171"/>
      <c r="O105" s="59"/>
      <c r="P105" s="458"/>
      <c r="Q105" s="458"/>
      <c r="R105" s="458"/>
      <c r="S105" s="458"/>
      <c r="T105" s="797"/>
      <c r="U105" s="458"/>
      <c r="V105" s="458"/>
      <c r="W105" s="458"/>
      <c r="X105" s="459"/>
    </row>
    <row r="106" spans="2:24" ht="13.5" customHeight="1">
      <c r="B106" s="668"/>
      <c r="C106" s="699"/>
      <c r="D106" s="678"/>
      <c r="E106" s="737" t="s">
        <v>331</v>
      </c>
      <c r="F106" s="185">
        <f>'Comprehensive Budget'!H106</f>
        <v>0</v>
      </c>
      <c r="G106" s="171"/>
      <c r="H106" s="59"/>
      <c r="I106" s="179"/>
      <c r="J106" s="201">
        <v>0</v>
      </c>
      <c r="K106" s="723">
        <f>F106-J106</f>
        <v>0</v>
      </c>
      <c r="L106" s="184"/>
      <c r="M106" s="184"/>
      <c r="N106" s="171"/>
      <c r="O106" s="59"/>
      <c r="P106" s="458"/>
      <c r="Q106" s="458"/>
      <c r="R106" s="458"/>
      <c r="S106" s="458"/>
      <c r="T106" s="797"/>
      <c r="U106" s="458"/>
      <c r="V106" s="458"/>
      <c r="W106" s="458"/>
      <c r="X106" s="459"/>
    </row>
    <row r="107" spans="2:24" ht="5.25" customHeight="1">
      <c r="B107" s="668"/>
      <c r="C107" s="699"/>
      <c r="D107" s="678"/>
      <c r="E107" s="138"/>
      <c r="F107" s="183"/>
      <c r="G107" s="171"/>
      <c r="H107" s="59"/>
      <c r="I107" s="179"/>
      <c r="J107" s="143"/>
      <c r="K107" s="184"/>
      <c r="L107" s="184"/>
      <c r="M107" s="184"/>
      <c r="N107" s="171"/>
      <c r="O107" s="59"/>
      <c r="P107" s="458"/>
      <c r="Q107" s="458"/>
      <c r="R107" s="458"/>
      <c r="S107" s="458"/>
      <c r="T107" s="797"/>
      <c r="U107" s="458"/>
      <c r="V107" s="458"/>
      <c r="W107" s="458"/>
      <c r="X107" s="459"/>
    </row>
    <row r="108" spans="2:24" ht="13.5" customHeight="1">
      <c r="B108" s="668"/>
      <c r="C108" s="699"/>
      <c r="D108" s="710" t="s">
        <v>45</v>
      </c>
      <c r="E108" s="777"/>
      <c r="F108" s="203"/>
      <c r="G108" s="171"/>
      <c r="H108" s="59"/>
      <c r="I108" s="179"/>
      <c r="J108" s="223"/>
      <c r="K108" s="778"/>
      <c r="L108" s="778"/>
      <c r="M108" s="778"/>
      <c r="N108" s="171"/>
      <c r="O108" s="59"/>
      <c r="P108" s="458"/>
      <c r="Q108" s="458"/>
      <c r="R108" s="458"/>
      <c r="S108" s="458"/>
      <c r="T108" s="797"/>
      <c r="U108" s="458"/>
      <c r="V108" s="458"/>
      <c r="W108" s="458"/>
      <c r="X108" s="459"/>
    </row>
    <row r="109" spans="2:24" ht="5.25" customHeight="1">
      <c r="B109" s="668"/>
      <c r="C109" s="699"/>
      <c r="D109" s="678"/>
      <c r="E109" s="357"/>
      <c r="F109" s="184"/>
      <c r="G109" s="171"/>
      <c r="H109" s="59"/>
      <c r="I109" s="179"/>
      <c r="J109" s="143"/>
      <c r="K109" s="184"/>
      <c r="L109" s="184"/>
      <c r="M109" s="184"/>
      <c r="N109" s="171"/>
      <c r="O109" s="59"/>
      <c r="P109" s="458"/>
      <c r="Q109" s="458"/>
      <c r="R109" s="458"/>
      <c r="S109" s="458"/>
      <c r="T109" s="797"/>
      <c r="U109" s="458"/>
      <c r="V109" s="458"/>
      <c r="W109" s="458"/>
      <c r="X109" s="459"/>
    </row>
    <row r="110" spans="2:24" ht="13.5" customHeight="1">
      <c r="B110" s="668"/>
      <c r="C110" s="699"/>
      <c r="D110" s="678"/>
      <c r="E110" s="794" t="s">
        <v>211</v>
      </c>
      <c r="F110" s="185">
        <f>'Comprehensive Budget'!H110</f>
        <v>0</v>
      </c>
      <c r="G110" s="171"/>
      <c r="H110" s="59"/>
      <c r="I110" s="179"/>
      <c r="J110" s="222">
        <f>F110</f>
        <v>0</v>
      </c>
      <c r="K110" s="723">
        <f>F110-J110</f>
        <v>0</v>
      </c>
      <c r="L110" s="184"/>
      <c r="M110" s="184"/>
      <c r="N110" s="171"/>
      <c r="O110" s="59"/>
      <c r="P110" s="458"/>
      <c r="Q110" s="458"/>
      <c r="R110" s="458"/>
      <c r="S110" s="458"/>
      <c r="T110" s="797"/>
      <c r="U110" s="458"/>
      <c r="V110" s="458"/>
      <c r="W110" s="458"/>
      <c r="X110" s="459"/>
    </row>
    <row r="111" spans="2:24" ht="13.5" customHeight="1" thickBot="1">
      <c r="B111" s="668"/>
      <c r="C111" s="699"/>
      <c r="D111" s="678"/>
      <c r="E111" s="794" t="s">
        <v>117</v>
      </c>
      <c r="F111" s="185">
        <f>'Comprehensive Budget'!H111</f>
        <v>0</v>
      </c>
      <c r="G111" s="171"/>
      <c r="H111" s="59"/>
      <c r="I111" s="179"/>
      <c r="J111" s="202"/>
      <c r="K111" s="723">
        <f>F111-J111</f>
        <v>0</v>
      </c>
      <c r="L111" s="184"/>
      <c r="M111" s="312"/>
      <c r="N111" s="171"/>
      <c r="O111" s="59"/>
      <c r="P111" s="458"/>
      <c r="Q111" s="458"/>
      <c r="R111" s="458"/>
      <c r="S111" s="458"/>
      <c r="T111" s="797"/>
      <c r="U111" s="458"/>
      <c r="V111" s="458"/>
      <c r="W111" s="458"/>
      <c r="X111" s="459"/>
    </row>
    <row r="112" spans="2:24" ht="13.5" customHeight="1">
      <c r="B112" s="668"/>
      <c r="C112" s="699"/>
      <c r="D112" s="678"/>
      <c r="E112" s="737" t="s">
        <v>331</v>
      </c>
      <c r="F112" s="185">
        <f>'Comprehensive Budget'!H112</f>
        <v>0</v>
      </c>
      <c r="G112" s="171"/>
      <c r="H112" s="59"/>
      <c r="I112" s="179"/>
      <c r="J112" s="201">
        <v>0</v>
      </c>
      <c r="K112" s="723">
        <f>F112-J112</f>
        <v>0</v>
      </c>
      <c r="L112" s="184"/>
      <c r="M112" s="184"/>
      <c r="N112" s="171"/>
      <c r="O112" s="59"/>
      <c r="P112" s="458"/>
      <c r="Q112" s="458"/>
      <c r="R112" s="458"/>
      <c r="S112" s="458"/>
      <c r="T112" s="797"/>
      <c r="U112" s="458"/>
      <c r="V112" s="458"/>
      <c r="W112" s="458"/>
      <c r="X112" s="459"/>
    </row>
    <row r="113" spans="2:24" ht="5.25" customHeight="1">
      <c r="B113" s="668"/>
      <c r="C113" s="699"/>
      <c r="D113" s="678"/>
      <c r="E113" s="138"/>
      <c r="F113" s="184"/>
      <c r="G113" s="171"/>
      <c r="H113" s="59"/>
      <c r="I113" s="179"/>
      <c r="J113" s="143"/>
      <c r="K113" s="184"/>
      <c r="L113" s="184"/>
      <c r="M113" s="184"/>
      <c r="N113" s="171"/>
      <c r="O113" s="59"/>
      <c r="P113" s="458"/>
      <c r="Q113" s="458"/>
      <c r="R113" s="458"/>
      <c r="S113" s="458"/>
      <c r="T113" s="797"/>
      <c r="U113" s="458"/>
      <c r="V113" s="458"/>
      <c r="W113" s="458"/>
      <c r="X113" s="459"/>
    </row>
    <row r="114" spans="2:24" ht="13.5" customHeight="1">
      <c r="B114" s="668"/>
      <c r="C114" s="699"/>
      <c r="D114" s="710" t="s">
        <v>289</v>
      </c>
      <c r="E114" s="777"/>
      <c r="F114" s="203"/>
      <c r="G114" s="171"/>
      <c r="H114" s="59"/>
      <c r="I114" s="179"/>
      <c r="J114" s="223"/>
      <c r="K114" s="778"/>
      <c r="L114" s="778"/>
      <c r="M114" s="778"/>
      <c r="N114" s="171"/>
      <c r="O114" s="59"/>
      <c r="P114" s="458"/>
      <c r="Q114" s="458"/>
      <c r="R114" s="458"/>
      <c r="S114" s="458"/>
      <c r="T114" s="458"/>
      <c r="U114" s="458"/>
      <c r="V114" s="458"/>
      <c r="W114" s="458"/>
      <c r="X114" s="459"/>
    </row>
    <row r="115" spans="2:24" ht="5.25" customHeight="1">
      <c r="B115" s="668"/>
      <c r="C115" s="699"/>
      <c r="D115" s="678"/>
      <c r="E115" s="357"/>
      <c r="F115" s="184"/>
      <c r="G115" s="171"/>
      <c r="H115" s="59"/>
      <c r="I115" s="179"/>
      <c r="J115" s="143"/>
      <c r="K115" s="184"/>
      <c r="L115" s="184"/>
      <c r="M115" s="184"/>
      <c r="N115" s="171"/>
      <c r="O115" s="59"/>
      <c r="P115" s="458"/>
      <c r="Q115" s="458"/>
      <c r="R115" s="458"/>
      <c r="S115" s="458"/>
      <c r="T115" s="458"/>
      <c r="U115" s="458"/>
      <c r="V115" s="458"/>
      <c r="W115" s="458"/>
      <c r="X115" s="459"/>
    </row>
    <row r="116" spans="2:24" ht="13.5" customHeight="1">
      <c r="B116" s="668"/>
      <c r="C116" s="699"/>
      <c r="D116" s="678"/>
      <c r="E116" s="186" t="s">
        <v>204</v>
      </c>
      <c r="F116" s="185">
        <f>'Comprehensive Budget'!H116</f>
        <v>0</v>
      </c>
      <c r="G116" s="171"/>
      <c r="H116" s="59"/>
      <c r="I116" s="179"/>
      <c r="J116" s="222">
        <f>F116</f>
        <v>0</v>
      </c>
      <c r="K116" s="723">
        <f>F116-J116</f>
        <v>0</v>
      </c>
      <c r="L116" s="184"/>
      <c r="M116" s="184"/>
      <c r="N116" s="171"/>
      <c r="O116" s="59"/>
      <c r="P116" s="458"/>
      <c r="Q116" s="458"/>
      <c r="R116" s="458"/>
      <c r="S116" s="458"/>
      <c r="T116" s="458"/>
      <c r="U116" s="458"/>
      <c r="V116" s="458"/>
      <c r="W116" s="458"/>
      <c r="X116" s="459"/>
    </row>
    <row r="117" spans="2:24" ht="13.5" customHeight="1">
      <c r="B117" s="668"/>
      <c r="C117" s="699"/>
      <c r="D117" s="678"/>
      <c r="E117" s="186" t="s">
        <v>205</v>
      </c>
      <c r="F117" s="185">
        <f>'Comprehensive Budget'!H117</f>
        <v>0</v>
      </c>
      <c r="G117" s="171"/>
      <c r="H117" s="59"/>
      <c r="I117" s="179"/>
      <c r="J117" s="222">
        <f>F117</f>
        <v>0</v>
      </c>
      <c r="K117" s="723">
        <f>F117-J117</f>
        <v>0</v>
      </c>
      <c r="L117" s="184"/>
      <c r="M117" s="184"/>
      <c r="N117" s="171"/>
      <c r="O117" s="59"/>
      <c r="P117" s="458"/>
      <c r="Q117" s="458"/>
      <c r="R117" s="458"/>
      <c r="S117" s="458"/>
      <c r="T117" s="458"/>
      <c r="U117" s="458"/>
      <c r="V117" s="458"/>
      <c r="W117" s="458"/>
      <c r="X117" s="459"/>
    </row>
    <row r="118" spans="2:24" ht="13.5" customHeight="1" thickBot="1">
      <c r="B118" s="668"/>
      <c r="C118" s="699"/>
      <c r="D118" s="678"/>
      <c r="E118" s="186" t="s">
        <v>300</v>
      </c>
      <c r="F118" s="185">
        <f>'Comprehensive Budget'!H118</f>
        <v>0</v>
      </c>
      <c r="G118" s="171"/>
      <c r="H118" s="59"/>
      <c r="I118" s="179"/>
      <c r="J118" s="202"/>
      <c r="K118" s="723">
        <f>F118-J118</f>
        <v>0</v>
      </c>
      <c r="L118" s="184"/>
      <c r="M118" s="312"/>
      <c r="N118" s="171"/>
      <c r="O118" s="59"/>
      <c r="P118" s="458"/>
      <c r="Q118" s="458"/>
      <c r="R118" s="458"/>
      <c r="S118" s="458"/>
      <c r="T118" s="458"/>
      <c r="U118" s="458"/>
      <c r="V118" s="458"/>
      <c r="W118" s="458"/>
      <c r="X118" s="459"/>
    </row>
    <row r="119" spans="2:24" ht="13.5" customHeight="1">
      <c r="B119" s="668"/>
      <c r="C119" s="699"/>
      <c r="D119" s="678"/>
      <c r="E119" s="737" t="s">
        <v>331</v>
      </c>
      <c r="F119" s="185">
        <f>'Comprehensive Budget'!H119</f>
        <v>0</v>
      </c>
      <c r="G119" s="171"/>
      <c r="H119" s="59"/>
      <c r="I119" s="179"/>
      <c r="J119" s="201">
        <v>0</v>
      </c>
      <c r="K119" s="723">
        <f>F119-J119</f>
        <v>0</v>
      </c>
      <c r="L119" s="184"/>
      <c r="M119" s="184"/>
      <c r="N119" s="171"/>
      <c r="O119" s="59"/>
      <c r="P119" s="458"/>
      <c r="Q119" s="458"/>
      <c r="R119" s="458"/>
      <c r="S119" s="458"/>
      <c r="T119" s="458"/>
      <c r="U119" s="458"/>
      <c r="V119" s="458"/>
      <c r="W119" s="458"/>
      <c r="X119" s="799"/>
    </row>
    <row r="120" spans="2:24" ht="5.25" customHeight="1">
      <c r="B120" s="668"/>
      <c r="C120" s="699"/>
      <c r="D120" s="678"/>
      <c r="E120" s="138"/>
      <c r="F120" s="184"/>
      <c r="G120" s="171"/>
      <c r="H120" s="59"/>
      <c r="I120" s="179"/>
      <c r="J120" s="143"/>
      <c r="K120" s="184"/>
      <c r="L120" s="184"/>
      <c r="M120" s="184"/>
      <c r="N120" s="171"/>
      <c r="O120" s="59"/>
      <c r="P120" s="458"/>
      <c r="Q120" s="458"/>
      <c r="R120" s="458"/>
      <c r="S120" s="458"/>
      <c r="T120" s="458"/>
      <c r="U120" s="458"/>
      <c r="V120" s="458"/>
      <c r="W120" s="458"/>
      <c r="X120" s="800"/>
    </row>
    <row r="121" spans="2:24" ht="13.5" customHeight="1">
      <c r="B121" s="668"/>
      <c r="C121" s="699"/>
      <c r="D121" s="710" t="s">
        <v>46</v>
      </c>
      <c r="E121" s="777"/>
      <c r="F121" s="203"/>
      <c r="G121" s="171"/>
      <c r="H121" s="59"/>
      <c r="I121" s="179"/>
      <c r="J121" s="223"/>
      <c r="K121" s="778"/>
      <c r="L121" s="778"/>
      <c r="M121" s="778"/>
      <c r="N121" s="171"/>
      <c r="O121" s="59"/>
      <c r="P121" s="458"/>
      <c r="Q121" s="458"/>
      <c r="R121" s="458"/>
      <c r="S121" s="798"/>
      <c r="T121" s="798"/>
      <c r="U121" s="798"/>
      <c r="V121" s="458"/>
      <c r="W121" s="458"/>
      <c r="X121" s="801"/>
    </row>
    <row r="122" spans="2:24" ht="5.25" customHeight="1">
      <c r="B122" s="668"/>
      <c r="C122" s="699"/>
      <c r="D122" s="678"/>
      <c r="E122" s="357"/>
      <c r="F122" s="184"/>
      <c r="G122" s="171"/>
      <c r="H122" s="59"/>
      <c r="I122" s="179"/>
      <c r="J122" s="143"/>
      <c r="K122" s="184"/>
      <c r="L122" s="184"/>
      <c r="M122" s="184"/>
      <c r="N122" s="171"/>
      <c r="O122" s="59"/>
      <c r="P122" s="458"/>
      <c r="Q122" s="458"/>
      <c r="R122" s="458"/>
      <c r="S122" s="798"/>
      <c r="T122" s="798"/>
      <c r="U122" s="798"/>
      <c r="V122" s="458"/>
      <c r="W122" s="458"/>
      <c r="X122" s="799"/>
    </row>
    <row r="123" spans="2:24" ht="13.5" customHeight="1" thickBot="1">
      <c r="B123" s="668"/>
      <c r="C123" s="699"/>
      <c r="D123" s="678"/>
      <c r="E123" s="186" t="s">
        <v>46</v>
      </c>
      <c r="F123" s="185">
        <f>'Comprehensive Budget'!H123</f>
        <v>0</v>
      </c>
      <c r="G123" s="171"/>
      <c r="H123" s="59"/>
      <c r="I123" s="179"/>
      <c r="J123" s="220"/>
      <c r="K123" s="723">
        <f>F123-J123</f>
        <v>0</v>
      </c>
      <c r="L123" s="184"/>
      <c r="M123" s="312"/>
      <c r="N123" s="171"/>
      <c r="O123" s="59"/>
      <c r="P123" s="458"/>
      <c r="Q123" s="458"/>
      <c r="R123" s="458"/>
      <c r="S123" s="798"/>
      <c r="T123" s="798"/>
      <c r="U123" s="798"/>
      <c r="V123" s="458"/>
      <c r="W123" s="458"/>
      <c r="X123" s="628"/>
    </row>
    <row r="124" spans="2:24" ht="13.5" customHeight="1">
      <c r="B124" s="668"/>
      <c r="C124" s="699"/>
      <c r="D124" s="678"/>
      <c r="E124" s="737" t="s">
        <v>331</v>
      </c>
      <c r="F124" s="185">
        <f>'Comprehensive Budget'!H124</f>
        <v>0</v>
      </c>
      <c r="G124" s="171"/>
      <c r="H124" s="59"/>
      <c r="I124" s="179"/>
      <c r="J124" s="201">
        <v>0</v>
      </c>
      <c r="K124" s="723">
        <f>F124-J124</f>
        <v>0</v>
      </c>
      <c r="L124" s="184"/>
      <c r="M124" s="184"/>
      <c r="N124" s="171"/>
      <c r="O124" s="59"/>
      <c r="P124" s="458"/>
      <c r="Q124" s="458"/>
      <c r="R124" s="458"/>
      <c r="S124" s="458"/>
      <c r="T124" s="458"/>
      <c r="U124" s="458"/>
      <c r="V124" s="458"/>
      <c r="W124" s="458"/>
      <c r="X124" s="799"/>
    </row>
    <row r="125" spans="2:24" ht="5.25" customHeight="1">
      <c r="B125" s="668"/>
      <c r="C125" s="699"/>
      <c r="D125" s="678"/>
      <c r="E125" s="138"/>
      <c r="F125" s="184"/>
      <c r="G125" s="171"/>
      <c r="H125" s="59"/>
      <c r="I125" s="179"/>
      <c r="J125" s="143"/>
      <c r="K125" s="184"/>
      <c r="L125" s="184"/>
      <c r="M125" s="184"/>
      <c r="N125" s="171"/>
      <c r="O125" s="59"/>
      <c r="P125" s="458"/>
      <c r="Q125" s="458"/>
      <c r="R125" s="458"/>
      <c r="S125" s="458"/>
      <c r="T125" s="458"/>
      <c r="U125" s="458"/>
      <c r="V125" s="458"/>
      <c r="W125" s="458"/>
      <c r="X125" s="459"/>
    </row>
    <row r="126" spans="2:24" ht="13.5" customHeight="1">
      <c r="B126" s="668"/>
      <c r="C126" s="699"/>
      <c r="D126" s="710" t="s">
        <v>47</v>
      </c>
      <c r="E126" s="777"/>
      <c r="F126" s="203"/>
      <c r="G126" s="171"/>
      <c r="H126" s="59"/>
      <c r="I126" s="179"/>
      <c r="J126" s="223"/>
      <c r="K126" s="778"/>
      <c r="L126" s="778"/>
      <c r="M126" s="778"/>
      <c r="N126" s="171"/>
      <c r="O126" s="59"/>
      <c r="P126" s="458"/>
      <c r="Q126" s="458"/>
      <c r="R126" s="458"/>
      <c r="S126" s="458"/>
      <c r="T126" s="458"/>
      <c r="U126" s="458"/>
      <c r="V126" s="458"/>
      <c r="W126" s="458"/>
      <c r="X126" s="800"/>
    </row>
    <row r="127" spans="2:24" ht="5.25" customHeight="1">
      <c r="B127" s="668"/>
      <c r="C127" s="699"/>
      <c r="D127" s="678"/>
      <c r="E127" s="357"/>
      <c r="F127" s="184"/>
      <c r="G127" s="171"/>
      <c r="H127" s="59"/>
      <c r="I127" s="179"/>
      <c r="J127" s="143"/>
      <c r="K127" s="184"/>
      <c r="L127" s="184"/>
      <c r="M127" s="184"/>
      <c r="N127" s="171"/>
      <c r="O127" s="59"/>
      <c r="P127" s="458"/>
      <c r="Q127" s="458"/>
      <c r="R127" s="458"/>
      <c r="S127" s="458"/>
      <c r="T127" s="458"/>
      <c r="U127" s="458"/>
      <c r="V127" s="458"/>
      <c r="W127" s="458"/>
      <c r="X127" s="800"/>
    </row>
    <row r="128" spans="2:24" ht="13.5" customHeight="1">
      <c r="B128" s="668"/>
      <c r="C128" s="699"/>
      <c r="D128" s="678"/>
      <c r="E128" s="186" t="str">
        <f>'Comprehensive Budget'!E128</f>
        <v>xxx</v>
      </c>
      <c r="F128" s="185">
        <f>'Comprehensive Budget'!H128</f>
        <v>0</v>
      </c>
      <c r="G128" s="171"/>
      <c r="H128" s="59"/>
      <c r="I128" s="179"/>
      <c r="J128" s="220"/>
      <c r="K128" s="802">
        <f>F128-J128</f>
        <v>0</v>
      </c>
      <c r="L128" s="184"/>
      <c r="M128" s="315"/>
      <c r="N128" s="171"/>
      <c r="O128" s="59"/>
      <c r="P128" s="458"/>
      <c r="Q128" s="458"/>
      <c r="R128" s="458"/>
      <c r="S128" s="458"/>
      <c r="T128" s="458"/>
      <c r="U128" s="458"/>
      <c r="V128" s="458"/>
      <c r="W128" s="458"/>
      <c r="X128" s="800"/>
    </row>
    <row r="129" spans="2:24" ht="13.5" customHeight="1">
      <c r="B129" s="668"/>
      <c r="C129" s="699"/>
      <c r="D129" s="678"/>
      <c r="E129" s="186" t="str">
        <f>'Comprehensive Budget'!E129</f>
        <v>xxx</v>
      </c>
      <c r="F129" s="185">
        <f>'Comprehensive Budget'!H129</f>
        <v>0</v>
      </c>
      <c r="G129" s="171"/>
      <c r="H129" s="59"/>
      <c r="I129" s="179"/>
      <c r="J129" s="206"/>
      <c r="K129" s="748">
        <f>F129-J129</f>
        <v>0</v>
      </c>
      <c r="L129" s="803"/>
      <c r="M129" s="313"/>
      <c r="N129" s="171"/>
      <c r="O129" s="59"/>
      <c r="P129" s="458"/>
      <c r="Q129" s="458"/>
      <c r="R129" s="458"/>
      <c r="S129" s="458"/>
      <c r="T129" s="458"/>
      <c r="U129" s="458"/>
      <c r="V129" s="458"/>
      <c r="W129" s="458"/>
      <c r="X129" s="800"/>
    </row>
    <row r="130" spans="2:24" ht="13.5" customHeight="1" thickBot="1">
      <c r="B130" s="668"/>
      <c r="C130" s="699"/>
      <c r="D130" s="678"/>
      <c r="E130" s="804" t="str">
        <f>'Comprehensive Budget'!E130</f>
        <v>xxx</v>
      </c>
      <c r="F130" s="185">
        <f>'Comprehensive Budget'!H130</f>
        <v>0</v>
      </c>
      <c r="G130" s="171"/>
      <c r="H130" s="59"/>
      <c r="I130" s="179"/>
      <c r="J130" s="219"/>
      <c r="K130" s="748">
        <f>F130-J130</f>
        <v>0</v>
      </c>
      <c r="L130" s="184"/>
      <c r="M130" s="316"/>
      <c r="N130" s="171"/>
      <c r="O130" s="59"/>
      <c r="P130" s="458"/>
      <c r="Q130" s="458"/>
      <c r="R130" s="458"/>
      <c r="S130" s="458"/>
      <c r="T130" s="458"/>
      <c r="U130" s="458"/>
      <c r="V130" s="458"/>
      <c r="W130" s="458"/>
      <c r="X130" s="800"/>
    </row>
    <row r="131" spans="2:25" ht="13.5" customHeight="1">
      <c r="B131" s="668"/>
      <c r="C131" s="699"/>
      <c r="D131" s="678"/>
      <c r="E131" s="737" t="s">
        <v>331</v>
      </c>
      <c r="F131" s="185">
        <f>'Comprehensive Budget'!H131</f>
        <v>0</v>
      </c>
      <c r="G131" s="171"/>
      <c r="H131" s="59"/>
      <c r="I131" s="179"/>
      <c r="J131" s="205">
        <v>0</v>
      </c>
      <c r="K131" s="723">
        <f>F131-J131</f>
        <v>0</v>
      </c>
      <c r="L131" s="184"/>
      <c r="M131" s="184"/>
      <c r="N131" s="171"/>
      <c r="O131" s="59"/>
      <c r="P131" s="458"/>
      <c r="Q131" s="458"/>
      <c r="R131" s="458"/>
      <c r="S131" s="458"/>
      <c r="T131" s="458"/>
      <c r="U131" s="458"/>
      <c r="V131" s="458"/>
      <c r="W131" s="458"/>
      <c r="X131" s="800"/>
      <c r="Y131" s="805"/>
    </row>
    <row r="132" spans="2:24" ht="5.25" customHeight="1">
      <c r="B132" s="668"/>
      <c r="C132" s="699"/>
      <c r="D132" s="678"/>
      <c r="E132" s="138"/>
      <c r="F132" s="184"/>
      <c r="G132" s="171"/>
      <c r="H132" s="59"/>
      <c r="I132" s="179"/>
      <c r="J132" s="143"/>
      <c r="K132" s="184"/>
      <c r="L132" s="184"/>
      <c r="M132" s="184"/>
      <c r="N132" s="171"/>
      <c r="O132" s="59"/>
      <c r="P132" s="458"/>
      <c r="Q132" s="458"/>
      <c r="R132" s="458"/>
      <c r="S132" s="458"/>
      <c r="T132" s="458"/>
      <c r="U132" s="458"/>
      <c r="V132" s="458"/>
      <c r="W132" s="458"/>
      <c r="X132" s="800"/>
    </row>
    <row r="133" spans="2:24" ht="13.5" customHeight="1">
      <c r="B133" s="668"/>
      <c r="C133" s="699"/>
      <c r="D133" s="710" t="s">
        <v>114</v>
      </c>
      <c r="E133" s="777"/>
      <c r="F133" s="203"/>
      <c r="G133" s="171"/>
      <c r="H133" s="59"/>
      <c r="I133" s="179"/>
      <c r="J133" s="223"/>
      <c r="K133" s="778"/>
      <c r="L133" s="778"/>
      <c r="M133" s="778"/>
      <c r="N133" s="171"/>
      <c r="O133" s="59"/>
      <c r="P133" s="458"/>
      <c r="Q133" s="458"/>
      <c r="R133" s="458"/>
      <c r="S133" s="458"/>
      <c r="T133" s="458"/>
      <c r="U133" s="458"/>
      <c r="V133" s="458"/>
      <c r="W133" s="458"/>
      <c r="X133" s="800"/>
    </row>
    <row r="134" spans="2:24" ht="5.25" customHeight="1">
      <c r="B134" s="668"/>
      <c r="C134" s="699"/>
      <c r="D134" s="678"/>
      <c r="E134" s="357"/>
      <c r="F134" s="183"/>
      <c r="G134" s="171"/>
      <c r="H134" s="59"/>
      <c r="I134" s="179"/>
      <c r="J134" s="143"/>
      <c r="K134" s="184"/>
      <c r="L134" s="184"/>
      <c r="M134" s="184"/>
      <c r="N134" s="171"/>
      <c r="O134" s="59"/>
      <c r="P134" s="458"/>
      <c r="Q134" s="458"/>
      <c r="R134" s="458"/>
      <c r="S134" s="458"/>
      <c r="T134" s="458"/>
      <c r="U134" s="458"/>
      <c r="V134" s="458"/>
      <c r="W134" s="458"/>
      <c r="X134" s="800"/>
    </row>
    <row r="135" spans="2:24" ht="13.5" customHeight="1">
      <c r="B135" s="668"/>
      <c r="C135" s="699"/>
      <c r="D135" s="678"/>
      <c r="E135" s="186" t="str">
        <f>'Comprehensive Budget'!E135</f>
        <v>Interest Earnings</v>
      </c>
      <c r="F135" s="185">
        <f>'Comprehensive Budget'!H135</f>
        <v>0</v>
      </c>
      <c r="G135" s="171"/>
      <c r="H135" s="59"/>
      <c r="I135" s="179"/>
      <c r="J135" s="552">
        <v>0</v>
      </c>
      <c r="K135" s="748">
        <f>F135-J135</f>
        <v>0</v>
      </c>
      <c r="L135" s="184"/>
      <c r="M135" s="549"/>
      <c r="N135" s="171"/>
      <c r="O135" s="59"/>
      <c r="P135" s="458"/>
      <c r="Q135" s="458"/>
      <c r="R135" s="458"/>
      <c r="S135" s="458"/>
      <c r="T135" s="458"/>
      <c r="U135" s="458"/>
      <c r="V135" s="458"/>
      <c r="W135" s="458"/>
      <c r="X135" s="800"/>
    </row>
    <row r="136" spans="2:24" ht="13.5" customHeight="1">
      <c r="B136" s="668"/>
      <c r="C136" s="699"/>
      <c r="D136" s="678"/>
      <c r="E136" s="186" t="str">
        <f>'Comprehensive Budget'!E136</f>
        <v>xxxx</v>
      </c>
      <c r="F136" s="185">
        <f>'Comprehensive Budget'!H136</f>
        <v>0</v>
      </c>
      <c r="G136" s="171"/>
      <c r="H136" s="59"/>
      <c r="I136" s="179"/>
      <c r="J136" s="551"/>
      <c r="K136" s="748">
        <f>F136-J136</f>
        <v>0</v>
      </c>
      <c r="L136" s="803"/>
      <c r="M136" s="549"/>
      <c r="N136" s="171"/>
      <c r="O136" s="59"/>
      <c r="P136" s="458"/>
      <c r="Q136" s="458"/>
      <c r="R136" s="458"/>
      <c r="S136" s="458"/>
      <c r="T136" s="458"/>
      <c r="U136" s="458"/>
      <c r="V136" s="458"/>
      <c r="W136" s="458"/>
      <c r="X136" s="800"/>
    </row>
    <row r="137" spans="2:24" ht="13.5" customHeight="1" thickBot="1">
      <c r="B137" s="668"/>
      <c r="C137" s="699"/>
      <c r="D137" s="678"/>
      <c r="E137" s="804" t="str">
        <f>'Comprehensive Budget'!E137</f>
        <v>xxxx</v>
      </c>
      <c r="F137" s="185">
        <f>'Comprehensive Budget'!H137</f>
        <v>0</v>
      </c>
      <c r="G137" s="171"/>
      <c r="H137" s="59"/>
      <c r="I137" s="179"/>
      <c r="J137" s="219"/>
      <c r="K137" s="748">
        <f>F137-J137</f>
        <v>0</v>
      </c>
      <c r="L137" s="184"/>
      <c r="M137" s="316"/>
      <c r="N137" s="171"/>
      <c r="O137" s="59"/>
      <c r="P137" s="458"/>
      <c r="Q137" s="458"/>
      <c r="R137" s="458"/>
      <c r="S137" s="806"/>
      <c r="T137" s="806"/>
      <c r="U137" s="806"/>
      <c r="V137" s="806"/>
      <c r="W137" s="806"/>
      <c r="X137" s="800"/>
    </row>
    <row r="138" spans="2:25" ht="13.5" customHeight="1">
      <c r="B138" s="668"/>
      <c r="C138" s="699"/>
      <c r="D138" s="678"/>
      <c r="E138" s="737" t="s">
        <v>331</v>
      </c>
      <c r="F138" s="185">
        <f>'Comprehensive Budget'!H138</f>
        <v>0</v>
      </c>
      <c r="G138" s="171"/>
      <c r="H138" s="59"/>
      <c r="I138" s="179"/>
      <c r="J138" s="205">
        <v>0</v>
      </c>
      <c r="K138" s="723">
        <f>F138-J138</f>
        <v>0</v>
      </c>
      <c r="L138" s="184"/>
      <c r="M138" s="184"/>
      <c r="N138" s="171"/>
      <c r="O138" s="59"/>
      <c r="P138" s="458"/>
      <c r="Q138" s="458"/>
      <c r="R138" s="458"/>
      <c r="S138" s="458"/>
      <c r="T138" s="458"/>
      <c r="U138" s="458"/>
      <c r="V138" s="458"/>
      <c r="W138" s="458"/>
      <c r="X138" s="800"/>
      <c r="Y138" s="805"/>
    </row>
    <row r="139" spans="2:24" ht="5.25" customHeight="1">
      <c r="B139" s="668"/>
      <c r="C139" s="699"/>
      <c r="D139" s="678"/>
      <c r="E139" s="138"/>
      <c r="F139" s="562"/>
      <c r="G139" s="171"/>
      <c r="H139" s="59"/>
      <c r="I139" s="179"/>
      <c r="J139" s="143"/>
      <c r="K139" s="184"/>
      <c r="L139" s="184"/>
      <c r="M139" s="184"/>
      <c r="N139" s="171"/>
      <c r="O139" s="59"/>
      <c r="P139" s="458"/>
      <c r="Q139" s="458"/>
      <c r="R139" s="458"/>
      <c r="S139" s="806"/>
      <c r="T139" s="806"/>
      <c r="U139" s="806"/>
      <c r="V139" s="806"/>
      <c r="W139" s="806"/>
      <c r="X139" s="800"/>
    </row>
    <row r="140" spans="2:24" ht="13.5" customHeight="1">
      <c r="B140" s="668"/>
      <c r="C140" s="699"/>
      <c r="D140" s="807" t="s">
        <v>306</v>
      </c>
      <c r="E140" s="777"/>
      <c r="F140" s="203"/>
      <c r="G140" s="171"/>
      <c r="H140" s="59"/>
      <c r="I140" s="179"/>
      <c r="J140" s="223"/>
      <c r="K140" s="778"/>
      <c r="L140" s="778"/>
      <c r="M140" s="778"/>
      <c r="N140" s="171"/>
      <c r="O140" s="59"/>
      <c r="P140" s="458"/>
      <c r="Q140" s="458"/>
      <c r="R140" s="458"/>
      <c r="S140" s="458"/>
      <c r="T140" s="458"/>
      <c r="U140" s="458"/>
      <c r="V140" s="458"/>
      <c r="W140" s="458"/>
      <c r="X140" s="800"/>
    </row>
    <row r="141" spans="2:24" ht="5.25" customHeight="1">
      <c r="B141" s="668"/>
      <c r="C141" s="699"/>
      <c r="D141" s="678"/>
      <c r="E141" s="808"/>
      <c r="F141" s="184"/>
      <c r="G141" s="171"/>
      <c r="H141" s="59"/>
      <c r="I141" s="179"/>
      <c r="J141" s="143"/>
      <c r="K141" s="184"/>
      <c r="L141" s="184"/>
      <c r="M141" s="184"/>
      <c r="N141" s="171"/>
      <c r="O141" s="59"/>
      <c r="P141" s="458"/>
      <c r="Q141" s="458"/>
      <c r="R141" s="458"/>
      <c r="S141" s="458"/>
      <c r="T141" s="458"/>
      <c r="U141" s="458"/>
      <c r="V141" s="458"/>
      <c r="W141" s="458"/>
      <c r="X141" s="800"/>
    </row>
    <row r="142" spans="2:24" ht="13.5" customHeight="1" thickBot="1">
      <c r="B142" s="668"/>
      <c r="C142" s="699"/>
      <c r="D142" s="678"/>
      <c r="E142" s="186" t="str">
        <f>'Comprehensive Budget'!E142</f>
        <v>Actual or Planned Use of Cash Reserve</v>
      </c>
      <c r="F142" s="185">
        <f>'Comprehensive Budget'!H142</f>
        <v>0</v>
      </c>
      <c r="G142" s="171"/>
      <c r="H142" s="59"/>
      <c r="I142" s="179"/>
      <c r="J142" s="219">
        <v>0</v>
      </c>
      <c r="K142" s="748">
        <f>F142-J142</f>
        <v>0</v>
      </c>
      <c r="L142" s="184"/>
      <c r="M142" s="316"/>
      <c r="N142" s="171"/>
      <c r="O142" s="59"/>
      <c r="P142" s="458"/>
      <c r="Q142" s="458"/>
      <c r="R142" s="458"/>
      <c r="S142" s="458"/>
      <c r="T142" s="458"/>
      <c r="U142" s="458"/>
      <c r="V142" s="458"/>
      <c r="W142" s="458"/>
      <c r="X142" s="800"/>
    </row>
    <row r="143" spans="2:24" ht="3.75" customHeight="1">
      <c r="B143" s="668"/>
      <c r="C143" s="699"/>
      <c r="D143" s="678"/>
      <c r="E143" s="560"/>
      <c r="F143" s="562"/>
      <c r="G143" s="123"/>
      <c r="H143" s="809"/>
      <c r="I143" s="123"/>
      <c r="J143" s="143"/>
      <c r="K143" s="562"/>
      <c r="L143" s="184"/>
      <c r="M143" s="184"/>
      <c r="N143" s="171"/>
      <c r="O143" s="59"/>
      <c r="P143" s="458"/>
      <c r="Q143" s="458"/>
      <c r="R143" s="458"/>
      <c r="S143" s="458"/>
      <c r="T143" s="458"/>
      <c r="U143" s="458"/>
      <c r="V143" s="458"/>
      <c r="W143" s="458"/>
      <c r="X143" s="800"/>
    </row>
    <row r="144" spans="2:24" ht="3" customHeight="1">
      <c r="B144" s="668"/>
      <c r="C144" s="699"/>
      <c r="D144" s="678"/>
      <c r="E144" s="561"/>
      <c r="F144" s="184"/>
      <c r="G144" s="171"/>
      <c r="H144" s="59"/>
      <c r="I144" s="179"/>
      <c r="J144" s="143"/>
      <c r="K144" s="184"/>
      <c r="L144" s="184"/>
      <c r="M144" s="143"/>
      <c r="N144" s="171"/>
      <c r="O144" s="59"/>
      <c r="P144" s="458"/>
      <c r="Q144" s="458"/>
      <c r="R144" s="458"/>
      <c r="S144" s="806"/>
      <c r="T144" s="806"/>
      <c r="U144" s="806"/>
      <c r="V144" s="806"/>
      <c r="W144" s="806"/>
      <c r="X144" s="800"/>
    </row>
    <row r="145" spans="2:24" ht="3.75" customHeight="1" thickBot="1">
      <c r="B145" s="668"/>
      <c r="C145" s="699"/>
      <c r="D145" s="678"/>
      <c r="E145" s="138"/>
      <c r="F145" s="810"/>
      <c r="G145" s="171"/>
      <c r="H145" s="59"/>
      <c r="I145" s="179"/>
      <c r="J145" s="221"/>
      <c r="K145" s="810"/>
      <c r="L145" s="810"/>
      <c r="M145" s="810"/>
      <c r="N145" s="171"/>
      <c r="O145" s="59"/>
      <c r="P145" s="458"/>
      <c r="Q145" s="458"/>
      <c r="R145" s="458"/>
      <c r="S145" s="806"/>
      <c r="T145" s="806"/>
      <c r="U145" s="806"/>
      <c r="V145" s="806"/>
      <c r="W145" s="806"/>
      <c r="X145" s="800"/>
    </row>
    <row r="146" spans="2:24" ht="15" customHeight="1" thickBot="1" thickTop="1">
      <c r="B146" s="668"/>
      <c r="C146" s="699"/>
      <c r="D146" s="678"/>
      <c r="E146" s="811" t="s">
        <v>92</v>
      </c>
      <c r="F146" s="144">
        <f>'Comprehensive Budget'!H147</f>
        <v>0</v>
      </c>
      <c r="G146" s="173"/>
      <c r="H146" s="63"/>
      <c r="I146" s="181"/>
      <c r="J146" s="224">
        <f>SUM(J24:J142)</f>
        <v>0</v>
      </c>
      <c r="K146" s="224">
        <f>SUM(K24:K142)</f>
        <v>0</v>
      </c>
      <c r="L146" s="224"/>
      <c r="M146" s="224">
        <f>SUM(M24:M142)</f>
        <v>0</v>
      </c>
      <c r="N146" s="173"/>
      <c r="O146" s="63"/>
      <c r="P146" s="458"/>
      <c r="Q146" s="458"/>
      <c r="R146" s="458"/>
      <c r="S146" s="806"/>
      <c r="T146" s="806"/>
      <c r="U146" s="806"/>
      <c r="V146" s="806"/>
      <c r="W146" s="806"/>
      <c r="X146" s="800"/>
    </row>
    <row r="147" spans="2:24" ht="15" customHeight="1" thickBot="1" thickTop="1">
      <c r="B147" s="668"/>
      <c r="C147" s="812"/>
      <c r="D147" s="813"/>
      <c r="E147" s="814"/>
      <c r="F147" s="815"/>
      <c r="G147" s="175"/>
      <c r="H147" s="63"/>
      <c r="I147" s="182"/>
      <c r="J147" s="816"/>
      <c r="K147" s="817"/>
      <c r="L147" s="817"/>
      <c r="M147" s="817"/>
      <c r="N147" s="175"/>
      <c r="O147" s="63"/>
      <c r="P147" s="458"/>
      <c r="Q147" s="458"/>
      <c r="R147" s="458"/>
      <c r="S147" s="798"/>
      <c r="T147" s="798"/>
      <c r="U147" s="798"/>
      <c r="V147" s="798"/>
      <c r="W147" s="798"/>
      <c r="X147" s="625"/>
    </row>
    <row r="148" spans="2:24" ht="8.25" customHeight="1">
      <c r="B148" s="668"/>
      <c r="C148" s="458"/>
      <c r="D148" s="655"/>
      <c r="E148" s="818"/>
      <c r="F148" s="63"/>
      <c r="G148" s="63"/>
      <c r="H148" s="63"/>
      <c r="I148" s="63"/>
      <c r="J148" s="819"/>
      <c r="K148" s="458"/>
      <c r="L148" s="458"/>
      <c r="M148" s="458"/>
      <c r="N148" s="458"/>
      <c r="O148" s="458"/>
      <c r="P148" s="820"/>
      <c r="Q148" s="820"/>
      <c r="R148" s="820"/>
      <c r="S148" s="798"/>
      <c r="T148" s="798"/>
      <c r="U148" s="798"/>
      <c r="V148" s="798"/>
      <c r="W148" s="798"/>
      <c r="X148" s="625"/>
    </row>
    <row r="149" spans="2:24" ht="8.25" customHeight="1">
      <c r="B149" s="668"/>
      <c r="C149" s="458"/>
      <c r="D149" s="51"/>
      <c r="E149" s="51"/>
      <c r="F149" s="51"/>
      <c r="G149" s="51"/>
      <c r="H149" s="51"/>
      <c r="I149" s="51"/>
      <c r="J149" s="51"/>
      <c r="K149" s="458"/>
      <c r="L149" s="458"/>
      <c r="M149" s="458"/>
      <c r="N149" s="458"/>
      <c r="O149" s="458"/>
      <c r="P149" s="458"/>
      <c r="Q149" s="458"/>
      <c r="R149" s="458"/>
      <c r="S149" s="798"/>
      <c r="T149" s="798"/>
      <c r="U149" s="798"/>
      <c r="V149" s="798"/>
      <c r="W149" s="798"/>
      <c r="X149" s="625"/>
    </row>
    <row r="150" spans="2:24" ht="5.25" customHeight="1">
      <c r="B150" s="668"/>
      <c r="C150" s="694"/>
      <c r="D150" s="821"/>
      <c r="E150" s="821"/>
      <c r="F150" s="821"/>
      <c r="G150" s="822"/>
      <c r="H150" s="51"/>
      <c r="I150" s="51"/>
      <c r="J150" s="51"/>
      <c r="K150" s="458"/>
      <c r="L150" s="458"/>
      <c r="M150" s="458"/>
      <c r="N150" s="458"/>
      <c r="O150" s="458"/>
      <c r="P150" s="458"/>
      <c r="Q150" s="458"/>
      <c r="R150" s="458"/>
      <c r="S150" s="798"/>
      <c r="T150" s="798"/>
      <c r="U150" s="798"/>
      <c r="V150" s="798"/>
      <c r="W150" s="798"/>
      <c r="X150" s="625"/>
    </row>
    <row r="151" spans="2:24" ht="5.25" customHeight="1">
      <c r="B151" s="668"/>
      <c r="C151" s="699"/>
      <c r="D151" s="357"/>
      <c r="E151" s="357"/>
      <c r="F151" s="357"/>
      <c r="G151" s="358"/>
      <c r="H151" s="51"/>
      <c r="I151" s="51"/>
      <c r="J151" s="51"/>
      <c r="K151" s="458"/>
      <c r="L151" s="458"/>
      <c r="M151" s="458"/>
      <c r="N151" s="458"/>
      <c r="O151" s="458"/>
      <c r="P151" s="458"/>
      <c r="Q151" s="458"/>
      <c r="R151" s="458"/>
      <c r="S151" s="823"/>
      <c r="T151" s="824"/>
      <c r="U151" s="823"/>
      <c r="V151" s="823"/>
      <c r="W151" s="823"/>
      <c r="X151" s="625"/>
    </row>
    <row r="152" spans="2:24" ht="16.5" customHeight="1">
      <c r="B152" s="668"/>
      <c r="C152" s="699"/>
      <c r="D152" s="825" t="s">
        <v>90</v>
      </c>
      <c r="E152" s="826"/>
      <c r="F152" s="826"/>
      <c r="G152" s="827"/>
      <c r="H152" s="828"/>
      <c r="I152" s="828"/>
      <c r="J152" s="458"/>
      <c r="K152" s="458"/>
      <c r="L152" s="458"/>
      <c r="M152" s="829">
        <f>K146-M146</f>
        <v>0</v>
      </c>
      <c r="N152" s="458"/>
      <c r="O152" s="1195"/>
      <c r="P152" s="798"/>
      <c r="Q152" s="830"/>
      <c r="R152" s="830"/>
      <c r="S152" s="831"/>
      <c r="T152" s="633"/>
      <c r="U152" s="633"/>
      <c r="V152" s="633"/>
      <c r="W152" s="633"/>
      <c r="X152" s="625"/>
    </row>
    <row r="153" spans="2:24" ht="5.25" customHeight="1">
      <c r="B153" s="668"/>
      <c r="C153" s="699"/>
      <c r="D153" s="832"/>
      <c r="E153" s="833"/>
      <c r="F153" s="833"/>
      <c r="G153" s="827"/>
      <c r="H153" s="828"/>
      <c r="I153" s="828"/>
      <c r="J153" s="458"/>
      <c r="K153" s="458"/>
      <c r="L153" s="458"/>
      <c r="M153" s="458"/>
      <c r="N153" s="458"/>
      <c r="O153" s="458"/>
      <c r="P153" s="834"/>
      <c r="Q153" s="834"/>
      <c r="R153" s="834"/>
      <c r="S153" s="834"/>
      <c r="T153" s="633"/>
      <c r="U153" s="633"/>
      <c r="V153" s="633"/>
      <c r="W153" s="633"/>
      <c r="X153" s="625"/>
    </row>
    <row r="154" spans="2:24" ht="15" customHeight="1">
      <c r="B154" s="668"/>
      <c r="C154" s="835" t="s">
        <v>141</v>
      </c>
      <c r="D154" s="832"/>
      <c r="E154" s="833"/>
      <c r="F154" s="833"/>
      <c r="G154" s="827"/>
      <c r="H154" s="828"/>
      <c r="I154" s="828"/>
      <c r="J154" s="458"/>
      <c r="K154" s="458"/>
      <c r="L154" s="458"/>
      <c r="M154" s="1623" t="s">
        <v>146</v>
      </c>
      <c r="N154" s="458"/>
      <c r="O154" s="458"/>
      <c r="P154" s="1104"/>
      <c r="Q154" s="1625"/>
      <c r="R154" s="1625"/>
      <c r="S154" s="837"/>
      <c r="T154" s="838"/>
      <c r="U154" s="839"/>
      <c r="V154" s="839"/>
      <c r="W154" s="839"/>
      <c r="X154" s="634"/>
    </row>
    <row r="155" spans="2:24" ht="13.5" customHeight="1">
      <c r="B155" s="668"/>
      <c r="C155" s="699"/>
      <c r="D155" s="840" t="s">
        <v>50</v>
      </c>
      <c r="E155" s="841"/>
      <c r="F155" s="842">
        <f>'Comprehensive Budget'!H156</f>
        <v>0</v>
      </c>
      <c r="G155" s="621"/>
      <c r="H155" s="843"/>
      <c r="I155" s="843"/>
      <c r="J155" s="458"/>
      <c r="K155" s="458"/>
      <c r="L155" s="458"/>
      <c r="M155" s="1623"/>
      <c r="N155" s="458"/>
      <c r="O155" s="458"/>
      <c r="P155" s="458"/>
      <c r="Q155" s="458"/>
      <c r="R155" s="458"/>
      <c r="S155" s="626"/>
      <c r="T155" s="844"/>
      <c r="U155" s="845"/>
      <c r="V155" s="845"/>
      <c r="W155" s="845"/>
      <c r="X155" s="625"/>
    </row>
    <row r="156" spans="2:24" ht="13.5" customHeight="1">
      <c r="B156" s="668"/>
      <c r="C156" s="699"/>
      <c r="D156" s="840" t="s">
        <v>51</v>
      </c>
      <c r="E156" s="841"/>
      <c r="F156" s="842">
        <f>'Comprehensive Budget'!H157</f>
        <v>0</v>
      </c>
      <c r="G156" s="621"/>
      <c r="H156" s="843"/>
      <c r="I156" s="843"/>
      <c r="J156" s="458"/>
      <c r="K156" s="458"/>
      <c r="L156" s="458"/>
      <c r="M156" s="1623"/>
      <c r="N156" s="458"/>
      <c r="O156" s="458"/>
      <c r="P156" s="458"/>
      <c r="Q156" s="458"/>
      <c r="R156" s="458"/>
      <c r="S156" s="1621"/>
      <c r="T156" s="1622"/>
      <c r="U156" s="1622"/>
      <c r="V156" s="1622"/>
      <c r="W156" s="846"/>
      <c r="X156" s="625"/>
    </row>
    <row r="157" spans="2:26" ht="13.5" customHeight="1">
      <c r="B157" s="668"/>
      <c r="C157" s="699"/>
      <c r="D157" s="840" t="s">
        <v>52</v>
      </c>
      <c r="E157" s="841"/>
      <c r="F157" s="842">
        <f>'Comprehensive Budget'!H158</f>
        <v>0</v>
      </c>
      <c r="G157" s="621"/>
      <c r="H157" s="843"/>
      <c r="I157" s="843"/>
      <c r="J157" s="458"/>
      <c r="K157" s="458"/>
      <c r="L157" s="458"/>
      <c r="M157" s="1624"/>
      <c r="N157" s="458"/>
      <c r="O157" s="458"/>
      <c r="P157" s="458"/>
      <c r="Q157" s="458"/>
      <c r="R157" s="458"/>
      <c r="S157" s="1622"/>
      <c r="T157" s="1622"/>
      <c r="U157" s="1622"/>
      <c r="V157" s="1622"/>
      <c r="W157" s="846"/>
      <c r="X157" s="625"/>
      <c r="Z157" s="776"/>
    </row>
    <row r="158" spans="2:28" ht="13.5" customHeight="1">
      <c r="B158" s="668"/>
      <c r="C158" s="699"/>
      <c r="D158" s="840" t="s">
        <v>8</v>
      </c>
      <c r="E158" s="841"/>
      <c r="F158" s="842">
        <f>'Comprehensive Budget'!H159</f>
        <v>0</v>
      </c>
      <c r="G158" s="621"/>
      <c r="H158" s="843"/>
      <c r="I158" s="843"/>
      <c r="J158" s="458"/>
      <c r="K158" s="798"/>
      <c r="L158" s="798"/>
      <c r="M158" s="847"/>
      <c r="N158" s="798"/>
      <c r="O158" s="798"/>
      <c r="P158" s="798"/>
      <c r="Q158" s="798"/>
      <c r="R158" s="798"/>
      <c r="S158" s="1622"/>
      <c r="T158" s="1622"/>
      <c r="U158" s="1622"/>
      <c r="V158" s="1622"/>
      <c r="W158" s="846"/>
      <c r="X158" s="625"/>
      <c r="Z158" s="848"/>
      <c r="AA158" s="11"/>
      <c r="AB158" s="11"/>
    </row>
    <row r="159" spans="2:29" ht="13.5" customHeight="1">
      <c r="B159" s="668"/>
      <c r="C159" s="699"/>
      <c r="D159" s="840" t="s">
        <v>9</v>
      </c>
      <c r="E159" s="841"/>
      <c r="F159" s="842">
        <f>'Comprehensive Budget'!H160</f>
        <v>0</v>
      </c>
      <c r="G159" s="621"/>
      <c r="H159" s="843"/>
      <c r="I159" s="843"/>
      <c r="J159" s="458"/>
      <c r="K159" s="798"/>
      <c r="L159" s="798"/>
      <c r="M159" s="847"/>
      <c r="N159" s="798"/>
      <c r="O159" s="798"/>
      <c r="P159" s="798"/>
      <c r="Q159" s="798"/>
      <c r="R159" s="798"/>
      <c r="S159" s="1622"/>
      <c r="T159" s="1622"/>
      <c r="U159" s="1622"/>
      <c r="V159" s="1622"/>
      <c r="W159" s="846"/>
      <c r="X159" s="625"/>
      <c r="Z159" s="849"/>
      <c r="AA159" s="850"/>
      <c r="AB159" s="850"/>
      <c r="AC159" s="851"/>
    </row>
    <row r="160" spans="2:29" ht="13.5" customHeight="1">
      <c r="B160" s="668"/>
      <c r="C160" s="699"/>
      <c r="D160" s="840" t="s">
        <v>10</v>
      </c>
      <c r="E160" s="841"/>
      <c r="F160" s="842">
        <f>'Comprehensive Budget'!H161</f>
        <v>0</v>
      </c>
      <c r="G160" s="621"/>
      <c r="H160" s="843"/>
      <c r="I160" s="843"/>
      <c r="J160" s="458"/>
      <c r="K160" s="798"/>
      <c r="L160" s="798"/>
      <c r="M160" s="847"/>
      <c r="N160" s="798"/>
      <c r="O160" s="798"/>
      <c r="P160" s="798"/>
      <c r="Q160" s="798"/>
      <c r="R160" s="798"/>
      <c r="S160" s="1622"/>
      <c r="T160" s="1622"/>
      <c r="U160" s="1622"/>
      <c r="V160" s="1622"/>
      <c r="W160" s="846"/>
      <c r="X160" s="625"/>
      <c r="Z160" s="849"/>
      <c r="AA160" s="850"/>
      <c r="AB160" s="852"/>
      <c r="AC160" s="851"/>
    </row>
    <row r="161" spans="2:29" ht="13.5" customHeight="1">
      <c r="B161" s="668"/>
      <c r="C161" s="699"/>
      <c r="D161" s="840" t="s">
        <v>11</v>
      </c>
      <c r="E161" s="841"/>
      <c r="F161" s="842">
        <f>'Comprehensive Budget'!H162</f>
        <v>0</v>
      </c>
      <c r="G161" s="621"/>
      <c r="H161" s="843"/>
      <c r="I161" s="843"/>
      <c r="J161" s="458"/>
      <c r="K161" s="798"/>
      <c r="L161" s="798"/>
      <c r="M161" s="847"/>
      <c r="N161" s="798"/>
      <c r="O161" s="798"/>
      <c r="P161" s="798"/>
      <c r="Q161" s="798"/>
      <c r="R161" s="798"/>
      <c r="S161" s="1622"/>
      <c r="T161" s="1622"/>
      <c r="U161" s="1622"/>
      <c r="V161" s="1622"/>
      <c r="W161" s="846"/>
      <c r="X161" s="625"/>
      <c r="Z161" s="850"/>
      <c r="AA161" s="850"/>
      <c r="AB161" s="853"/>
      <c r="AC161" s="851"/>
    </row>
    <row r="162" spans="2:29" ht="18" customHeight="1">
      <c r="B162" s="668"/>
      <c r="C162" s="699"/>
      <c r="D162" s="840" t="s">
        <v>315</v>
      </c>
      <c r="E162" s="841"/>
      <c r="F162" s="842"/>
      <c r="G162" s="621"/>
      <c r="H162" s="843"/>
      <c r="I162" s="843"/>
      <c r="J162" s="458"/>
      <c r="K162" s="798"/>
      <c r="L162" s="798"/>
      <c r="M162" s="798"/>
      <c r="N162" s="798"/>
      <c r="O162" s="798"/>
      <c r="P162" s="798"/>
      <c r="Q162" s="798"/>
      <c r="R162" s="798"/>
      <c r="S162" s="1622"/>
      <c r="T162" s="1622"/>
      <c r="U162" s="1622"/>
      <c r="V162" s="1622"/>
      <c r="W162" s="846"/>
      <c r="X162" s="625"/>
      <c r="Z162" s="850"/>
      <c r="AA162" s="850"/>
      <c r="AB162" s="853"/>
      <c r="AC162" s="851"/>
    </row>
    <row r="163" spans="2:29" ht="13.5" customHeight="1">
      <c r="B163" s="668"/>
      <c r="C163" s="699"/>
      <c r="D163" s="841"/>
      <c r="E163" s="735" t="s">
        <v>333</v>
      </c>
      <c r="F163" s="842">
        <f>'Comprehensive Budget'!H164</f>
        <v>0</v>
      </c>
      <c r="G163" s="621"/>
      <c r="H163" s="843"/>
      <c r="I163" s="843"/>
      <c r="J163" s="458"/>
      <c r="K163" s="798"/>
      <c r="L163" s="798"/>
      <c r="M163" s="798"/>
      <c r="N163" s="798"/>
      <c r="O163" s="798"/>
      <c r="P163" s="798"/>
      <c r="Q163" s="798"/>
      <c r="R163" s="798"/>
      <c r="S163" s="1622"/>
      <c r="T163" s="1622"/>
      <c r="U163" s="1622"/>
      <c r="V163" s="1622"/>
      <c r="W163" s="846"/>
      <c r="X163" s="625"/>
      <c r="Z163" s="850"/>
      <c r="AA163" s="850"/>
      <c r="AB163" s="854"/>
      <c r="AC163" s="855">
        <f>F185-AB163</f>
        <v>0</v>
      </c>
    </row>
    <row r="164" spans="2:29" ht="13.5" customHeight="1">
      <c r="B164" s="668"/>
      <c r="C164" s="699"/>
      <c r="D164" s="841"/>
      <c r="E164" s="186" t="s">
        <v>301</v>
      </c>
      <c r="F164" s="842">
        <f>'Comprehensive Budget'!H165</f>
        <v>0</v>
      </c>
      <c r="G164" s="621"/>
      <c r="H164" s="843"/>
      <c r="I164" s="843"/>
      <c r="J164" s="458"/>
      <c r="K164" s="798"/>
      <c r="L164" s="798"/>
      <c r="M164" s="798"/>
      <c r="N164" s="798"/>
      <c r="O164" s="798"/>
      <c r="P164" s="798"/>
      <c r="Q164" s="798"/>
      <c r="R164" s="798"/>
      <c r="S164" s="1622"/>
      <c r="T164" s="1622"/>
      <c r="U164" s="1622"/>
      <c r="V164" s="1622"/>
      <c r="W164" s="846"/>
      <c r="X164" s="625"/>
      <c r="Z164" s="850"/>
      <c r="AA164" s="850"/>
      <c r="AB164" s="856"/>
      <c r="AC164" s="857"/>
    </row>
    <row r="165" spans="2:29" ht="13.5" customHeight="1">
      <c r="B165" s="668"/>
      <c r="C165" s="699"/>
      <c r="D165" s="841"/>
      <c r="E165" s="858" t="s">
        <v>67</v>
      </c>
      <c r="F165" s="842">
        <f>'Comprehensive Budget'!H166</f>
        <v>0</v>
      </c>
      <c r="G165" s="621"/>
      <c r="H165" s="843"/>
      <c r="I165" s="843"/>
      <c r="J165" s="458"/>
      <c r="K165" s="798"/>
      <c r="L165" s="798"/>
      <c r="M165" s="798"/>
      <c r="N165" s="798"/>
      <c r="O165" s="798"/>
      <c r="P165" s="798"/>
      <c r="Q165" s="798"/>
      <c r="R165" s="798"/>
      <c r="S165" s="1622"/>
      <c r="T165" s="1622"/>
      <c r="U165" s="1622"/>
      <c r="V165" s="1622"/>
      <c r="W165" s="846"/>
      <c r="X165" s="625"/>
      <c r="Z165" s="850"/>
      <c r="AA165" s="850"/>
      <c r="AB165" s="856"/>
      <c r="AC165" s="857"/>
    </row>
    <row r="166" spans="2:29" ht="13.5" customHeight="1">
      <c r="B166" s="668"/>
      <c r="C166" s="699"/>
      <c r="D166" s="841"/>
      <c r="E166" s="186" t="s">
        <v>38</v>
      </c>
      <c r="F166" s="842">
        <f>'Comprehensive Budget'!H167</f>
        <v>0</v>
      </c>
      <c r="G166" s="621"/>
      <c r="H166" s="843"/>
      <c r="I166" s="843"/>
      <c r="J166" s="458"/>
      <c r="K166" s="798"/>
      <c r="L166" s="798"/>
      <c r="M166" s="798"/>
      <c r="N166" s="798"/>
      <c r="O166" s="798"/>
      <c r="P166" s="798"/>
      <c r="Q166" s="798"/>
      <c r="R166" s="798"/>
      <c r="S166" s="458"/>
      <c r="T166" s="458"/>
      <c r="U166" s="458"/>
      <c r="V166" s="458"/>
      <c r="W166" s="458"/>
      <c r="X166" s="625"/>
      <c r="Z166" s="850"/>
      <c r="AA166" s="850"/>
      <c r="AB166" s="856"/>
      <c r="AC166" s="857"/>
    </row>
    <row r="167" spans="2:29" ht="13.5" customHeight="1">
      <c r="B167" s="668"/>
      <c r="C167" s="699"/>
      <c r="D167" s="840" t="s">
        <v>15</v>
      </c>
      <c r="E167" s="841"/>
      <c r="F167" s="842">
        <f>'Comprehensive Budget'!H168</f>
        <v>0</v>
      </c>
      <c r="G167" s="621"/>
      <c r="H167" s="843"/>
      <c r="I167" s="843"/>
      <c r="J167" s="458"/>
      <c r="K167" s="798"/>
      <c r="L167" s="798"/>
      <c r="M167" s="798"/>
      <c r="N167" s="798"/>
      <c r="O167" s="798"/>
      <c r="P167" s="798"/>
      <c r="Q167" s="798"/>
      <c r="R167" s="798"/>
      <c r="S167" s="859"/>
      <c r="T167" s="859"/>
      <c r="U167" s="633"/>
      <c r="V167" s="633"/>
      <c r="W167" s="633"/>
      <c r="X167" s="625"/>
      <c r="Z167" s="850"/>
      <c r="AA167" s="850"/>
      <c r="AB167" s="854"/>
      <c r="AC167" s="855">
        <f>F185-AB167</f>
        <v>0</v>
      </c>
    </row>
    <row r="168" spans="2:29" ht="13.5" customHeight="1">
      <c r="B168" s="668"/>
      <c r="C168" s="699"/>
      <c r="D168" s="840" t="s">
        <v>309</v>
      </c>
      <c r="E168" s="841"/>
      <c r="F168" s="842">
        <f>'Comprehensive Budget'!H169</f>
        <v>0</v>
      </c>
      <c r="G168" s="621"/>
      <c r="H168" s="843"/>
      <c r="I168" s="843"/>
      <c r="J168" s="458"/>
      <c r="K168" s="798"/>
      <c r="L168" s="798"/>
      <c r="M168" s="798"/>
      <c r="N168" s="798"/>
      <c r="O168" s="798"/>
      <c r="P168" s="798"/>
      <c r="Q168" s="798"/>
      <c r="R168" s="798"/>
      <c r="S168" s="860"/>
      <c r="T168" s="860"/>
      <c r="U168" s="860"/>
      <c r="V168" s="860"/>
      <c r="W168" s="860"/>
      <c r="X168" s="625"/>
      <c r="Z168" s="851"/>
      <c r="AA168" s="851"/>
      <c r="AB168" s="851"/>
      <c r="AC168" s="857"/>
    </row>
    <row r="169" spans="2:29" ht="13.5" customHeight="1">
      <c r="B169" s="668"/>
      <c r="C169" s="699"/>
      <c r="D169" s="840" t="s">
        <v>16</v>
      </c>
      <c r="E169" s="841"/>
      <c r="F169" s="842">
        <f>'Comprehensive Budget'!H170</f>
        <v>0</v>
      </c>
      <c r="G169" s="621"/>
      <c r="H169" s="843"/>
      <c r="I169" s="843"/>
      <c r="J169" s="636"/>
      <c r="K169" s="636"/>
      <c r="L169" s="636"/>
      <c r="M169" s="636"/>
      <c r="N169" s="636"/>
      <c r="O169" s="636"/>
      <c r="P169" s="458"/>
      <c r="Q169" s="458"/>
      <c r="R169" s="458"/>
      <c r="S169" s="458"/>
      <c r="T169" s="458"/>
      <c r="U169" s="458"/>
      <c r="V169" s="458"/>
      <c r="W169" s="458"/>
      <c r="X169" s="625"/>
      <c r="Z169" s="851"/>
      <c r="AA169" s="851"/>
      <c r="AB169" s="851"/>
      <c r="AC169" s="851"/>
    </row>
    <row r="170" spans="2:29" ht="13.5" customHeight="1">
      <c r="B170" s="668"/>
      <c r="C170" s="699"/>
      <c r="D170" s="861" t="s">
        <v>310</v>
      </c>
      <c r="E170" s="841"/>
      <c r="F170" s="842">
        <f>'Comprehensive Budget'!H171</f>
        <v>0</v>
      </c>
      <c r="G170" s="621"/>
      <c r="H170" s="843"/>
      <c r="I170" s="843"/>
      <c r="J170" s="862"/>
      <c r="K170" s="633"/>
      <c r="L170" s="633"/>
      <c r="M170" s="633"/>
      <c r="N170" s="633"/>
      <c r="O170" s="633"/>
      <c r="P170" s="859"/>
      <c r="Q170" s="859"/>
      <c r="R170" s="859"/>
      <c r="S170" s="458"/>
      <c r="T170" s="458"/>
      <c r="U170" s="458"/>
      <c r="V170" s="458"/>
      <c r="W170" s="458"/>
      <c r="X170" s="459"/>
      <c r="Z170" s="851"/>
      <c r="AA170" s="851"/>
      <c r="AB170" s="851"/>
      <c r="AC170" s="851"/>
    </row>
    <row r="171" spans="2:29" ht="13.5" customHeight="1">
      <c r="B171" s="668"/>
      <c r="C171" s="699"/>
      <c r="D171" s="840" t="s">
        <v>295</v>
      </c>
      <c r="E171" s="841"/>
      <c r="F171" s="842">
        <f>'Comprehensive Budget'!H172</f>
        <v>0</v>
      </c>
      <c r="G171" s="621"/>
      <c r="H171" s="843"/>
      <c r="I171" s="843"/>
      <c r="J171" s="863"/>
      <c r="K171" s="863"/>
      <c r="L171" s="863"/>
      <c r="M171" s="863"/>
      <c r="N171" s="863"/>
      <c r="O171" s="863"/>
      <c r="P171" s="860"/>
      <c r="Q171" s="860"/>
      <c r="R171" s="860"/>
      <c r="S171" s="458"/>
      <c r="T171" s="458"/>
      <c r="U171" s="458"/>
      <c r="V171" s="458"/>
      <c r="W171" s="458"/>
      <c r="X171" s="459"/>
      <c r="Z171" s="851"/>
      <c r="AA171" s="851"/>
      <c r="AB171" s="851"/>
      <c r="AC171" s="851"/>
    </row>
    <row r="172" spans="2:24" ht="13.5" customHeight="1">
      <c r="B172" s="668"/>
      <c r="C172" s="699"/>
      <c r="D172" s="840" t="s">
        <v>17</v>
      </c>
      <c r="E172" s="841"/>
      <c r="F172" s="842">
        <f>'Comprehensive Budget'!H173</f>
        <v>0</v>
      </c>
      <c r="G172" s="621"/>
      <c r="H172" s="843"/>
      <c r="I172" s="843"/>
      <c r="J172" s="51"/>
      <c r="K172" s="51"/>
      <c r="L172" s="51"/>
      <c r="M172" s="51"/>
      <c r="N172" s="51"/>
      <c r="O172" s="51"/>
      <c r="P172" s="458"/>
      <c r="Q172" s="458"/>
      <c r="R172" s="458"/>
      <c r="S172" s="458"/>
      <c r="T172" s="458"/>
      <c r="U172" s="458"/>
      <c r="V172" s="458"/>
      <c r="W172" s="458"/>
      <c r="X172" s="459"/>
    </row>
    <row r="173" spans="2:24" ht="24.75" customHeight="1">
      <c r="B173" s="668"/>
      <c r="C173" s="835" t="s">
        <v>143</v>
      </c>
      <c r="D173" s="840"/>
      <c r="E173" s="841"/>
      <c r="F173" s="842"/>
      <c r="G173" s="621"/>
      <c r="H173" s="843"/>
      <c r="I173" s="843"/>
      <c r="J173" s="51"/>
      <c r="K173" s="51"/>
      <c r="L173" s="51"/>
      <c r="M173" s="51"/>
      <c r="N173" s="51"/>
      <c r="O173" s="51"/>
      <c r="P173" s="458"/>
      <c r="Q173" s="458"/>
      <c r="R173" s="458"/>
      <c r="S173" s="458"/>
      <c r="T173" s="458"/>
      <c r="U173" s="458"/>
      <c r="V173" s="458"/>
      <c r="W173" s="458"/>
      <c r="X173" s="459"/>
    </row>
    <row r="174" spans="2:24" ht="13.5" customHeight="1">
      <c r="B174" s="668"/>
      <c r="C174" s="699"/>
      <c r="D174" s="864" t="s">
        <v>311</v>
      </c>
      <c r="E174" s="865"/>
      <c r="F174" s="866">
        <f>'Comprehensive Budget'!H175</f>
        <v>0</v>
      </c>
      <c r="G174" s="621"/>
      <c r="H174" s="843"/>
      <c r="I174" s="843"/>
      <c r="J174" s="51"/>
      <c r="K174" s="51"/>
      <c r="L174" s="51"/>
      <c r="M174" s="51"/>
      <c r="N174" s="51"/>
      <c r="O174" s="51"/>
      <c r="P174" s="458"/>
      <c r="Q174" s="458"/>
      <c r="R174" s="458"/>
      <c r="S174" s="458"/>
      <c r="T174" s="458"/>
      <c r="U174" s="458"/>
      <c r="V174" s="458"/>
      <c r="W174" s="458"/>
      <c r="X174" s="459"/>
    </row>
    <row r="175" spans="2:24" ht="13.5" customHeight="1">
      <c r="B175" s="668"/>
      <c r="C175" s="699"/>
      <c r="D175" s="867" t="s">
        <v>316</v>
      </c>
      <c r="E175" s="865"/>
      <c r="F175" s="866">
        <f>'Comprehensive Budget'!H176</f>
        <v>0</v>
      </c>
      <c r="G175" s="621"/>
      <c r="H175" s="843"/>
      <c r="I175" s="843"/>
      <c r="J175" s="51"/>
      <c r="K175" s="51"/>
      <c r="L175" s="51"/>
      <c r="M175" s="51"/>
      <c r="N175" s="51"/>
      <c r="O175" s="51"/>
      <c r="P175" s="458"/>
      <c r="Q175" s="458"/>
      <c r="R175" s="458"/>
      <c r="S175" s="798"/>
      <c r="T175" s="868"/>
      <c r="U175" s="458"/>
      <c r="V175" s="458"/>
      <c r="W175" s="458"/>
      <c r="X175" s="459"/>
    </row>
    <row r="176" spans="2:24" ht="13.5" customHeight="1">
      <c r="B176" s="668"/>
      <c r="C176" s="699"/>
      <c r="D176" s="867" t="s">
        <v>312</v>
      </c>
      <c r="E176" s="865"/>
      <c r="F176" s="866">
        <f>'Comprehensive Budget'!H177</f>
        <v>0</v>
      </c>
      <c r="G176" s="621"/>
      <c r="H176" s="843"/>
      <c r="I176" s="843"/>
      <c r="J176" s="51"/>
      <c r="K176" s="51"/>
      <c r="L176" s="51"/>
      <c r="M176" s="51"/>
      <c r="N176" s="51"/>
      <c r="O176" s="51"/>
      <c r="P176" s="458"/>
      <c r="Q176" s="458"/>
      <c r="R176" s="458"/>
      <c r="S176" s="798"/>
      <c r="T176" s="868"/>
      <c r="U176" s="458"/>
      <c r="V176" s="458"/>
      <c r="W176" s="458"/>
      <c r="X176" s="459"/>
    </row>
    <row r="177" spans="2:24" ht="12.75" customHeight="1">
      <c r="B177" s="668"/>
      <c r="C177" s="699"/>
      <c r="D177" s="867" t="s">
        <v>308</v>
      </c>
      <c r="E177" s="841"/>
      <c r="F177" s="866">
        <f>'Comprehensive Budget'!H178</f>
        <v>0</v>
      </c>
      <c r="G177" s="621"/>
      <c r="H177" s="843"/>
      <c r="I177" s="843"/>
      <c r="J177" s="51"/>
      <c r="K177" s="51"/>
      <c r="L177" s="51"/>
      <c r="M177" s="51"/>
      <c r="N177" s="51"/>
      <c r="O177" s="51"/>
      <c r="P177" s="458"/>
      <c r="Q177" s="458"/>
      <c r="R177" s="458"/>
      <c r="S177" s="798"/>
      <c r="T177" s="869"/>
      <c r="U177" s="458"/>
      <c r="V177" s="458"/>
      <c r="W177" s="458"/>
      <c r="X177" s="459"/>
    </row>
    <row r="178" spans="2:24" ht="17.25" customHeight="1">
      <c r="B178" s="668"/>
      <c r="C178" s="699"/>
      <c r="D178" s="870"/>
      <c r="E178" s="841"/>
      <c r="F178" s="842"/>
      <c r="G178" s="621"/>
      <c r="H178" s="843"/>
      <c r="I178" s="843"/>
      <c r="J178" s="51"/>
      <c r="K178" s="51"/>
      <c r="L178" s="51"/>
      <c r="M178" s="51"/>
      <c r="N178" s="51"/>
      <c r="O178" s="51"/>
      <c r="P178" s="458"/>
      <c r="Q178" s="458"/>
      <c r="R178" s="458"/>
      <c r="S178" s="798"/>
      <c r="T178" s="869"/>
      <c r="U178" s="458"/>
      <c r="V178" s="458"/>
      <c r="W178" s="458"/>
      <c r="X178" s="459"/>
    </row>
    <row r="179" spans="2:24" ht="13.5" customHeight="1">
      <c r="B179" s="668"/>
      <c r="C179" s="699"/>
      <c r="D179" s="871" t="str">
        <f>IF('Preliminary Information'!A17=3,"PROFIT","")</f>
        <v>PROFIT</v>
      </c>
      <c r="E179" s="872"/>
      <c r="F179" s="842">
        <f>'Comprehensive Budget'!H180</f>
        <v>0</v>
      </c>
      <c r="G179" s="621"/>
      <c r="H179" s="843"/>
      <c r="I179" s="843"/>
      <c r="J179" s="798"/>
      <c r="K179" s="798"/>
      <c r="L179" s="798"/>
      <c r="M179" s="798"/>
      <c r="N179" s="798"/>
      <c r="O179" s="798"/>
      <c r="P179" s="798"/>
      <c r="Q179" s="798"/>
      <c r="R179" s="798"/>
      <c r="S179" s="798"/>
      <c r="T179" s="869"/>
      <c r="U179" s="458"/>
      <c r="V179" s="458"/>
      <c r="W179" s="458"/>
      <c r="X179" s="459"/>
    </row>
    <row r="180" spans="2:24" ht="6.75" customHeight="1" thickBot="1">
      <c r="B180" s="668"/>
      <c r="C180" s="699"/>
      <c r="D180" s="873"/>
      <c r="E180" s="874"/>
      <c r="F180" s="875"/>
      <c r="G180" s="621"/>
      <c r="H180" s="843"/>
      <c r="I180" s="843"/>
      <c r="J180" s="798"/>
      <c r="K180" s="798"/>
      <c r="L180" s="798"/>
      <c r="M180" s="798"/>
      <c r="N180" s="798"/>
      <c r="O180" s="798"/>
      <c r="P180" s="798"/>
      <c r="Q180" s="798"/>
      <c r="R180" s="798"/>
      <c r="S180" s="458"/>
      <c r="T180" s="458"/>
      <c r="U180" s="636"/>
      <c r="V180" s="458"/>
      <c r="W180" s="458"/>
      <c r="X180" s="459"/>
    </row>
    <row r="181" spans="2:24" ht="18.75" customHeight="1" thickTop="1">
      <c r="B181" s="668"/>
      <c r="C181" s="699"/>
      <c r="D181" s="678"/>
      <c r="E181" s="811" t="s">
        <v>104</v>
      </c>
      <c r="F181" s="876">
        <f>SUM(F155:F179)</f>
        <v>0</v>
      </c>
      <c r="G181" s="877"/>
      <c r="H181" s="878"/>
      <c r="I181" s="878"/>
      <c r="J181" s="1147">
        <f>SUM(F30,F43,F51,F63,F69,F77,F84,F93,F99,F106,F112,F119,F124,F131,F138)</f>
        <v>0</v>
      </c>
      <c r="K181" s="798"/>
      <c r="L181" s="798"/>
      <c r="M181" s="798"/>
      <c r="N181" s="798"/>
      <c r="O181" s="798"/>
      <c r="P181" s="798"/>
      <c r="Q181" s="798"/>
      <c r="R181" s="798"/>
      <c r="S181" s="879"/>
      <c r="T181" s="879"/>
      <c r="U181" s="458"/>
      <c r="V181" s="458"/>
      <c r="W181" s="458"/>
      <c r="X181" s="459"/>
    </row>
    <row r="182" spans="2:24" ht="21" customHeight="1" thickBot="1">
      <c r="B182" s="668"/>
      <c r="C182" s="699"/>
      <c r="D182" s="678"/>
      <c r="E182" s="880" t="s">
        <v>102</v>
      </c>
      <c r="F182" s="810">
        <f>K146</f>
        <v>0</v>
      </c>
      <c r="G182" s="171"/>
      <c r="H182" s="59"/>
      <c r="I182" s="59"/>
      <c r="J182" s="798"/>
      <c r="K182" s="881"/>
      <c r="L182" s="798"/>
      <c r="M182" s="798"/>
      <c r="N182" s="798"/>
      <c r="O182" s="798"/>
      <c r="P182" s="798"/>
      <c r="Q182" s="798"/>
      <c r="R182" s="798"/>
      <c r="S182" s="879"/>
      <c r="T182" s="879"/>
      <c r="U182" s="458"/>
      <c r="V182" s="458"/>
      <c r="W182" s="458"/>
      <c r="X182" s="459"/>
    </row>
    <row r="183" spans="2:24" ht="27.75" thickBot="1" thickTop="1">
      <c r="B183" s="668"/>
      <c r="C183" s="699"/>
      <c r="D183" s="520"/>
      <c r="E183" s="882" t="s">
        <v>103</v>
      </c>
      <c r="F183" s="221">
        <f>F181-F182</f>
        <v>0</v>
      </c>
      <c r="G183" s="621"/>
      <c r="H183" s="843"/>
      <c r="I183" s="843"/>
      <c r="J183" s="458"/>
      <c r="K183" s="883"/>
      <c r="L183" s="458"/>
      <c r="M183" s="458"/>
      <c r="N183" s="458"/>
      <c r="O183" s="458"/>
      <c r="P183" s="458"/>
      <c r="Q183" s="458"/>
      <c r="R183" s="458"/>
      <c r="S183" s="879"/>
      <c r="T183" s="879"/>
      <c r="U183" s="458"/>
      <c r="V183" s="458"/>
      <c r="W183" s="458"/>
      <c r="X183" s="459"/>
    </row>
    <row r="184" spans="2:24" ht="18" customHeight="1" thickBot="1" thickTop="1">
      <c r="B184" s="668"/>
      <c r="C184" s="699"/>
      <c r="D184" s="678"/>
      <c r="E184" s="884" t="s">
        <v>66</v>
      </c>
      <c r="F184" s="1196"/>
      <c r="G184" s="885"/>
      <c r="H184" s="886"/>
      <c r="I184" s="886"/>
      <c r="J184" s="458"/>
      <c r="K184" s="458"/>
      <c r="L184" s="458"/>
      <c r="M184" s="458"/>
      <c r="N184" s="458"/>
      <c r="O184" s="458"/>
      <c r="P184" s="458"/>
      <c r="Q184" s="458"/>
      <c r="R184" s="458"/>
      <c r="S184" s="458"/>
      <c r="T184" s="458"/>
      <c r="U184" s="458"/>
      <c r="V184" s="458"/>
      <c r="W184" s="458"/>
      <c r="X184" s="459"/>
    </row>
    <row r="185" spans="2:24" ht="35.25" customHeight="1" thickTop="1">
      <c r="B185" s="668"/>
      <c r="C185" s="699"/>
      <c r="D185" s="357"/>
      <c r="E185" s="887" t="s">
        <v>53</v>
      </c>
      <c r="F185" s="888">
        <f>F183+F184</f>
        <v>0</v>
      </c>
      <c r="G185" s="889"/>
      <c r="H185" s="890"/>
      <c r="I185" s="890"/>
      <c r="J185" s="458"/>
      <c r="K185" s="458"/>
      <c r="L185" s="458"/>
      <c r="M185" s="458"/>
      <c r="N185" s="458"/>
      <c r="O185" s="458"/>
      <c r="P185" s="458"/>
      <c r="Q185" s="458"/>
      <c r="R185" s="458"/>
      <c r="S185" s="458"/>
      <c r="T185" s="458"/>
      <c r="U185" s="458"/>
      <c r="V185" s="458"/>
      <c r="W185" s="458"/>
      <c r="X185" s="459"/>
    </row>
    <row r="186" spans="2:24" ht="12" customHeight="1" thickBot="1">
      <c r="B186" s="668"/>
      <c r="C186" s="812"/>
      <c r="D186" s="891"/>
      <c r="E186" s="892"/>
      <c r="F186" s="893"/>
      <c r="G186" s="894"/>
      <c r="H186" s="890"/>
      <c r="I186" s="890"/>
      <c r="J186" s="458"/>
      <c r="K186" s="458"/>
      <c r="L186" s="458"/>
      <c r="M186" s="458"/>
      <c r="N186" s="458"/>
      <c r="O186" s="458"/>
      <c r="P186" s="458"/>
      <c r="Q186" s="458"/>
      <c r="R186" s="458"/>
      <c r="S186" s="458"/>
      <c r="T186" s="458"/>
      <c r="U186" s="458"/>
      <c r="V186" s="458"/>
      <c r="W186" s="458"/>
      <c r="X186" s="459"/>
    </row>
    <row r="187" spans="2:24" ht="15.75" customHeight="1">
      <c r="B187" s="668"/>
      <c r="C187" s="458"/>
      <c r="D187" s="458"/>
      <c r="E187" s="51"/>
      <c r="F187" s="458"/>
      <c r="G187" s="458"/>
      <c r="H187" s="458"/>
      <c r="I187" s="458"/>
      <c r="J187" s="51"/>
      <c r="K187" s="458"/>
      <c r="L187" s="458"/>
      <c r="M187" s="458"/>
      <c r="N187" s="458"/>
      <c r="O187" s="458"/>
      <c r="P187" s="458"/>
      <c r="Q187" s="458"/>
      <c r="R187" s="458"/>
      <c r="S187" s="458"/>
      <c r="T187" s="458"/>
      <c r="U187" s="458"/>
      <c r="V187" s="458"/>
      <c r="W187" s="458"/>
      <c r="X187" s="459"/>
    </row>
    <row r="188" spans="2:24" ht="14.25" customHeight="1">
      <c r="B188" s="668"/>
      <c r="C188" s="458"/>
      <c r="D188" s="895"/>
      <c r="E188" s="896"/>
      <c r="F188" s="897"/>
      <c r="G188" s="897"/>
      <c r="H188" s="897"/>
      <c r="I188" s="897"/>
      <c r="J188" s="1152" t="s">
        <v>421</v>
      </c>
      <c r="K188" s="898">
        <f>'Rate Base Adjustment'!N157</f>
        <v>2022</v>
      </c>
      <c r="L188" s="899" t="s">
        <v>337</v>
      </c>
      <c r="M188" s="899">
        <f>'Rate Base Adjustment'!P157</f>
        <v>2023</v>
      </c>
      <c r="N188" s="900"/>
      <c r="O188" s="900"/>
      <c r="P188" s="458"/>
      <c r="Q188" s="458"/>
      <c r="R188" s="458"/>
      <c r="S188" s="458"/>
      <c r="T188" s="458"/>
      <c r="U188" s="458"/>
      <c r="V188" s="458"/>
      <c r="W188" s="458"/>
      <c r="X188" s="459"/>
    </row>
    <row r="189" spans="2:24" ht="23.25" customHeight="1">
      <c r="B189" s="668"/>
      <c r="C189" s="458"/>
      <c r="D189" s="458"/>
      <c r="E189" s="458"/>
      <c r="F189" s="458"/>
      <c r="G189" s="458"/>
      <c r="H189" s="458"/>
      <c r="I189" s="458"/>
      <c r="J189" s="458"/>
      <c r="K189" s="458"/>
      <c r="L189" s="458"/>
      <c r="M189" s="458"/>
      <c r="N189" s="458"/>
      <c r="O189" s="458"/>
      <c r="P189" s="458"/>
      <c r="Q189" s="458"/>
      <c r="R189" s="458"/>
      <c r="S189" s="901"/>
      <c r="T189" s="901"/>
      <c r="U189" s="901"/>
      <c r="V189" s="901"/>
      <c r="W189" s="901"/>
      <c r="X189" s="459"/>
    </row>
    <row r="190" spans="2:24" ht="21" customHeight="1">
      <c r="B190" s="668"/>
      <c r="C190" s="458"/>
      <c r="D190" s="902" t="s">
        <v>336</v>
      </c>
      <c r="E190" s="458"/>
      <c r="F190" s="458"/>
      <c r="G190" s="458"/>
      <c r="H190" s="458"/>
      <c r="I190" s="458"/>
      <c r="J190" s="458"/>
      <c r="K190" s="458"/>
      <c r="L190" s="458"/>
      <c r="M190" s="458"/>
      <c r="N190" s="458"/>
      <c r="O190" s="458"/>
      <c r="P190" s="458"/>
      <c r="Q190" s="458"/>
      <c r="R190" s="458"/>
      <c r="S190" s="901"/>
      <c r="T190" s="901"/>
      <c r="U190" s="901"/>
      <c r="V190" s="901"/>
      <c r="W190" s="901"/>
      <c r="X190" s="459"/>
    </row>
    <row r="191" spans="2:24" ht="13.5" thickBot="1">
      <c r="B191" s="903"/>
      <c r="C191" s="904"/>
      <c r="D191" s="904"/>
      <c r="E191" s="904"/>
      <c r="F191" s="904"/>
      <c r="G191" s="904"/>
      <c r="H191" s="904"/>
      <c r="I191" s="904"/>
      <c r="J191" s="904"/>
      <c r="K191" s="904"/>
      <c r="L191" s="904"/>
      <c r="M191" s="904"/>
      <c r="N191" s="904"/>
      <c r="O191" s="904"/>
      <c r="P191" s="904"/>
      <c r="Q191" s="904"/>
      <c r="R191" s="904"/>
      <c r="S191" s="905"/>
      <c r="T191" s="905"/>
      <c r="U191" s="905"/>
      <c r="V191" s="905"/>
      <c r="W191" s="905"/>
      <c r="X191" s="906"/>
    </row>
  </sheetData>
  <sheetProtection password="E09D" sheet="1" objects="1" scenarios="1" selectLockedCells="1"/>
  <mergeCells count="12">
    <mergeCell ref="S156:V165"/>
    <mergeCell ref="M154:M157"/>
    <mergeCell ref="Q154:R154"/>
    <mergeCell ref="S77:V88"/>
    <mergeCell ref="Y56:AB56"/>
    <mergeCell ref="Y47:AB47"/>
    <mergeCell ref="Y48:AB48"/>
    <mergeCell ref="Y49:AB49"/>
    <mergeCell ref="S50:V72"/>
    <mergeCell ref="J8:J14"/>
    <mergeCell ref="K8:K14"/>
    <mergeCell ref="M8:M14"/>
  </mergeCells>
  <printOptions horizontalCentered="1"/>
  <pageMargins left="0.38" right="0.33" top="0.67" bottom="0.61" header="0.39" footer="0.4"/>
  <pageSetup blackAndWhite="1" cellComments="asDisplayed" fitToHeight="2" horizontalDpi="1200" verticalDpi="1200" orientation="portrait" scale="41" r:id="rId4"/>
  <headerFooter alignWithMargins="0">
    <oddFooter>&amp;L&amp;"Arial,Regular"&amp;F:  &amp;A&amp;C&amp;R&amp;"Arial,Regular"Page &amp;P of &amp;N
</oddFooter>
  </headerFooter>
  <rowBreaks count="1" manualBreakCount="1">
    <brk id="113" min="1" max="23" man="1"/>
  </rowBreaks>
  <ignoredErrors>
    <ignoredError sqref="C5:C6" numberStoredAsText="1"/>
  </ignoredErrors>
  <drawing r:id="rId3"/>
  <legacyDrawing r:id="rId2"/>
</worksheet>
</file>

<file path=xl/worksheets/sheet5.xml><?xml version="1.0" encoding="utf-8"?>
<worksheet xmlns="http://schemas.openxmlformats.org/spreadsheetml/2006/main" xmlns:r="http://schemas.openxmlformats.org/officeDocument/2006/relationships">
  <sheetPr codeName="Sheet7">
    <tabColor indexed="41"/>
    <pageSetUpPr fitToPage="1"/>
  </sheetPr>
  <dimension ref="B2:S52"/>
  <sheetViews>
    <sheetView showGridLines="0" zoomScale="85" zoomScaleNormal="85" zoomScaleSheetLayoutView="75" zoomScalePageLayoutView="0" workbookViewId="0" topLeftCell="A13">
      <selection activeCell="K17" sqref="K17"/>
    </sheetView>
  </sheetViews>
  <sheetFormatPr defaultColWidth="11.00390625" defaultRowHeight="12.75"/>
  <cols>
    <col min="1" max="1" width="2.50390625" style="648" customWidth="1"/>
    <col min="2" max="3" width="2.25390625" style="648" customWidth="1"/>
    <col min="4" max="4" width="1.625" style="648" customWidth="1"/>
    <col min="5" max="5" width="14.75390625" style="648" customWidth="1"/>
    <col min="6" max="6" width="3.125" style="648" customWidth="1"/>
    <col min="7" max="7" width="15.50390625" style="648" customWidth="1"/>
    <col min="8" max="8" width="2.00390625" style="648" customWidth="1"/>
    <col min="9" max="9" width="3.75390625" style="648" customWidth="1"/>
    <col min="10" max="10" width="14.75390625" style="648" customWidth="1"/>
    <col min="11" max="11" width="10.75390625" style="648" customWidth="1"/>
    <col min="12" max="12" width="3.125" style="648" customWidth="1"/>
    <col min="13" max="13" width="6.25390625" style="648" customWidth="1"/>
    <col min="14" max="14" width="9.375" style="648" customWidth="1"/>
    <col min="15" max="15" width="1.625" style="648" customWidth="1"/>
    <col min="16" max="16" width="9.625" style="648" customWidth="1"/>
    <col min="17" max="17" width="8.875" style="648" customWidth="1"/>
    <col min="18" max="18" width="6.00390625" style="648" customWidth="1"/>
    <col min="19" max="16384" width="11.00390625" style="648" customWidth="1"/>
  </cols>
  <sheetData>
    <row r="1" ht="8.25" customHeight="1" thickBot="1"/>
    <row r="2" spans="2:19" ht="12.75">
      <c r="B2" s="649"/>
      <c r="C2" s="650"/>
      <c r="D2" s="650"/>
      <c r="E2" s="650"/>
      <c r="F2" s="650"/>
      <c r="G2" s="650"/>
      <c r="H2" s="650"/>
      <c r="I2" s="650"/>
      <c r="J2" s="650"/>
      <c r="K2" s="651"/>
      <c r="L2" s="651"/>
      <c r="M2" s="651"/>
      <c r="N2" s="651"/>
      <c r="O2" s="651"/>
      <c r="P2" s="651"/>
      <c r="Q2" s="651"/>
      <c r="R2" s="651"/>
      <c r="S2" s="1096"/>
    </row>
    <row r="3" spans="2:19" s="9" customFormat="1" ht="24" customHeight="1">
      <c r="B3" s="653"/>
      <c r="C3" s="654" t="s">
        <v>323</v>
      </c>
      <c r="D3" s="655"/>
      <c r="E3" s="51"/>
      <c r="F3" s="51"/>
      <c r="G3" s="51"/>
      <c r="H3" s="51"/>
      <c r="I3" s="51"/>
      <c r="J3" s="51"/>
      <c r="K3" s="656" t="s">
        <v>198</v>
      </c>
      <c r="L3" s="657"/>
      <c r="M3" s="658">
        <f>'Preliminary Information'!G6</f>
        <v>0</v>
      </c>
      <c r="N3" s="51"/>
      <c r="O3" s="51"/>
      <c r="P3" s="51" t="str">
        <f>'Preliminary Information'!$J$3</f>
        <v>Version 1.4</v>
      </c>
      <c r="Q3" s="51"/>
      <c r="R3" s="51"/>
      <c r="S3" s="459"/>
    </row>
    <row r="4" spans="2:19" s="9" customFormat="1" ht="24.75" customHeight="1">
      <c r="B4" s="653"/>
      <c r="C4" s="51"/>
      <c r="D4" s="660"/>
      <c r="E4" s="51"/>
      <c r="F4" s="51"/>
      <c r="G4" s="51"/>
      <c r="H4" s="51"/>
      <c r="I4" s="51"/>
      <c r="J4" s="51"/>
      <c r="K4" s="1097" t="s">
        <v>218</v>
      </c>
      <c r="L4" s="1098"/>
      <c r="M4" s="1099">
        <f>'Preliminary Information'!G7</f>
        <v>0</v>
      </c>
      <c r="N4" s="51"/>
      <c r="O4" s="51"/>
      <c r="P4" s="51"/>
      <c r="Q4" s="51"/>
      <c r="R4" s="51"/>
      <c r="S4" s="459"/>
    </row>
    <row r="5" spans="2:19" s="666" customFormat="1" ht="18" customHeight="1">
      <c r="B5" s="662"/>
      <c r="C5" s="1100" t="s">
        <v>23</v>
      </c>
      <c r="D5" s="1101" t="s">
        <v>379</v>
      </c>
      <c r="E5" s="1102"/>
      <c r="F5" s="1102"/>
      <c r="G5" s="1102"/>
      <c r="H5" s="1102"/>
      <c r="I5" s="1102"/>
      <c r="J5" s="1102"/>
      <c r="K5" s="1102"/>
      <c r="L5" s="1102"/>
      <c r="M5" s="1102"/>
      <c r="N5" s="1103"/>
      <c r="O5" s="1103"/>
      <c r="P5" s="1103"/>
      <c r="Q5" s="665"/>
      <c r="R5" s="665"/>
      <c r="S5" s="667"/>
    </row>
    <row r="6" spans="2:19" s="666" customFormat="1" ht="27" customHeight="1">
      <c r="B6" s="662"/>
      <c r="C6" s="51"/>
      <c r="D6" s="665"/>
      <c r="E6" s="1104" t="s">
        <v>372</v>
      </c>
      <c r="F6" s="624"/>
      <c r="G6" s="624"/>
      <c r="H6" s="624"/>
      <c r="I6" s="458"/>
      <c r="J6" s="458"/>
      <c r="K6" s="458"/>
      <c r="L6" s="665"/>
      <c r="M6" s="665"/>
      <c r="N6" s="665"/>
      <c r="O6" s="665"/>
      <c r="P6" s="665"/>
      <c r="Q6" s="665"/>
      <c r="R6" s="665"/>
      <c r="S6" s="667"/>
    </row>
    <row r="7" spans="2:19" s="666" customFormat="1" ht="17.25" customHeight="1">
      <c r="B7" s="662"/>
      <c r="C7" s="51"/>
      <c r="D7" s="665"/>
      <c r="E7" s="1104" t="s">
        <v>373</v>
      </c>
      <c r="F7" s="624"/>
      <c r="G7" s="624"/>
      <c r="H7" s="624"/>
      <c r="I7" s="458"/>
      <c r="J7" s="458"/>
      <c r="K7" s="458"/>
      <c r="L7" s="665"/>
      <c r="M7" s="665"/>
      <c r="N7" s="665"/>
      <c r="O7" s="665"/>
      <c r="P7" s="665"/>
      <c r="Q7" s="665"/>
      <c r="R7" s="665"/>
      <c r="S7" s="667"/>
    </row>
    <row r="8" spans="2:19" ht="17.25" customHeight="1">
      <c r="B8" s="668"/>
      <c r="C8" s="458"/>
      <c r="D8" s="458"/>
      <c r="E8" s="1104" t="s">
        <v>380</v>
      </c>
      <c r="F8" s="458"/>
      <c r="G8" s="458"/>
      <c r="H8" s="458"/>
      <c r="I8" s="458"/>
      <c r="J8" s="458"/>
      <c r="K8" s="458"/>
      <c r="L8" s="458"/>
      <c r="M8" s="458"/>
      <c r="N8" s="458"/>
      <c r="O8" s="458"/>
      <c r="P8" s="458"/>
      <c r="Q8" s="458"/>
      <c r="R8" s="458"/>
      <c r="S8" s="625"/>
    </row>
    <row r="9" spans="2:19" ht="17.25" customHeight="1">
      <c r="B9" s="668"/>
      <c r="C9" s="458"/>
      <c r="D9" s="458"/>
      <c r="E9" s="1104" t="s">
        <v>409</v>
      </c>
      <c r="F9" s="458"/>
      <c r="G9" s="458"/>
      <c r="H9" s="458"/>
      <c r="I9" s="458"/>
      <c r="J9" s="458"/>
      <c r="K9" s="458"/>
      <c r="L9" s="458"/>
      <c r="M9" s="458"/>
      <c r="N9" s="458"/>
      <c r="O9" s="458"/>
      <c r="P9" s="458"/>
      <c r="Q9" s="458"/>
      <c r="R9" s="458"/>
      <c r="S9" s="625"/>
    </row>
    <row r="10" spans="2:19" ht="17.25" customHeight="1">
      <c r="B10" s="668"/>
      <c r="C10" s="458"/>
      <c r="D10" s="458"/>
      <c r="E10" s="1104" t="s">
        <v>371</v>
      </c>
      <c r="F10" s="458"/>
      <c r="G10" s="458"/>
      <c r="H10" s="458"/>
      <c r="I10" s="458"/>
      <c r="J10" s="458"/>
      <c r="K10" s="458"/>
      <c r="L10" s="458"/>
      <c r="M10" s="458"/>
      <c r="N10" s="458"/>
      <c r="O10" s="458"/>
      <c r="P10" s="458"/>
      <c r="Q10" s="458"/>
      <c r="R10" s="458"/>
      <c r="S10" s="625"/>
    </row>
    <row r="11" spans="2:19" ht="17.25" customHeight="1">
      <c r="B11" s="668"/>
      <c r="C11" s="458"/>
      <c r="D11" s="458"/>
      <c r="E11" s="1104" t="s">
        <v>374</v>
      </c>
      <c r="F11" s="458"/>
      <c r="G11" s="458"/>
      <c r="H11" s="458"/>
      <c r="I11" s="458"/>
      <c r="J11" s="458"/>
      <c r="K11" s="458"/>
      <c r="L11" s="458"/>
      <c r="M11" s="458"/>
      <c r="N11" s="458"/>
      <c r="O11" s="458"/>
      <c r="P11" s="458"/>
      <c r="Q11" s="458"/>
      <c r="R11" s="458"/>
      <c r="S11" s="625"/>
    </row>
    <row r="12" spans="2:19" ht="17.25" customHeight="1">
      <c r="B12" s="668"/>
      <c r="C12" s="458"/>
      <c r="D12" s="458"/>
      <c r="E12" s="1104"/>
      <c r="F12" s="458"/>
      <c r="G12" s="458"/>
      <c r="H12" s="458"/>
      <c r="I12" s="458"/>
      <c r="J12" s="458"/>
      <c r="K12" s="458"/>
      <c r="L12" s="458"/>
      <c r="M12" s="458"/>
      <c r="N12" s="458"/>
      <c r="O12" s="458"/>
      <c r="P12" s="458"/>
      <c r="Q12" s="458"/>
      <c r="R12" s="458"/>
      <c r="S12" s="625"/>
    </row>
    <row r="13" spans="2:19" ht="12.75" customHeight="1">
      <c r="B13" s="668"/>
      <c r="C13" s="458"/>
      <c r="D13" s="458"/>
      <c r="E13" s="458"/>
      <c r="F13" s="458"/>
      <c r="G13" s="458"/>
      <c r="H13" s="458"/>
      <c r="I13" s="458"/>
      <c r="J13" s="458"/>
      <c r="K13" s="458"/>
      <c r="L13" s="458"/>
      <c r="M13" s="458"/>
      <c r="N13" s="458"/>
      <c r="O13" s="458"/>
      <c r="P13" s="458"/>
      <c r="Q13" s="458"/>
      <c r="R13" s="458"/>
      <c r="S13" s="625"/>
    </row>
    <row r="14" spans="2:19" ht="8.25" customHeight="1">
      <c r="B14" s="668"/>
      <c r="C14" s="458"/>
      <c r="D14" s="458"/>
      <c r="E14" s="458"/>
      <c r="F14" s="670"/>
      <c r="G14" s="1105"/>
      <c r="H14" s="1105"/>
      <c r="I14" s="1105"/>
      <c r="J14" s="1105"/>
      <c r="K14" s="1105"/>
      <c r="L14" s="1106"/>
      <c r="M14" s="635"/>
      <c r="N14" s="635"/>
      <c r="O14" s="635"/>
      <c r="P14" s="458"/>
      <c r="Q14" s="458"/>
      <c r="R14" s="458"/>
      <c r="S14" s="625"/>
    </row>
    <row r="15" spans="2:19" ht="15.75" customHeight="1">
      <c r="B15" s="668"/>
      <c r="C15" s="458"/>
      <c r="D15" s="458"/>
      <c r="E15" s="458"/>
      <c r="F15" s="1107"/>
      <c r="G15" s="1108" t="s">
        <v>322</v>
      </c>
      <c r="H15" s="1108"/>
      <c r="I15" s="1108"/>
      <c r="J15" s="335"/>
      <c r="K15" s="335"/>
      <c r="L15" s="1109"/>
      <c r="M15" s="624"/>
      <c r="N15" s="624"/>
      <c r="O15" s="624"/>
      <c r="P15" s="458"/>
      <c r="Q15" s="458"/>
      <c r="R15" s="458"/>
      <c r="S15" s="625"/>
    </row>
    <row r="16" spans="2:19" ht="17.25" customHeight="1">
      <c r="B16" s="668"/>
      <c r="C16" s="458"/>
      <c r="D16" s="458"/>
      <c r="E16" s="458"/>
      <c r="F16" s="677"/>
      <c r="G16" s="1110"/>
      <c r="H16" s="1110"/>
      <c r="I16" s="1110"/>
      <c r="J16" s="1110"/>
      <c r="K16" s="1111"/>
      <c r="L16" s="623"/>
      <c r="M16" s="458"/>
      <c r="N16" s="458"/>
      <c r="O16" s="458"/>
      <c r="P16" s="458"/>
      <c r="Q16" s="458"/>
      <c r="R16" s="458"/>
      <c r="S16" s="625"/>
    </row>
    <row r="17" spans="2:19" ht="18.75" customHeight="1" thickBot="1">
      <c r="B17" s="668"/>
      <c r="C17" s="458"/>
      <c r="D17" s="458"/>
      <c r="E17" s="458"/>
      <c r="F17" s="677"/>
      <c r="G17" s="1110"/>
      <c r="H17" s="1110"/>
      <c r="I17" s="1110"/>
      <c r="J17" s="1112" t="s">
        <v>351</v>
      </c>
      <c r="K17" s="282"/>
      <c r="L17" s="620"/>
      <c r="M17" s="632"/>
      <c r="N17" s="626" t="s">
        <v>170</v>
      </c>
      <c r="O17" s="627"/>
      <c r="P17" s="626"/>
      <c r="Q17" s="839"/>
      <c r="R17" s="839"/>
      <c r="S17" s="628"/>
    </row>
    <row r="18" spans="2:19" ht="12.75" customHeight="1">
      <c r="B18" s="668"/>
      <c r="C18" s="458"/>
      <c r="D18" s="458"/>
      <c r="E18" s="458"/>
      <c r="F18" s="677"/>
      <c r="G18" s="1110"/>
      <c r="H18" s="1110"/>
      <c r="I18" s="1110"/>
      <c r="J18" s="884"/>
      <c r="K18" s="1113"/>
      <c r="L18" s="621"/>
      <c r="M18" s="458"/>
      <c r="N18" s="458"/>
      <c r="O18" s="458"/>
      <c r="P18" s="458"/>
      <c r="Q18" s="458"/>
      <c r="R18" s="458"/>
      <c r="S18" s="625"/>
    </row>
    <row r="19" spans="2:19" ht="16.5" customHeight="1">
      <c r="B19" s="668"/>
      <c r="C19" s="458"/>
      <c r="D19" s="458"/>
      <c r="E19" s="458"/>
      <c r="F19" s="677"/>
      <c r="G19" s="1114"/>
      <c r="H19" s="1114"/>
      <c r="I19" s="1114"/>
      <c r="J19" s="1115" t="s">
        <v>352</v>
      </c>
      <c r="K19" s="1116">
        <f>IF(K17=0,"",'Budgeted Rate Base'!F185/'Program-wide Rates'!K17)</f>
      </c>
      <c r="L19" s="622"/>
      <c r="M19" s="458"/>
      <c r="N19" s="629">
        <f>'Budgeted Rate Base'!F11</f>
        <v>2024</v>
      </c>
      <c r="O19" s="630" t="str">
        <f>IF('Budgeted Rate Base'!F14='Budgeted Rate Base'!F11,"","-")</f>
        <v>-</v>
      </c>
      <c r="P19" s="630">
        <f>IF('Budgeted Rate Base'!F14='Budgeted Rate Base'!F11,"",'Budgeted Rate Base'!F14)</f>
        <v>2025</v>
      </c>
      <c r="Q19" s="630"/>
      <c r="R19" s="630"/>
      <c r="S19" s="631"/>
    </row>
    <row r="20" spans="2:19" ht="12.75">
      <c r="B20" s="668"/>
      <c r="C20" s="458"/>
      <c r="D20" s="458"/>
      <c r="E20" s="458"/>
      <c r="F20" s="677"/>
      <c r="G20" s="1110"/>
      <c r="H20" s="1110"/>
      <c r="I20" s="1110"/>
      <c r="J20" s="1110"/>
      <c r="K20" s="1111"/>
      <c r="L20" s="623"/>
      <c r="M20" s="458"/>
      <c r="N20" s="458"/>
      <c r="O20" s="458"/>
      <c r="P20" s="458"/>
      <c r="Q20" s="458"/>
      <c r="R20" s="458"/>
      <c r="S20" s="625"/>
    </row>
    <row r="21" spans="2:19" ht="16.5" customHeight="1" thickBot="1">
      <c r="B21" s="668"/>
      <c r="C21" s="458"/>
      <c r="D21" s="458"/>
      <c r="E21" s="458"/>
      <c r="F21" s="677"/>
      <c r="G21" s="1110"/>
      <c r="H21" s="1110"/>
      <c r="I21" s="1110"/>
      <c r="J21" s="1112" t="s">
        <v>362</v>
      </c>
      <c r="K21" s="282"/>
      <c r="L21" s="620"/>
      <c r="M21" s="632"/>
      <c r="N21" s="458"/>
      <c r="O21" s="458"/>
      <c r="P21" s="458"/>
      <c r="Q21" s="458"/>
      <c r="R21" s="458"/>
      <c r="S21" s="625"/>
    </row>
    <row r="22" spans="2:19" ht="16.5" customHeight="1">
      <c r="B22" s="668"/>
      <c r="C22" s="458"/>
      <c r="D22" s="458"/>
      <c r="E22" s="458"/>
      <c r="F22" s="677"/>
      <c r="G22" s="1110"/>
      <c r="H22" s="1110"/>
      <c r="I22" s="1110"/>
      <c r="J22" s="884"/>
      <c r="K22" s="1117"/>
      <c r="L22" s="621"/>
      <c r="M22" s="458"/>
      <c r="N22" s="670"/>
      <c r="O22" s="1105"/>
      <c r="P22" s="1105"/>
      <c r="Q22" s="1105"/>
      <c r="R22" s="1105"/>
      <c r="S22" s="1157"/>
    </row>
    <row r="23" spans="2:19" ht="17.25" customHeight="1">
      <c r="B23" s="668"/>
      <c r="C23" s="458"/>
      <c r="D23" s="458"/>
      <c r="E23" s="458"/>
      <c r="F23" s="677"/>
      <c r="G23" s="1114"/>
      <c r="H23" s="1114"/>
      <c r="I23" s="1114"/>
      <c r="J23" s="1115" t="s">
        <v>319</v>
      </c>
      <c r="K23" s="1118">
        <f>IF(K21=0,"",'Budgeted Rate Base'!F185/K21)</f>
      </c>
      <c r="L23" s="622"/>
      <c r="M23" s="458"/>
      <c r="N23" s="1160" t="s">
        <v>378</v>
      </c>
      <c r="O23" s="825"/>
      <c r="P23" s="825"/>
      <c r="Q23" s="1139"/>
      <c r="R23" s="1156" t="e">
        <f>K17/K21</f>
        <v>#DIV/0!</v>
      </c>
      <c r="S23" s="1161" t="s">
        <v>377</v>
      </c>
    </row>
    <row r="24" spans="2:19" ht="14.25" customHeight="1" thickBot="1">
      <c r="B24" s="668"/>
      <c r="C24" s="458"/>
      <c r="D24" s="458"/>
      <c r="E24" s="636"/>
      <c r="F24" s="1119"/>
      <c r="G24" s="1120"/>
      <c r="H24" s="1120"/>
      <c r="I24" s="1120"/>
      <c r="J24" s="1121"/>
      <c r="K24" s="1121"/>
      <c r="L24" s="1122"/>
      <c r="M24" s="458"/>
      <c r="N24" s="1158"/>
      <c r="O24" s="1111"/>
      <c r="P24" s="1111"/>
      <c r="Q24" s="1111"/>
      <c r="R24" s="1111"/>
      <c r="S24" s="1159"/>
    </row>
    <row r="25" spans="2:19" ht="17.25" customHeight="1">
      <c r="B25" s="668"/>
      <c r="C25" s="633"/>
      <c r="D25" s="633"/>
      <c r="E25" s="1123"/>
      <c r="F25" s="862"/>
      <c r="G25" s="633"/>
      <c r="H25" s="633"/>
      <c r="I25" s="633"/>
      <c r="J25" s="859"/>
      <c r="K25" s="859"/>
      <c r="L25" s="859"/>
      <c r="M25" s="633"/>
      <c r="N25" s="458"/>
      <c r="O25" s="458"/>
      <c r="P25" s="458"/>
      <c r="Q25" s="458"/>
      <c r="R25" s="458"/>
      <c r="S25" s="625"/>
    </row>
    <row r="26" spans="2:19" ht="15" customHeight="1">
      <c r="B26" s="668"/>
      <c r="C26" s="458"/>
      <c r="D26" s="458"/>
      <c r="E26" s="51"/>
      <c r="F26" s="51"/>
      <c r="G26" s="51"/>
      <c r="H26" s="51"/>
      <c r="I26" s="51"/>
      <c r="J26" s="458"/>
      <c r="K26" s="458"/>
      <c r="L26" s="458"/>
      <c r="M26" s="458"/>
      <c r="N26" s="458"/>
      <c r="O26" s="458"/>
      <c r="P26" s="458"/>
      <c r="Q26" s="458"/>
      <c r="R26" s="458"/>
      <c r="S26" s="625"/>
    </row>
    <row r="27" spans="2:19" ht="6.75" customHeight="1">
      <c r="B27" s="668"/>
      <c r="C27" s="458"/>
      <c r="D27" s="458"/>
      <c r="E27" s="51"/>
      <c r="F27" s="1124"/>
      <c r="G27" s="1125"/>
      <c r="H27" s="1125"/>
      <c r="I27" s="1125"/>
      <c r="J27" s="1126"/>
      <c r="K27" s="1126"/>
      <c r="L27" s="1127"/>
      <c r="M27" s="458"/>
      <c r="N27" s="458"/>
      <c r="O27" s="458"/>
      <c r="P27" s="458"/>
      <c r="Q27" s="458"/>
      <c r="R27" s="458"/>
      <c r="S27" s="625"/>
    </row>
    <row r="28" spans="2:19" ht="36" customHeight="1">
      <c r="B28" s="668"/>
      <c r="C28" s="458"/>
      <c r="D28" s="458"/>
      <c r="E28" s="51"/>
      <c r="F28" s="1626" t="s">
        <v>363</v>
      </c>
      <c r="G28" s="1627"/>
      <c r="H28" s="1627"/>
      <c r="I28" s="1627"/>
      <c r="J28" s="1627"/>
      <c r="K28" s="1627"/>
      <c r="L28" s="1628"/>
      <c r="M28" s="458"/>
      <c r="N28" s="458"/>
      <c r="O28" s="458"/>
      <c r="P28" s="458"/>
      <c r="Q28" s="458"/>
      <c r="R28" s="458"/>
      <c r="S28" s="625"/>
    </row>
    <row r="29" spans="2:19" ht="6.75" customHeight="1">
      <c r="B29" s="668"/>
      <c r="C29" s="458"/>
      <c r="D29" s="458"/>
      <c r="E29" s="51"/>
      <c r="F29" s="1128"/>
      <c r="G29" s="1130"/>
      <c r="H29" s="1130"/>
      <c r="I29" s="1130"/>
      <c r="J29" s="1131"/>
      <c r="K29" s="1132"/>
      <c r="L29" s="1129"/>
      <c r="M29" s="458"/>
      <c r="N29" s="458"/>
      <c r="O29" s="458"/>
      <c r="P29" s="458"/>
      <c r="Q29" s="458"/>
      <c r="R29" s="458"/>
      <c r="S29" s="625"/>
    </row>
    <row r="30" spans="2:19" ht="18.75" customHeight="1">
      <c r="B30" s="668"/>
      <c r="C30" s="458"/>
      <c r="D30" s="458"/>
      <c r="E30" s="51"/>
      <c r="F30" s="1128"/>
      <c r="G30" s="1133"/>
      <c r="H30" s="1133"/>
      <c r="I30" s="1133"/>
      <c r="J30" s="1115" t="s">
        <v>352</v>
      </c>
      <c r="K30" s="1134">
        <f>IF(K17=0,0,(('Budgeted Rate Base'!F185+'Budgeted Rate Base'!F182)-'Budgeted Rate Base'!J181)/K17)</f>
        <v>0</v>
      </c>
      <c r="L30" s="1135"/>
      <c r="M30" s="458"/>
      <c r="N30" s="458"/>
      <c r="O30" s="458"/>
      <c r="P30" s="458"/>
      <c r="Q30" s="458"/>
      <c r="R30" s="458"/>
      <c r="S30" s="625"/>
    </row>
    <row r="31" spans="2:19" ht="8.25" customHeight="1">
      <c r="B31" s="668"/>
      <c r="C31" s="458"/>
      <c r="D31" s="458"/>
      <c r="E31" s="51"/>
      <c r="F31" s="1128"/>
      <c r="G31" s="1136"/>
      <c r="H31" s="1136"/>
      <c r="I31" s="1136"/>
      <c r="J31" s="1137"/>
      <c r="K31" s="1138"/>
      <c r="L31" s="1135"/>
      <c r="M31" s="458"/>
      <c r="N31" s="458"/>
      <c r="O31" s="458"/>
      <c r="P31" s="458"/>
      <c r="Q31" s="458"/>
      <c r="R31" s="458"/>
      <c r="S31" s="625"/>
    </row>
    <row r="32" spans="2:19" ht="21" customHeight="1">
      <c r="B32" s="668"/>
      <c r="C32" s="458"/>
      <c r="D32" s="458"/>
      <c r="E32" s="51"/>
      <c r="F32" s="1128"/>
      <c r="G32" s="777"/>
      <c r="H32" s="777"/>
      <c r="I32" s="777"/>
      <c r="J32" s="1139" t="s">
        <v>319</v>
      </c>
      <c r="K32" s="1134">
        <f>IF(K21=0,0,(('Budgeted Rate Base'!F185+'Budgeted Rate Base'!F182)-'Budgeted Rate Base'!J181)/K21)</f>
        <v>0</v>
      </c>
      <c r="L32" s="1135"/>
      <c r="M32" s="458"/>
      <c r="N32" s="458"/>
      <c r="O32" s="458"/>
      <c r="P32" s="458"/>
      <c r="Q32" s="458"/>
      <c r="R32" s="458"/>
      <c r="S32" s="625"/>
    </row>
    <row r="33" spans="2:19" ht="16.5" customHeight="1" thickBot="1">
      <c r="B33" s="668"/>
      <c r="C33" s="458"/>
      <c r="D33" s="458"/>
      <c r="E33" s="458"/>
      <c r="F33" s="1140"/>
      <c r="G33" s="1141"/>
      <c r="H33" s="1141"/>
      <c r="I33" s="1141"/>
      <c r="J33" s="1141"/>
      <c r="K33" s="1141"/>
      <c r="L33" s="1142"/>
      <c r="M33" s="636"/>
      <c r="N33" s="636"/>
      <c r="O33" s="636"/>
      <c r="P33" s="458"/>
      <c r="Q33" s="458"/>
      <c r="R33" s="458"/>
      <c r="S33" s="625"/>
    </row>
    <row r="34" spans="2:19" ht="18" customHeight="1">
      <c r="B34" s="668"/>
      <c r="C34" s="458"/>
      <c r="D34" s="458"/>
      <c r="E34" s="458"/>
      <c r="F34" s="458"/>
      <c r="G34" s="458"/>
      <c r="H34" s="458"/>
      <c r="I34" s="458"/>
      <c r="J34" s="458"/>
      <c r="K34" s="879"/>
      <c r="L34" s="879"/>
      <c r="M34" s="458"/>
      <c r="N34" s="458"/>
      <c r="O34" s="458"/>
      <c r="P34" s="458"/>
      <c r="Q34" s="458"/>
      <c r="R34" s="458"/>
      <c r="S34" s="625"/>
    </row>
    <row r="35" spans="2:19" ht="12.75">
      <c r="B35" s="668"/>
      <c r="C35" s="458"/>
      <c r="D35" s="458"/>
      <c r="E35" s="458"/>
      <c r="F35" s="458"/>
      <c r="G35" s="458"/>
      <c r="H35" s="458"/>
      <c r="I35" s="458"/>
      <c r="J35" s="458"/>
      <c r="K35" s="458"/>
      <c r="L35" s="458"/>
      <c r="M35" s="458"/>
      <c r="N35" s="458"/>
      <c r="O35" s="458"/>
      <c r="P35" s="458"/>
      <c r="Q35" s="458"/>
      <c r="R35" s="458"/>
      <c r="S35" s="625"/>
    </row>
    <row r="36" spans="2:19" ht="21" customHeight="1">
      <c r="B36" s="668"/>
      <c r="C36" s="458"/>
      <c r="D36" s="902" t="s">
        <v>111</v>
      </c>
      <c r="E36" s="458"/>
      <c r="F36" s="458"/>
      <c r="G36" s="458"/>
      <c r="H36" s="458"/>
      <c r="I36" s="458"/>
      <c r="J36" s="458"/>
      <c r="K36" s="458"/>
      <c r="L36" s="458"/>
      <c r="M36" s="458"/>
      <c r="N36" s="458"/>
      <c r="O36" s="458"/>
      <c r="P36" s="458"/>
      <c r="Q36" s="458"/>
      <c r="R36" s="458"/>
      <c r="S36" s="625"/>
    </row>
    <row r="37" spans="2:19" ht="13.5" thickBot="1">
      <c r="B37" s="903"/>
      <c r="C37" s="904"/>
      <c r="D37" s="904"/>
      <c r="E37" s="904"/>
      <c r="F37" s="904"/>
      <c r="G37" s="904"/>
      <c r="H37" s="904"/>
      <c r="I37" s="904"/>
      <c r="J37" s="904"/>
      <c r="K37" s="904"/>
      <c r="L37" s="904"/>
      <c r="M37" s="904"/>
      <c r="N37" s="904"/>
      <c r="O37" s="904"/>
      <c r="P37" s="904"/>
      <c r="Q37" s="904"/>
      <c r="R37" s="904"/>
      <c r="S37" s="1044"/>
    </row>
    <row r="38" ht="12.75"/>
    <row r="39" ht="12.75">
      <c r="B39" s="1143" t="s">
        <v>349</v>
      </c>
    </row>
    <row r="40" ht="12.75">
      <c r="B40" s="1144" t="s">
        <v>350</v>
      </c>
    </row>
    <row r="41" ht="12.75"/>
    <row r="42" ht="12.75">
      <c r="B42" s="1143" t="s">
        <v>344</v>
      </c>
    </row>
    <row r="43" ht="12.75">
      <c r="B43" s="9" t="s">
        <v>381</v>
      </c>
    </row>
    <row r="44" ht="12.75">
      <c r="B44" s="1144"/>
    </row>
    <row r="45" ht="12.75">
      <c r="B45" s="1145"/>
    </row>
    <row r="46" ht="12.75">
      <c r="B46" s="1146" t="s">
        <v>345</v>
      </c>
    </row>
    <row r="47" ht="12.75">
      <c r="B47" s="1146" t="s">
        <v>346</v>
      </c>
    </row>
    <row r="48" ht="12.75">
      <c r="B48" s="1146" t="s">
        <v>347</v>
      </c>
    </row>
    <row r="49" ht="12.75">
      <c r="B49" s="1146" t="s">
        <v>348</v>
      </c>
    </row>
    <row r="51" ht="12.75">
      <c r="B51" s="1143" t="s">
        <v>342</v>
      </c>
    </row>
    <row r="52" ht="12.75">
      <c r="B52" s="1144" t="s">
        <v>343</v>
      </c>
    </row>
  </sheetData>
  <sheetProtection password="E09D" sheet="1" objects="1" scenarios="1" selectLockedCells="1"/>
  <mergeCells count="1">
    <mergeCell ref="F28:L28"/>
  </mergeCells>
  <printOptions horizontalCentered="1"/>
  <pageMargins left="0.64" right="0.53" top="0.67" bottom="0.61" header="0.39" footer="0.4"/>
  <pageSetup cellComments="asDisplayed" fitToHeight="2" fitToWidth="1" horizontalDpi="1200" verticalDpi="1200" orientation="portrait" scale="65" r:id="rId3"/>
  <headerFooter alignWithMargins="0">
    <oddFooter>&amp;L&amp;"Arial,Regular"&amp;F:  &amp;A&amp;C&amp;R&amp;"Arial,Regular"Page &amp;P of &amp;N
</oddFooter>
  </headerFooter>
  <rowBreaks count="1" manualBreakCount="1">
    <brk id="127" max="255" man="1"/>
  </rowBreaks>
  <legacyDrawing r:id="rId2"/>
</worksheet>
</file>

<file path=xl/worksheets/sheet6.xml><?xml version="1.0" encoding="utf-8"?>
<worksheet xmlns="http://schemas.openxmlformats.org/spreadsheetml/2006/main" xmlns:r="http://schemas.openxmlformats.org/officeDocument/2006/relationships">
  <sheetPr codeName="Sheet5">
    <tabColor indexed="46"/>
  </sheetPr>
  <dimension ref="A2:W150"/>
  <sheetViews>
    <sheetView showGridLines="0" zoomScale="65" zoomScaleNormal="65" zoomScaleSheetLayoutView="50" zoomScalePageLayoutView="0" workbookViewId="0" topLeftCell="A1">
      <selection activeCell="G12" sqref="G12"/>
    </sheetView>
  </sheetViews>
  <sheetFormatPr defaultColWidth="9.00390625" defaultRowHeight="12.75"/>
  <cols>
    <col min="1" max="1" width="1.625" style="16" customWidth="1"/>
    <col min="2" max="2" width="2.75390625" style="0" customWidth="1"/>
    <col min="3" max="3" width="2.00390625" style="0" customWidth="1"/>
    <col min="4" max="4" width="3.50390625" style="0" customWidth="1"/>
    <col min="5" max="5" width="9.375" style="0" customWidth="1"/>
    <col min="6" max="6" width="80.125" style="0" customWidth="1"/>
    <col min="7" max="7" width="1.75390625" style="0" customWidth="1"/>
    <col min="8" max="8" width="13.125" style="0" customWidth="1"/>
    <col min="9" max="9" width="2.125" style="0" customWidth="1"/>
    <col min="10" max="10" width="13.00390625" style="0" customWidth="1"/>
    <col min="11" max="11" width="2.00390625" style="0" customWidth="1"/>
    <col min="12" max="12" width="13.125" style="0" customWidth="1"/>
    <col min="13" max="13" width="2.125" style="0" customWidth="1"/>
    <col min="14" max="14" width="13.00390625" style="0" customWidth="1"/>
    <col min="15" max="15" width="2.25390625" style="0" customWidth="1"/>
    <col min="16" max="16" width="13.00390625" style="0" customWidth="1"/>
    <col min="17" max="17" width="11.125" style="0" customWidth="1"/>
    <col min="18" max="18" width="2.25390625" style="0" customWidth="1"/>
    <col min="19" max="19" width="3.00390625" style="0" customWidth="1"/>
    <col min="20" max="20" width="37.625" style="0" customWidth="1"/>
    <col min="21" max="21" width="24.125" style="0" customWidth="1"/>
    <col min="22" max="22" width="15.125" style="0" customWidth="1"/>
    <col min="23" max="23" width="14.375" style="16" customWidth="1"/>
    <col min="24" max="16384" width="9.00390625" style="16" customWidth="1"/>
  </cols>
  <sheetData>
    <row r="1" ht="13.5" thickBot="1"/>
    <row r="2" spans="2:20" ht="12.75">
      <c r="B2" s="29"/>
      <c r="C2" s="30"/>
      <c r="D2" s="30"/>
      <c r="E2" s="30"/>
      <c r="F2" s="30"/>
      <c r="G2" s="30"/>
      <c r="H2" s="30"/>
      <c r="I2" s="30"/>
      <c r="J2" s="30"/>
      <c r="K2" s="30"/>
      <c r="L2" s="30"/>
      <c r="M2" s="30"/>
      <c r="N2" s="30"/>
      <c r="O2" s="30"/>
      <c r="P2" s="30"/>
      <c r="Q2" s="30"/>
      <c r="R2" s="30"/>
      <c r="S2" s="30"/>
      <c r="T2" s="31"/>
    </row>
    <row r="3" spans="2:22" s="17" customFormat="1" ht="29.25" customHeight="1">
      <c r="B3" s="32"/>
      <c r="C3" s="25"/>
      <c r="D3" s="547" t="s">
        <v>107</v>
      </c>
      <c r="E3" s="548"/>
      <c r="F3" s="41"/>
      <c r="G3" s="19"/>
      <c r="H3" s="516" t="s">
        <v>198</v>
      </c>
      <c r="I3" s="517"/>
      <c r="J3" s="515">
        <f>'Preliminary Information'!G6</f>
        <v>0</v>
      </c>
      <c r="K3" s="25"/>
      <c r="L3" s="25" t="str">
        <f>'Preliminary Information'!$J$3</f>
        <v>Version 1.4</v>
      </c>
      <c r="M3" s="25"/>
      <c r="N3" s="25"/>
      <c r="O3" s="25"/>
      <c r="P3" s="25"/>
      <c r="Q3" s="25"/>
      <c r="R3" s="25"/>
      <c r="S3" s="25"/>
      <c r="T3" s="33"/>
      <c r="U3" s="1"/>
      <c r="V3" s="1"/>
    </row>
    <row r="4" spans="2:20" ht="18" customHeight="1">
      <c r="B4" s="34"/>
      <c r="C4" s="200"/>
      <c r="D4" s="1168" t="s">
        <v>23</v>
      </c>
      <c r="E4" s="1169" t="s">
        <v>382</v>
      </c>
      <c r="F4" s="28"/>
      <c r="G4" s="25"/>
      <c r="H4" s="544" t="s">
        <v>218</v>
      </c>
      <c r="I4" s="545"/>
      <c r="J4" s="546">
        <f>'Preliminary Information'!G7</f>
        <v>0</v>
      </c>
      <c r="K4" s="25"/>
      <c r="L4" s="25"/>
      <c r="M4" s="25"/>
      <c r="N4" s="25"/>
      <c r="O4" s="25"/>
      <c r="P4" s="25"/>
      <c r="Q4" s="25"/>
      <c r="R4" s="25"/>
      <c r="S4" s="25"/>
      <c r="T4" s="33"/>
    </row>
    <row r="5" spans="2:20" ht="5.25" customHeight="1">
      <c r="B5" s="34"/>
      <c r="C5" s="200"/>
      <c r="D5" s="1184"/>
      <c r="E5" s="1184"/>
      <c r="F5" s="1171"/>
      <c r="G5" s="539"/>
      <c r="H5" s="539"/>
      <c r="I5" s="539"/>
      <c r="J5" s="539"/>
      <c r="K5" s="539"/>
      <c r="L5" s="539"/>
      <c r="M5" s="539"/>
      <c r="N5" s="539"/>
      <c r="O5" s="539"/>
      <c r="P5" s="539"/>
      <c r="Q5" s="539"/>
      <c r="R5" s="539"/>
      <c r="S5" s="25"/>
      <c r="T5" s="33"/>
    </row>
    <row r="6" spans="2:20" ht="15" customHeight="1">
      <c r="B6" s="34"/>
      <c r="C6" s="200"/>
      <c r="D6" s="1170" t="s">
        <v>24</v>
      </c>
      <c r="E6" s="1171" t="s">
        <v>383</v>
      </c>
      <c r="F6" s="28"/>
      <c r="G6" s="25"/>
      <c r="H6" s="25"/>
      <c r="I6" s="25"/>
      <c r="J6" s="25"/>
      <c r="K6" s="25"/>
      <c r="L6" s="25"/>
      <c r="M6" s="25"/>
      <c r="N6" s="25"/>
      <c r="O6" s="25"/>
      <c r="P6" s="25"/>
      <c r="Q6" s="25"/>
      <c r="R6" s="25"/>
      <c r="S6" s="25"/>
      <c r="T6" s="33"/>
    </row>
    <row r="7" spans="2:20" ht="15" customHeight="1">
      <c r="B7" s="34"/>
      <c r="C7" s="200"/>
      <c r="D7" s="20"/>
      <c r="E7" s="20"/>
      <c r="F7" s="539"/>
      <c r="G7" s="539"/>
      <c r="H7" s="539"/>
      <c r="I7" s="539"/>
      <c r="J7" s="539"/>
      <c r="K7" s="539"/>
      <c r="L7" s="539"/>
      <c r="M7" s="539"/>
      <c r="N7" s="539"/>
      <c r="O7" s="539"/>
      <c r="P7" s="539"/>
      <c r="Q7" s="539"/>
      <c r="R7" s="539"/>
      <c r="S7" s="25"/>
      <c r="T7" s="33"/>
    </row>
    <row r="8" spans="2:20" ht="6.75" customHeight="1">
      <c r="B8" s="34"/>
      <c r="C8" s="200"/>
      <c r="D8" s="25"/>
      <c r="E8" s="438"/>
      <c r="F8" s="25"/>
      <c r="G8" s="25"/>
      <c r="H8" s="25"/>
      <c r="I8" s="25"/>
      <c r="J8" s="25"/>
      <c r="K8" s="25"/>
      <c r="L8" s="25"/>
      <c r="M8" s="25"/>
      <c r="N8" s="25"/>
      <c r="O8" s="25"/>
      <c r="P8" s="25"/>
      <c r="Q8" s="25"/>
      <c r="R8" s="25"/>
      <c r="S8" s="25"/>
      <c r="T8" s="33"/>
    </row>
    <row r="9" spans="2:20" ht="9.75" customHeight="1">
      <c r="B9" s="34"/>
      <c r="C9" s="200"/>
      <c r="D9" s="25"/>
      <c r="E9" s="25"/>
      <c r="F9" s="47"/>
      <c r="G9" s="47"/>
      <c r="H9" s="279"/>
      <c r="I9" s="279"/>
      <c r="J9" s="279"/>
      <c r="K9" s="279"/>
      <c r="L9" s="279"/>
      <c r="M9" s="279"/>
      <c r="N9" s="279"/>
      <c r="O9" s="279"/>
      <c r="P9" s="279"/>
      <c r="Q9" s="280"/>
      <c r="R9" s="280"/>
      <c r="S9" s="200"/>
      <c r="T9" s="207"/>
    </row>
    <row r="10" spans="2:20" ht="9.75" customHeight="1">
      <c r="B10" s="34"/>
      <c r="C10" s="196"/>
      <c r="D10" s="151"/>
      <c r="E10" s="151"/>
      <c r="F10" s="150"/>
      <c r="G10" s="150"/>
      <c r="H10" s="432"/>
      <c r="I10" s="432"/>
      <c r="J10" s="432"/>
      <c r="K10" s="432"/>
      <c r="L10" s="432"/>
      <c r="M10" s="432"/>
      <c r="N10" s="432"/>
      <c r="O10" s="433"/>
      <c r="P10" s="279"/>
      <c r="Q10" s="280"/>
      <c r="R10" s="280"/>
      <c r="S10" s="200"/>
      <c r="T10" s="207"/>
    </row>
    <row r="11" spans="2:20" ht="19.5" customHeight="1">
      <c r="B11" s="34"/>
      <c r="C11" s="197"/>
      <c r="D11" s="318" t="s">
        <v>320</v>
      </c>
      <c r="E11" s="70"/>
      <c r="F11" s="134"/>
      <c r="G11" s="134"/>
      <c r="H11" s="317"/>
      <c r="I11" s="317"/>
      <c r="J11" s="317"/>
      <c r="K11" s="317"/>
      <c r="L11" s="317"/>
      <c r="M11" s="317"/>
      <c r="N11" s="317"/>
      <c r="O11" s="434"/>
      <c r="P11" s="279"/>
      <c r="Q11" s="280"/>
      <c r="R11" s="280"/>
      <c r="S11" s="200"/>
      <c r="T11" s="207"/>
    </row>
    <row r="12" spans="2:20" ht="19.5" customHeight="1">
      <c r="B12" s="34"/>
      <c r="C12" s="197"/>
      <c r="D12" s="90"/>
      <c r="E12" s="70"/>
      <c r="F12" s="90"/>
      <c r="G12" s="402">
        <v>1</v>
      </c>
      <c r="H12" s="333" t="s">
        <v>59</v>
      </c>
      <c r="I12" s="403">
        <v>1</v>
      </c>
      <c r="J12" s="333" t="s">
        <v>128</v>
      </c>
      <c r="K12" s="403">
        <v>1</v>
      </c>
      <c r="L12" s="333" t="s">
        <v>60</v>
      </c>
      <c r="M12" s="404">
        <v>2</v>
      </c>
      <c r="N12" s="333" t="s">
        <v>18</v>
      </c>
      <c r="O12" s="405"/>
      <c r="P12" s="25"/>
      <c r="Q12" s="280"/>
      <c r="R12" s="280"/>
      <c r="S12" s="25"/>
      <c r="T12" s="33"/>
    </row>
    <row r="13" spans="2:20" ht="26.25" customHeight="1">
      <c r="B13" s="34"/>
      <c r="C13" s="197"/>
      <c r="D13" s="1173" t="s">
        <v>23</v>
      </c>
      <c r="E13" s="1629" t="s">
        <v>388</v>
      </c>
      <c r="F13" s="1630"/>
      <c r="G13" s="90"/>
      <c r="H13" s="391" t="s">
        <v>131</v>
      </c>
      <c r="I13" s="406"/>
      <c r="J13" s="391" t="s">
        <v>129</v>
      </c>
      <c r="K13" s="407"/>
      <c r="L13" s="391" t="s">
        <v>135</v>
      </c>
      <c r="M13" s="408"/>
      <c r="N13" s="391" t="s">
        <v>135</v>
      </c>
      <c r="O13" s="409"/>
      <c r="P13" s="25"/>
      <c r="Q13" s="280"/>
      <c r="R13" s="280"/>
      <c r="S13" s="25"/>
      <c r="T13" s="33"/>
    </row>
    <row r="14" spans="2:20" ht="18.75" customHeight="1">
      <c r="B14" s="34"/>
      <c r="C14" s="197"/>
      <c r="D14" s="1172"/>
      <c r="E14" s="1630"/>
      <c r="F14" s="1630"/>
      <c r="G14" s="357"/>
      <c r="H14" s="482" t="s">
        <v>134</v>
      </c>
      <c r="I14" s="484"/>
      <c r="J14" s="482" t="s">
        <v>132</v>
      </c>
      <c r="K14" s="485"/>
      <c r="L14" s="482" t="s">
        <v>132</v>
      </c>
      <c r="M14" s="484"/>
      <c r="N14" s="482" t="s">
        <v>132</v>
      </c>
      <c r="O14" s="369"/>
      <c r="P14" s="439"/>
      <c r="Q14" s="280"/>
      <c r="R14" s="280"/>
      <c r="S14" s="25"/>
      <c r="T14" s="33"/>
    </row>
    <row r="15" spans="2:20" ht="92.25" customHeight="1">
      <c r="B15" s="34"/>
      <c r="C15" s="197"/>
      <c r="D15" s="70"/>
      <c r="E15" s="70"/>
      <c r="F15" s="134"/>
      <c r="G15" s="134"/>
      <c r="H15" s="512" t="str">
        <f>IF(G12=2,"STOP! Do NOT Complete Sections II - V for Ambulatory Service",IF(G12=1,"Go to Section II for Ambulatory Service",""))</f>
        <v>Go to Section II for Ambulatory Service</v>
      </c>
      <c r="I15" s="486"/>
      <c r="J15" s="512" t="str">
        <f>IF(I12=2,"STOP! Do NOT Complete Sections II - V for Wheelchair Service",IF(I12=1,"Go to Section II for Wheelchair Service",""))</f>
        <v>Go to Section II for Wheelchair Service</v>
      </c>
      <c r="K15" s="486"/>
      <c r="L15" s="512" t="str">
        <f>IF(K12=2,"STOP! Do NOT Complete Sections II - V for Stretcher Service",IF(K12=1,"Go to Section II for Stretcher Service",""))</f>
        <v>Go to Section II for Stretcher Service</v>
      </c>
      <c r="M15" s="486"/>
      <c r="N15" s="512" t="str">
        <f>IF(M12=2,"STOP! Do NOT Complete Sections II - V for Group Service",IF(M12=1,"Go to Section II for Group Service",""))</f>
        <v>STOP! Do NOT Complete Sections II - V for Group Service</v>
      </c>
      <c r="O15" s="434"/>
      <c r="P15" s="279"/>
      <c r="Q15" s="280"/>
      <c r="R15" s="280"/>
      <c r="S15" s="200"/>
      <c r="T15" s="207"/>
    </row>
    <row r="16" spans="2:20" ht="9.75" customHeight="1" thickBot="1">
      <c r="B16" s="34"/>
      <c r="C16" s="198"/>
      <c r="D16" s="145"/>
      <c r="E16" s="145"/>
      <c r="F16" s="149"/>
      <c r="G16" s="149"/>
      <c r="H16" s="435"/>
      <c r="I16" s="435"/>
      <c r="J16" s="435"/>
      <c r="K16" s="435"/>
      <c r="L16" s="435"/>
      <c r="M16" s="435"/>
      <c r="N16" s="435"/>
      <c r="O16" s="436"/>
      <c r="P16" s="279"/>
      <c r="Q16" s="280"/>
      <c r="R16" s="280"/>
      <c r="S16" s="200"/>
      <c r="T16" s="207"/>
    </row>
    <row r="17" spans="2:20" ht="9.75" customHeight="1">
      <c r="B17" s="34"/>
      <c r="C17" s="200"/>
      <c r="D17" s="25"/>
      <c r="E17" s="25"/>
      <c r="F17" s="47"/>
      <c r="G17" s="47"/>
      <c r="H17" s="279"/>
      <c r="I17" s="279"/>
      <c r="J17" s="279"/>
      <c r="K17" s="279"/>
      <c r="L17" s="279"/>
      <c r="M17" s="279"/>
      <c r="N17" s="279"/>
      <c r="O17" s="279"/>
      <c r="P17" s="279"/>
      <c r="Q17" s="280"/>
      <c r="R17" s="280"/>
      <c r="S17" s="200"/>
      <c r="T17" s="207"/>
    </row>
    <row r="18" spans="2:20" ht="12.75">
      <c r="B18" s="34"/>
      <c r="C18" s="196"/>
      <c r="D18" s="151"/>
      <c r="E18" s="151"/>
      <c r="F18" s="151"/>
      <c r="G18" s="151"/>
      <c r="H18" s="151"/>
      <c r="I18" s="151"/>
      <c r="J18" s="151"/>
      <c r="K18" s="151"/>
      <c r="L18" s="151"/>
      <c r="M18" s="151"/>
      <c r="N18" s="151"/>
      <c r="O18" s="152"/>
      <c r="P18" s="25"/>
      <c r="Q18" s="280"/>
      <c r="R18" s="280"/>
      <c r="S18" s="25"/>
      <c r="T18" s="33"/>
    </row>
    <row r="19" spans="2:20" ht="18">
      <c r="B19" s="34"/>
      <c r="C19" s="197"/>
      <c r="D19" s="401" t="s">
        <v>150</v>
      </c>
      <c r="E19" s="70"/>
      <c r="F19" s="70"/>
      <c r="G19" s="70"/>
      <c r="H19" s="70"/>
      <c r="I19" s="70"/>
      <c r="J19" s="70"/>
      <c r="K19" s="70"/>
      <c r="L19" s="70"/>
      <c r="M19" s="390"/>
      <c r="N19" s="70"/>
      <c r="O19" s="147"/>
      <c r="P19" s="25"/>
      <c r="Q19" s="280"/>
      <c r="R19" s="280"/>
      <c r="S19" s="25"/>
      <c r="T19" s="33"/>
    </row>
    <row r="20" spans="2:20" ht="19.5" customHeight="1">
      <c r="B20" s="34"/>
      <c r="C20" s="197"/>
      <c r="D20" s="90"/>
      <c r="E20" s="70"/>
      <c r="F20" s="90"/>
      <c r="G20" s="402">
        <v>1</v>
      </c>
      <c r="H20" s="333" t="s">
        <v>59</v>
      </c>
      <c r="I20" s="403">
        <v>1</v>
      </c>
      <c r="J20" s="333" t="s">
        <v>128</v>
      </c>
      <c r="K20" s="403">
        <v>1</v>
      </c>
      <c r="L20" s="333" t="s">
        <v>60</v>
      </c>
      <c r="M20" s="404">
        <v>2</v>
      </c>
      <c r="N20" s="333" t="s">
        <v>18</v>
      </c>
      <c r="O20" s="405"/>
      <c r="P20" s="25"/>
      <c r="Q20" s="280"/>
      <c r="R20" s="280"/>
      <c r="S20" s="25"/>
      <c r="T20" s="33"/>
    </row>
    <row r="21" spans="2:20" ht="26.25" customHeight="1">
      <c r="B21" s="34"/>
      <c r="C21" s="197"/>
      <c r="D21" s="1173" t="s">
        <v>23</v>
      </c>
      <c r="E21" s="18" t="s">
        <v>389</v>
      </c>
      <c r="F21" s="18"/>
      <c r="G21" s="90"/>
      <c r="H21" s="391" t="s">
        <v>131</v>
      </c>
      <c r="I21" s="406"/>
      <c r="J21" s="391" t="s">
        <v>129</v>
      </c>
      <c r="K21" s="407"/>
      <c r="L21" s="391" t="s">
        <v>135</v>
      </c>
      <c r="M21" s="408"/>
      <c r="N21" s="391" t="s">
        <v>135</v>
      </c>
      <c r="O21" s="409"/>
      <c r="P21" s="25"/>
      <c r="Q21" s="280"/>
      <c r="R21" s="280"/>
      <c r="S21" s="25"/>
      <c r="T21" s="33"/>
    </row>
    <row r="22" spans="2:20" ht="18" customHeight="1">
      <c r="B22" s="34"/>
      <c r="C22" s="197"/>
      <c r="D22" s="410"/>
      <c r="E22" s="70"/>
      <c r="F22" s="70"/>
      <c r="G22" s="357"/>
      <c r="H22" s="482" t="s">
        <v>134</v>
      </c>
      <c r="I22" s="484"/>
      <c r="J22" s="482" t="s">
        <v>132</v>
      </c>
      <c r="K22" s="485"/>
      <c r="L22" s="482" t="s">
        <v>132</v>
      </c>
      <c r="M22" s="484"/>
      <c r="N22" s="482" t="s">
        <v>132</v>
      </c>
      <c r="O22" s="369"/>
      <c r="P22" s="440"/>
      <c r="Q22" s="280"/>
      <c r="R22" s="280"/>
      <c r="S22" s="25"/>
      <c r="T22" s="33"/>
    </row>
    <row r="23" spans="2:22" ht="78" customHeight="1">
      <c r="B23" s="34"/>
      <c r="C23" s="197"/>
      <c r="D23" s="410"/>
      <c r="E23" s="70"/>
      <c r="F23" s="70"/>
      <c r="G23" s="357"/>
      <c r="H23" s="512" t="str">
        <f>IF(G12=2,"Do Not Complete Section II for Ambulatory Service",IF(G20=2,"Skip # 2, 3 &amp;  4 and Go to Section III for Ambulatory Service",IF(G20=1,"Answer # 2 for Ambulatory Service","")))</f>
        <v>Answer # 2 for Ambulatory Service</v>
      </c>
      <c r="I23" s="479"/>
      <c r="J23" s="512" t="str">
        <f>IF(I12=2,"Do Not Complete Section II for Wheelchair Service",IF(I20=2,"Skip # 2, 3 &amp;  4 and Go to Section III for Wheelchair Service",IF(I20=1,"Answer # 2 for Wheelchair Service","")))</f>
        <v>Answer # 2 for Wheelchair Service</v>
      </c>
      <c r="K23" s="487"/>
      <c r="L23" s="512" t="str">
        <f>IF(K12=2,"Do Not Complete Section II for Stretcher Service",IF(K20=2,"Skip # 2, 3 &amp;  4 and Go to Section III for Stretcher Service",IF(K20=1,"Answer # 2 for Stretcher Service","")))</f>
        <v>Answer # 2 for Stretcher Service</v>
      </c>
      <c r="M23" s="479"/>
      <c r="N23" s="512" t="str">
        <f>IF(M12=2,"Do Not Complete Section II for Group Service",IF(M20=2,"Skip # 2, 3 &amp;  4 and Go to Section III for Group Service",IF(M20=1,"Answer # 2 for Group Service","")))</f>
        <v>Do Not Complete Section II for Group Service</v>
      </c>
      <c r="O23" s="369"/>
      <c r="P23" s="440"/>
      <c r="Q23" s="280"/>
      <c r="R23" s="280"/>
      <c r="S23" s="25"/>
      <c r="T23" s="33"/>
      <c r="U23" s="16"/>
      <c r="V23" s="16"/>
    </row>
    <row r="24" spans="2:20" ht="9" customHeight="1">
      <c r="B24" s="34"/>
      <c r="C24" s="197"/>
      <c r="D24" s="410"/>
      <c r="E24" s="70"/>
      <c r="F24" s="390"/>
      <c r="G24" s="411"/>
      <c r="H24" s="390"/>
      <c r="I24" s="390"/>
      <c r="J24" s="412"/>
      <c r="K24" s="412"/>
      <c r="L24" s="390"/>
      <c r="M24" s="413"/>
      <c r="N24" s="390"/>
      <c r="O24" s="147"/>
      <c r="P24" s="25"/>
      <c r="Q24" s="280"/>
      <c r="R24" s="280"/>
      <c r="S24" s="25"/>
      <c r="T24" s="33"/>
    </row>
    <row r="25" spans="2:20" ht="30.75" customHeight="1">
      <c r="B25" s="34"/>
      <c r="C25" s="197"/>
      <c r="D25" s="1174" t="s">
        <v>24</v>
      </c>
      <c r="E25" s="1635" t="s">
        <v>390</v>
      </c>
      <c r="F25" s="1635"/>
      <c r="G25" s="414">
        <v>2</v>
      </c>
      <c r="H25" s="391" t="s">
        <v>135</v>
      </c>
      <c r="I25" s="415">
        <v>2</v>
      </c>
      <c r="J25" s="391" t="s">
        <v>135</v>
      </c>
      <c r="K25" s="416">
        <v>2</v>
      </c>
      <c r="L25" s="391" t="s">
        <v>135</v>
      </c>
      <c r="M25" s="415">
        <v>2</v>
      </c>
      <c r="N25" s="391" t="s">
        <v>135</v>
      </c>
      <c r="O25" s="369"/>
      <c r="P25" s="441"/>
      <c r="Q25" s="280"/>
      <c r="R25" s="280"/>
      <c r="S25" s="25"/>
      <c r="T25" s="33"/>
    </row>
    <row r="26" spans="2:20" ht="16.5" customHeight="1">
      <c r="B26" s="34"/>
      <c r="C26" s="197"/>
      <c r="D26" s="410"/>
      <c r="E26" s="417"/>
      <c r="F26" s="417"/>
      <c r="G26" s="417"/>
      <c r="H26" s="482" t="s">
        <v>132</v>
      </c>
      <c r="I26" s="518"/>
      <c r="J26" s="482" t="s">
        <v>132</v>
      </c>
      <c r="K26" s="483"/>
      <c r="L26" s="482" t="s">
        <v>132</v>
      </c>
      <c r="M26" s="484"/>
      <c r="N26" s="482" t="s">
        <v>132</v>
      </c>
      <c r="O26" s="409"/>
      <c r="P26" s="442"/>
      <c r="Q26" s="280"/>
      <c r="R26" s="280"/>
      <c r="S26" s="25"/>
      <c r="T26" s="33"/>
    </row>
    <row r="27" spans="2:20" ht="10.5" customHeight="1">
      <c r="B27" s="34"/>
      <c r="C27" s="197"/>
      <c r="D27" s="410"/>
      <c r="E27" s="90"/>
      <c r="F27" s="70"/>
      <c r="G27" s="70"/>
      <c r="H27" s="70"/>
      <c r="I27" s="418"/>
      <c r="J27" s="70"/>
      <c r="K27" s="70"/>
      <c r="L27" s="70"/>
      <c r="M27" s="390"/>
      <c r="N27" s="70"/>
      <c r="O27" s="147"/>
      <c r="P27" s="25"/>
      <c r="Q27" s="280"/>
      <c r="R27" s="280"/>
      <c r="S27" s="25"/>
      <c r="T27" s="33"/>
    </row>
    <row r="28" spans="2:20" ht="63" customHeight="1">
      <c r="B28" s="34"/>
      <c r="C28" s="197"/>
      <c r="D28" s="410"/>
      <c r="E28" s="70"/>
      <c r="F28" s="70"/>
      <c r="G28" s="70"/>
      <c r="H28" s="513" t="str">
        <f>IF(G12=2,"Do NOT Complete Section II for Ambulatory Service",IF(OR(G20=2,G25=2),"Leave Blank",IF(G25=1,"Complete Cells Below","")))</f>
        <v>Leave Blank</v>
      </c>
      <c r="I28" s="420"/>
      <c r="J28" s="513" t="str">
        <f>IF(I12=2,"Do NOT Complete Section II for Wheelchair Service",IF(OR(I20=2,I25=2),"Leave Blank",IF(I25=1,"Complete Cells Below","")))</f>
        <v>Leave Blank</v>
      </c>
      <c r="K28" s="419"/>
      <c r="L28" s="513" t="str">
        <f>IF(K12=2,"Do NOT Complete Section II for Stretcher Service",IF(OR(K20=2,K25=2),"Leave Blank",IF(K25=1,"Complete Cells Below","")))</f>
        <v>Leave Blank</v>
      </c>
      <c r="M28" s="421"/>
      <c r="N28" s="513" t="str">
        <f>IF(M12=2,"Do NOT Complete Section II for Group Service",IF(OR(M20=2,M25=2),"Leave Blank",IF(M25=1,"Complete Cells Below","")))</f>
        <v>Do NOT Complete Section II for Group Service</v>
      </c>
      <c r="O28" s="422"/>
      <c r="P28" s="200"/>
      <c r="Q28" s="443"/>
      <c r="R28" s="443"/>
      <c r="S28" s="25"/>
      <c r="T28" s="33"/>
    </row>
    <row r="29" spans="2:20" ht="15.75" customHeight="1">
      <c r="B29" s="34"/>
      <c r="C29" s="197"/>
      <c r="D29" s="1173" t="s">
        <v>25</v>
      </c>
      <c r="E29" s="1183" t="s">
        <v>391</v>
      </c>
      <c r="F29" s="93"/>
      <c r="G29" s="188"/>
      <c r="H29" s="283"/>
      <c r="I29" s="188"/>
      <c r="J29" s="283"/>
      <c r="K29" s="423"/>
      <c r="L29" s="283"/>
      <c r="M29" s="504"/>
      <c r="N29" s="283"/>
      <c r="O29" s="369"/>
      <c r="P29" s="444">
        <f>SUM(IF(H$28="Leave Blank",0,H29),IF(J$28="Leave Blank",0,J29),IF(L$28="Leave Blank",0,L29),IF(N$28="LeaveBlank",0,N29))</f>
        <v>0</v>
      </c>
      <c r="Q29" s="581">
        <f>IF(SUM(H29,J29,L29,N29)&gt;'Comprehensive Budget'!H166,"The sum cannot exceed total contracted services on Comp. Budget Wrksht","")</f>
      </c>
      <c r="R29" s="581"/>
      <c r="S29" s="25"/>
      <c r="T29" s="33"/>
    </row>
    <row r="30" spans="2:20" ht="15.75" customHeight="1">
      <c r="B30" s="34"/>
      <c r="C30" s="197"/>
      <c r="D30" s="1173"/>
      <c r="E30" s="18"/>
      <c r="F30" s="1180" t="s">
        <v>384</v>
      </c>
      <c r="G30" s="188"/>
      <c r="H30" s="284"/>
      <c r="I30" s="188"/>
      <c r="J30" s="284"/>
      <c r="K30" s="423"/>
      <c r="L30" s="284"/>
      <c r="M30" s="505"/>
      <c r="N30" s="284"/>
      <c r="O30" s="369"/>
      <c r="P30" s="614">
        <f>SUM(IF(H$28="Leave Blank",0,H30),IF(J$28="Leave Blank",0,J30),IF(L$28="Leave Blank",0,L30),IF(N$28="LeaveBlank",0,N30))</f>
        <v>0</v>
      </c>
      <c r="Q30" s="581">
        <f>IF(SUM(H30,J30,L30,N30)&gt;'Program-wide Rates'!K17,"The sum cannot exceed total Passenger Miles on Single Service Rates Wrksht","")</f>
      </c>
      <c r="R30" s="581"/>
      <c r="S30" s="25"/>
      <c r="T30" s="445"/>
    </row>
    <row r="31" spans="2:20" ht="15.75" customHeight="1" thickBot="1">
      <c r="B31" s="34"/>
      <c r="C31" s="197"/>
      <c r="D31" s="18"/>
      <c r="E31" s="18"/>
      <c r="F31" s="1180" t="s">
        <v>385</v>
      </c>
      <c r="G31" s="188"/>
      <c r="H31" s="285"/>
      <c r="I31" s="188"/>
      <c r="J31" s="285"/>
      <c r="K31" s="423"/>
      <c r="L31" s="285"/>
      <c r="M31" s="505"/>
      <c r="N31" s="285"/>
      <c r="O31" s="369"/>
      <c r="P31" s="614">
        <f>SUM(IF(H$28="Leave Blank",0,H31),IF(J$28="Leave Blank",0,J31),IF(L$28="Leave Blank",0,L31),IF(N$28="LeaveBlank",0,N31))</f>
        <v>0</v>
      </c>
      <c r="Q31" s="581">
        <f>IF(SUM(H31,J31,L31,N31)&gt;'Program-wide Rates'!K21,"The sum cannot exceed total passenger trips on Single Service Rates Wrksht","")</f>
      </c>
      <c r="R31" s="581"/>
      <c r="S31" s="25"/>
      <c r="T31" s="445"/>
    </row>
    <row r="32" spans="2:20" ht="18" customHeight="1">
      <c r="B32" s="34"/>
      <c r="C32" s="197"/>
      <c r="D32" s="70"/>
      <c r="E32" s="90"/>
      <c r="F32" s="70"/>
      <c r="G32" s="70"/>
      <c r="H32" s="476"/>
      <c r="I32" s="424"/>
      <c r="J32" s="476"/>
      <c r="K32" s="424"/>
      <c r="L32" s="476"/>
      <c r="M32" s="424"/>
      <c r="N32" s="476"/>
      <c r="O32" s="147"/>
      <c r="P32" s="25"/>
      <c r="Q32" s="280"/>
      <c r="R32" s="280"/>
      <c r="S32" s="25"/>
      <c r="T32" s="33"/>
    </row>
    <row r="33" spans="2:20" ht="15" customHeight="1">
      <c r="B33" s="34"/>
      <c r="C33" s="197"/>
      <c r="D33" s="70"/>
      <c r="E33" s="90"/>
      <c r="F33" s="480" t="s">
        <v>159</v>
      </c>
      <c r="G33" s="70"/>
      <c r="H33" s="333" t="s">
        <v>59</v>
      </c>
      <c r="I33" s="70"/>
      <c r="J33" s="333" t="s">
        <v>128</v>
      </c>
      <c r="K33" s="418"/>
      <c r="L33" s="333" t="s">
        <v>60</v>
      </c>
      <c r="M33" s="281"/>
      <c r="N33" s="333" t="s">
        <v>18</v>
      </c>
      <c r="O33" s="147"/>
      <c r="P33" s="25"/>
      <c r="Q33" s="443"/>
      <c r="R33" s="443"/>
      <c r="S33" s="200"/>
      <c r="T33" s="33"/>
    </row>
    <row r="34" spans="2:20" ht="18.75" customHeight="1">
      <c r="B34" s="34"/>
      <c r="C34" s="197"/>
      <c r="D34" s="70"/>
      <c r="E34" s="90"/>
      <c r="F34" s="1180" t="s">
        <v>392</v>
      </c>
      <c r="G34" s="188" t="s">
        <v>95</v>
      </c>
      <c r="H34" s="290">
        <f>IF(H30&lt;1,"",H29/H30)</f>
      </c>
      <c r="I34" s="95"/>
      <c r="J34" s="290">
        <f>IF(J30&lt;1,"",J29/J30)</f>
      </c>
      <c r="K34" s="425"/>
      <c r="L34" s="290">
        <f>IF(L30&lt;1,"",L29/L30)</f>
      </c>
      <c r="M34" s="288"/>
      <c r="N34" s="290">
        <f>IF(N30&lt;1,"",N29/N30)</f>
      </c>
      <c r="O34" s="426"/>
      <c r="P34" s="25"/>
      <c r="Q34" s="443"/>
      <c r="R34" s="443"/>
      <c r="S34" s="200"/>
      <c r="T34" s="33"/>
    </row>
    <row r="35" spans="2:20" ht="18.75" customHeight="1">
      <c r="B35" s="34"/>
      <c r="C35" s="197"/>
      <c r="D35" s="70"/>
      <c r="E35" s="90"/>
      <c r="F35" s="1180" t="s">
        <v>393</v>
      </c>
      <c r="G35" s="188" t="s">
        <v>95</v>
      </c>
      <c r="H35" s="291">
        <f>IF(H31&lt;1,"",H29/H31)</f>
      </c>
      <c r="I35" s="95"/>
      <c r="J35" s="291">
        <f>IF(J31&lt;1,"",J29/J31)</f>
      </c>
      <c r="K35" s="425"/>
      <c r="L35" s="291">
        <f>IF(L31&lt;1,"",L29/L31)</f>
      </c>
      <c r="M35" s="288"/>
      <c r="N35" s="291">
        <f>IF(N31&lt;1,"",N29/N31)</f>
      </c>
      <c r="O35" s="426"/>
      <c r="P35" s="25"/>
      <c r="Q35" s="280"/>
      <c r="R35" s="280"/>
      <c r="S35" s="25"/>
      <c r="T35" s="33"/>
    </row>
    <row r="36" spans="2:20" ht="72" customHeight="1">
      <c r="B36" s="34"/>
      <c r="C36" s="197"/>
      <c r="D36" s="70"/>
      <c r="E36" s="90"/>
      <c r="F36" s="189"/>
      <c r="G36" s="188"/>
      <c r="H36" s="512" t="str">
        <f>IF(G12=2,"Do NOT Complete Section II for Ambulatory Service",IF(G25=2,"Go to Section III for Ambulatory Service",IF(H29&gt;0,"Go to # 4 below for Ambulatory Service","Go to Section III for Ambulatory Service")))</f>
        <v>Go to Section III for Ambulatory Service</v>
      </c>
      <c r="I36" s="427"/>
      <c r="J36" s="512" t="str">
        <f>IF(I12=2,"Do NOT Complete Section II for Wheelchair Service",IF(I25=2,"Go to Section III for Wheelchair Service",IF(J29&gt;0,"Go to # 4 below for Wheelchair Service","Go to Section III for Wheelchair Service")))</f>
        <v>Go to Section III for Wheelchair Service</v>
      </c>
      <c r="K36" s="428"/>
      <c r="L36" s="512" t="str">
        <f>IF(K12=2,"Do NOT Complete Section II for Stretcher Service",IF(K25=2,"Go to Section III for Stretcher Service",IF(L29&gt;0,"Go to # 4 below for Stretcher Service","Go to Section III for Stretcher Service")))</f>
        <v>Go to Section III for Stretcher Service</v>
      </c>
      <c r="M36" s="319"/>
      <c r="N36" s="512" t="str">
        <f>IF(M12=2,"Do NOT Complete Section II for Group Service",IF(M25=2,"Go to Section III for Group Service",IF(N29&gt;0,"Go to # 4 below for Group Service","Go to Section III for Group Service")))</f>
        <v>Do NOT Complete Section II for Group Service</v>
      </c>
      <c r="O36" s="429"/>
      <c r="P36" s="25"/>
      <c r="Q36" s="280"/>
      <c r="R36" s="280"/>
      <c r="S36" s="25"/>
      <c r="T36" s="33"/>
    </row>
    <row r="37" spans="2:20" ht="9.75" customHeight="1">
      <c r="B37" s="34"/>
      <c r="C37" s="197"/>
      <c r="D37" s="70"/>
      <c r="E37" s="90"/>
      <c r="F37" s="189"/>
      <c r="G37" s="188"/>
      <c r="H37" s="90"/>
      <c r="I37" s="427"/>
      <c r="J37" s="90"/>
      <c r="K37" s="428"/>
      <c r="L37" s="319"/>
      <c r="M37" s="319"/>
      <c r="N37" s="427"/>
      <c r="O37" s="429"/>
      <c r="P37" s="25"/>
      <c r="Q37" s="280"/>
      <c r="R37" s="280"/>
      <c r="S37" s="25"/>
      <c r="T37" s="33"/>
    </row>
    <row r="38" spans="2:20" ht="24.75" customHeight="1">
      <c r="B38" s="34"/>
      <c r="C38" s="1176"/>
      <c r="D38" s="1173" t="s">
        <v>26</v>
      </c>
      <c r="E38" s="1183" t="s">
        <v>394</v>
      </c>
      <c r="F38" s="1180"/>
      <c r="G38" s="188"/>
      <c r="H38" s="320" t="s">
        <v>1</v>
      </c>
      <c r="I38" s="321"/>
      <c r="J38" s="322"/>
      <c r="K38" s="322"/>
      <c r="L38" s="320"/>
      <c r="M38" s="320"/>
      <c r="N38" s="321"/>
      <c r="O38" s="507"/>
      <c r="P38" s="25"/>
      <c r="Q38" s="280"/>
      <c r="R38" s="280"/>
      <c r="S38" s="25"/>
      <c r="T38" s="33"/>
    </row>
    <row r="39" spans="2:20" ht="15.75" customHeight="1" thickBot="1">
      <c r="B39" s="34"/>
      <c r="C39" s="1176"/>
      <c r="D39" s="18"/>
      <c r="E39" s="18"/>
      <c r="F39" s="1180" t="s">
        <v>395</v>
      </c>
      <c r="G39" s="188" t="s">
        <v>95</v>
      </c>
      <c r="H39" s="294"/>
      <c r="I39" s="292"/>
      <c r="J39" s="294"/>
      <c r="K39" s="289"/>
      <c r="L39" s="294"/>
      <c r="M39" s="506"/>
      <c r="N39" s="294"/>
      <c r="O39" s="508"/>
      <c r="P39" s="25"/>
      <c r="Q39" s="280"/>
      <c r="R39" s="280"/>
      <c r="S39" s="25"/>
      <c r="T39" s="33"/>
    </row>
    <row r="40" spans="2:20" ht="18.75" customHeight="1">
      <c r="B40" s="34"/>
      <c r="C40" s="197"/>
      <c r="D40" s="18"/>
      <c r="E40" s="18"/>
      <c r="F40" s="1180" t="s">
        <v>357</v>
      </c>
      <c r="G40" s="188" t="s">
        <v>95</v>
      </c>
      <c r="H40" s="286">
        <f>IF(H30=0,"",((H34*H30)-(H39*H31))/(H30))</f>
      </c>
      <c r="I40" s="288"/>
      <c r="J40" s="286">
        <f>IF(J30=0,"",((J34*J30)-(J39*J31))/(J30))</f>
      </c>
      <c r="K40" s="289"/>
      <c r="L40" s="286">
        <f>IF(L30=0,"",((L34*L30)-(L39*L31))/(L30))</f>
      </c>
      <c r="M40" s="287"/>
      <c r="N40" s="286">
        <f>IF(N30=0,"",((N34*N30)-(N39*N31))/(N30))</f>
      </c>
      <c r="O40" s="508"/>
      <c r="P40" s="25"/>
      <c r="Q40" s="280"/>
      <c r="R40" s="280"/>
      <c r="S40" s="25"/>
      <c r="T40" s="33"/>
    </row>
    <row r="41" spans="2:20" ht="93" customHeight="1" thickBot="1">
      <c r="B41" s="34"/>
      <c r="C41" s="198"/>
      <c r="D41" s="145"/>
      <c r="E41" s="211"/>
      <c r="F41" s="430"/>
      <c r="G41" s="431"/>
      <c r="H41" s="514" t="str">
        <f>IF(G12=2,"Do NOT Complete Section II for Ambulatory Service",IF(H29&gt;0,"STOP! Do NOT Complete Sections III - V for Ambulatory Service","Leave Blank and Go to Section III for Ambulatory Service"))</f>
        <v>Leave Blank and Go to Section III for Ambulatory Service</v>
      </c>
      <c r="I41" s="477"/>
      <c r="J41" s="514" t="str">
        <f>IF(I12=2,"Do NOT Complete Section II for Wheelchair Service",IF(J29&gt;0,"STOP! Do NOT Complete Sections III - V for Wheelchair Service","Leave Blank and Go to Section III for Wheelchair Service"))</f>
        <v>Leave Blank and Go to Section III for Wheelchair Service</v>
      </c>
      <c r="K41" s="478"/>
      <c r="L41" s="514" t="str">
        <f>IF(K12=2,"Do NOT Complete Section II for Stretcher Service",IF(L29&gt;0,"STOP! Do NOT Complete Sections III - V for Stretcher Service","Leave Blank and Go to Section III for Stretcher Service"))</f>
        <v>Leave Blank and Go to Section III for Stretcher Service</v>
      </c>
      <c r="M41" s="519"/>
      <c r="N41" s="514" t="str">
        <f>IF(M12=2,"Do NOT Complete Section II for Group Service",IF(N29&gt;0,"STOP! Do NOT Complete Sections III - V for Group Service","Leave Blank and Go to Section III for Group Service"))</f>
        <v>Do NOT Complete Section II for Group Service</v>
      </c>
      <c r="O41" s="509"/>
      <c r="P41" s="25"/>
      <c r="Q41" s="280"/>
      <c r="R41" s="280"/>
      <c r="S41" s="25"/>
      <c r="T41" s="33"/>
    </row>
    <row r="42" spans="2:20" ht="15.75" customHeight="1">
      <c r="B42" s="34"/>
      <c r="C42" s="200"/>
      <c r="D42" s="25"/>
      <c r="E42" s="200"/>
      <c r="F42" s="248"/>
      <c r="G42" s="25"/>
      <c r="H42" s="510"/>
      <c r="I42" s="51"/>
      <c r="J42" s="510"/>
      <c r="K42" s="511"/>
      <c r="L42" s="510"/>
      <c r="M42" s="510"/>
      <c r="N42" s="510"/>
      <c r="O42" s="510"/>
      <c r="P42" s="51"/>
      <c r="Q42" s="25"/>
      <c r="R42" s="25"/>
      <c r="S42" s="25"/>
      <c r="T42" s="33"/>
    </row>
    <row r="43" spans="2:20" ht="12" customHeight="1">
      <c r="B43" s="34"/>
      <c r="C43" s="196"/>
      <c r="D43" s="151"/>
      <c r="E43" s="389"/>
      <c r="F43" s="151"/>
      <c r="G43" s="151"/>
      <c r="H43" s="151"/>
      <c r="I43" s="151"/>
      <c r="J43" s="373"/>
      <c r="K43" s="373"/>
      <c r="L43" s="374"/>
      <c r="M43" s="446"/>
      <c r="N43" s="446"/>
      <c r="O43" s="25"/>
      <c r="P43" s="25"/>
      <c r="Q43" s="25"/>
      <c r="R43" s="25"/>
      <c r="S43" s="25"/>
      <c r="T43" s="33"/>
    </row>
    <row r="44" spans="2:20" ht="22.5" customHeight="1">
      <c r="B44" s="34"/>
      <c r="C44" s="197"/>
      <c r="D44" s="356" t="s">
        <v>154</v>
      </c>
      <c r="E44" s="375"/>
      <c r="F44" s="70"/>
      <c r="G44" s="526">
        <v>2</v>
      </c>
      <c r="H44" s="70"/>
      <c r="I44" s="70"/>
      <c r="J44" s="376"/>
      <c r="K44" s="376"/>
      <c r="L44" s="377"/>
      <c r="M44" s="446"/>
      <c r="N44" s="446"/>
      <c r="O44" s="25"/>
      <c r="P44" s="25"/>
      <c r="Q44" s="25"/>
      <c r="R44" s="25"/>
      <c r="S44" s="25"/>
      <c r="T44" s="33"/>
    </row>
    <row r="45" spans="2:20" ht="19.5" customHeight="1">
      <c r="B45" s="34"/>
      <c r="C45" s="197"/>
      <c r="D45" s="1177" t="s">
        <v>23</v>
      </c>
      <c r="E45" s="1178" t="s">
        <v>396</v>
      </c>
      <c r="F45" s="18"/>
      <c r="G45" s="70"/>
      <c r="H45" s="391" t="s">
        <v>136</v>
      </c>
      <c r="I45" s="70"/>
      <c r="J45" s="376"/>
      <c r="K45" s="376"/>
      <c r="L45" s="377"/>
      <c r="M45" s="446"/>
      <c r="N45" s="446"/>
      <c r="O45" s="25"/>
      <c r="P45" s="25"/>
      <c r="Q45" s="25"/>
      <c r="R45" s="25"/>
      <c r="S45" s="25"/>
      <c r="T45" s="33"/>
    </row>
    <row r="46" spans="2:20" ht="25.5" customHeight="1">
      <c r="B46" s="34"/>
      <c r="C46" s="197"/>
      <c r="D46" s="70"/>
      <c r="E46" s="375"/>
      <c r="F46" s="70"/>
      <c r="G46" s="70"/>
      <c r="H46" s="391" t="s">
        <v>133</v>
      </c>
      <c r="I46" s="392"/>
      <c r="J46" s="393"/>
      <c r="K46" s="376"/>
      <c r="L46" s="377"/>
      <c r="M46" s="446"/>
      <c r="N46" s="446"/>
      <c r="O46" s="25"/>
      <c r="P46" s="25"/>
      <c r="Q46" s="25"/>
      <c r="R46" s="25"/>
      <c r="S46" s="25"/>
      <c r="T46" s="33"/>
    </row>
    <row r="47" spans="2:20" ht="67.5" customHeight="1">
      <c r="B47" s="34"/>
      <c r="C47" s="197"/>
      <c r="D47" s="70"/>
      <c r="E47" s="375"/>
      <c r="F47" s="70"/>
      <c r="G47" s="70"/>
      <c r="H47" s="512" t="str">
        <f>IF(G44=1,"Answer # 2, 3 &amp; 4",IF(M12=2,"Skip #2 - 4 and Section IV and Go to Section V",IF(G44=2,"Skip # 2 - 4 and Go to Section IV","")))</f>
        <v>Skip #2 - 4 and Section IV and Go to Section V</v>
      </c>
      <c r="I47" s="392"/>
      <c r="J47" s="393"/>
      <c r="K47" s="376"/>
      <c r="L47" s="377"/>
      <c r="M47" s="446"/>
      <c r="N47" s="446"/>
      <c r="O47" s="25"/>
      <c r="P47" s="25"/>
      <c r="Q47" s="25"/>
      <c r="R47" s="25"/>
      <c r="S47" s="25"/>
      <c r="T47" s="33"/>
    </row>
    <row r="48" spans="2:20" ht="18" customHeight="1">
      <c r="B48" s="34"/>
      <c r="C48" s="197"/>
      <c r="D48" s="1177" t="s">
        <v>24</v>
      </c>
      <c r="E48" s="1178" t="s">
        <v>397</v>
      </c>
      <c r="F48" s="18"/>
      <c r="G48" s="70"/>
      <c r="H48" s="391" t="s">
        <v>160</v>
      </c>
      <c r="I48" s="527">
        <v>1</v>
      </c>
      <c r="J48" s="522" t="str">
        <f>IF(G44=2,"Leave Blank","")</f>
        <v>Leave Blank</v>
      </c>
      <c r="K48" s="376"/>
      <c r="L48" s="377"/>
      <c r="M48" s="446"/>
      <c r="N48" s="446"/>
      <c r="O48" s="25"/>
      <c r="P48" s="25"/>
      <c r="Q48" s="25"/>
      <c r="R48" s="25"/>
      <c r="S48" s="25"/>
      <c r="T48" s="33"/>
    </row>
    <row r="49" spans="2:20" ht="21.75" customHeight="1">
      <c r="B49" s="34"/>
      <c r="C49" s="197"/>
      <c r="D49" s="1182"/>
      <c r="E49" s="1185"/>
      <c r="F49" s="1181" t="s">
        <v>398</v>
      </c>
      <c r="G49" s="70"/>
      <c r="H49" s="391" t="s">
        <v>361</v>
      </c>
      <c r="I49" s="520"/>
      <c r="J49" s="521"/>
      <c r="K49" s="376"/>
      <c r="L49" s="394"/>
      <c r="M49" s="446"/>
      <c r="N49" s="446"/>
      <c r="O49" s="25"/>
      <c r="P49" s="25"/>
      <c r="Q49" s="25"/>
      <c r="R49" s="25"/>
      <c r="S49" s="25"/>
      <c r="T49" s="33"/>
    </row>
    <row r="50" spans="2:20" ht="9" customHeight="1">
      <c r="B50" s="34"/>
      <c r="C50" s="197"/>
      <c r="D50" s="494"/>
      <c r="E50" s="375"/>
      <c r="F50" s="70"/>
      <c r="G50" s="70"/>
      <c r="H50" s="481"/>
      <c r="I50" s="90"/>
      <c r="J50" s="393"/>
      <c r="K50" s="376"/>
      <c r="L50" s="394"/>
      <c r="M50" s="446"/>
      <c r="N50" s="446"/>
      <c r="O50" s="25"/>
      <c r="P50" s="25"/>
      <c r="Q50" s="25"/>
      <c r="R50" s="25"/>
      <c r="S50" s="25"/>
      <c r="T50" s="33"/>
    </row>
    <row r="51" spans="2:20" ht="15" customHeight="1">
      <c r="B51" s="34"/>
      <c r="C51" s="197"/>
      <c r="D51" s="1177" t="s">
        <v>25</v>
      </c>
      <c r="E51" s="18" t="s">
        <v>399</v>
      </c>
      <c r="F51" s="18"/>
      <c r="G51" s="70"/>
      <c r="H51" s="70"/>
      <c r="I51" s="70"/>
      <c r="J51" s="70"/>
      <c r="K51" s="70"/>
      <c r="L51" s="147"/>
      <c r="M51" s="446"/>
      <c r="N51" s="446"/>
      <c r="O51" s="25"/>
      <c r="P51" s="25"/>
      <c r="Q51" s="25"/>
      <c r="R51" s="25"/>
      <c r="S51" s="25"/>
      <c r="T51" s="33"/>
    </row>
    <row r="52" spans="2:20" ht="17.25" customHeight="1" thickBot="1">
      <c r="B52" s="34"/>
      <c r="C52" s="197"/>
      <c r="D52" s="1177"/>
      <c r="E52" s="1179"/>
      <c r="F52" s="1186" t="s">
        <v>400</v>
      </c>
      <c r="G52" s="188"/>
      <c r="H52" s="354"/>
      <c r="I52" s="70"/>
      <c r="J52" s="523" t="str">
        <f>IF(G$44=2,"Leave Blank",IF(I48=1,"Passenger Trips",IF(I48=2,"Passenger Miles","")))</f>
        <v>Leave Blank</v>
      </c>
      <c r="K52" s="395"/>
      <c r="L52" s="147"/>
      <c r="M52" s="446"/>
      <c r="N52" s="446"/>
      <c r="O52" s="25"/>
      <c r="P52" s="25"/>
      <c r="Q52" s="25"/>
      <c r="R52" s="25"/>
      <c r="S52" s="25"/>
      <c r="T52" s="33"/>
    </row>
    <row r="53" spans="2:20" ht="6.75" customHeight="1">
      <c r="B53" s="34"/>
      <c r="C53" s="197"/>
      <c r="D53" s="495"/>
      <c r="E53" s="378"/>
      <c r="F53" s="396"/>
      <c r="G53" s="70"/>
      <c r="H53" s="70"/>
      <c r="I53" s="70"/>
      <c r="J53" s="70"/>
      <c r="K53" s="70"/>
      <c r="L53" s="147"/>
      <c r="M53" s="446"/>
      <c r="N53" s="446"/>
      <c r="O53" s="25"/>
      <c r="P53" s="25"/>
      <c r="Q53" s="25"/>
      <c r="R53" s="25"/>
      <c r="S53" s="25"/>
      <c r="T53" s="33"/>
    </row>
    <row r="54" spans="2:20" ht="9.75" customHeight="1">
      <c r="B54" s="34"/>
      <c r="C54" s="197"/>
      <c r="D54" s="495"/>
      <c r="E54" s="378"/>
      <c r="F54" s="396"/>
      <c r="G54" s="70"/>
      <c r="H54" s="70"/>
      <c r="I54" s="70"/>
      <c r="J54" s="524">
        <f>IF(G44=1,H52*H55,0)</f>
        <v>0</v>
      </c>
      <c r="K54" s="70"/>
      <c r="L54" s="147"/>
      <c r="M54" s="446"/>
      <c r="N54" s="446"/>
      <c r="O54" s="25"/>
      <c r="P54" s="25"/>
      <c r="Q54" s="25"/>
      <c r="R54" s="25"/>
      <c r="S54" s="25"/>
      <c r="T54" s="33"/>
    </row>
    <row r="55" spans="2:20" ht="17.25" customHeight="1" thickBot="1">
      <c r="B55" s="34"/>
      <c r="C55" s="197"/>
      <c r="D55" s="1177" t="s">
        <v>26</v>
      </c>
      <c r="E55" s="1178" t="s">
        <v>401</v>
      </c>
      <c r="F55" s="1178"/>
      <c r="G55" s="188"/>
      <c r="H55" s="353"/>
      <c r="I55" s="70"/>
      <c r="J55" s="523" t="str">
        <f>IF(G$44=2,"Leave Blank",IF(I48=1,"per  Passenger Trip",IF(I48=2,"per Passenger Mile","")))</f>
        <v>Leave Blank</v>
      </c>
      <c r="K55" s="70"/>
      <c r="L55" s="397"/>
      <c r="M55" s="446"/>
      <c r="N55" s="446"/>
      <c r="O55" s="25"/>
      <c r="P55" s="25"/>
      <c r="Q55" s="25"/>
      <c r="R55" s="25"/>
      <c r="S55" s="25"/>
      <c r="T55" s="33"/>
    </row>
    <row r="56" spans="2:20" ht="21.75" customHeight="1" thickBot="1">
      <c r="B56" s="34"/>
      <c r="C56" s="198"/>
      <c r="D56" s="379"/>
      <c r="E56" s="380"/>
      <c r="F56" s="381"/>
      <c r="G56" s="145"/>
      <c r="H56" s="398"/>
      <c r="I56" s="145"/>
      <c r="J56" s="399"/>
      <c r="K56" s="399"/>
      <c r="L56" s="400"/>
      <c r="M56" s="446"/>
      <c r="N56" s="446"/>
      <c r="O56" s="25"/>
      <c r="P56" s="25"/>
      <c r="Q56" s="25"/>
      <c r="R56" s="25"/>
      <c r="S56" s="25"/>
      <c r="T56" s="33"/>
    </row>
    <row r="57" spans="2:20" ht="21.75" customHeight="1">
      <c r="B57" s="34"/>
      <c r="C57" s="200"/>
      <c r="D57" s="447"/>
      <c r="E57" s="448"/>
      <c r="F57" s="242"/>
      <c r="G57" s="25"/>
      <c r="H57" s="449"/>
      <c r="I57" s="25"/>
      <c r="J57" s="446"/>
      <c r="K57" s="446"/>
      <c r="L57" s="446"/>
      <c r="M57" s="446"/>
      <c r="N57" s="446"/>
      <c r="O57" s="25"/>
      <c r="P57" s="582"/>
      <c r="Q57" s="25"/>
      <c r="R57" s="25"/>
      <c r="S57" s="25"/>
      <c r="T57" s="33"/>
    </row>
    <row r="58" spans="2:20" ht="12" customHeight="1">
      <c r="B58" s="34"/>
      <c r="C58" s="196"/>
      <c r="D58" s="370"/>
      <c r="E58" s="371"/>
      <c r="F58" s="372"/>
      <c r="G58" s="151"/>
      <c r="H58" s="496"/>
      <c r="I58" s="151"/>
      <c r="J58" s="373"/>
      <c r="K58" s="373"/>
      <c r="L58" s="374"/>
      <c r="M58" s="446"/>
      <c r="N58" s="446"/>
      <c r="O58" s="25"/>
      <c r="P58" s="582"/>
      <c r="Q58" s="25"/>
      <c r="R58" s="25"/>
      <c r="S58" s="25"/>
      <c r="T58" s="33"/>
    </row>
    <row r="59" spans="2:20" ht="24" customHeight="1">
      <c r="B59" s="34"/>
      <c r="C59" s="197"/>
      <c r="D59" s="356" t="s">
        <v>324</v>
      </c>
      <c r="E59" s="375"/>
      <c r="F59" s="70"/>
      <c r="G59" s="70"/>
      <c r="H59" s="1631" t="str">
        <f>IF(AND(M12=1,OR(M20=2,M25=2)),"You Must Complete This Section!","Do NOT Complete Section IV")</f>
        <v>Do NOT Complete Section IV</v>
      </c>
      <c r="I59" s="70"/>
      <c r="J59" s="376"/>
      <c r="K59" s="376"/>
      <c r="L59" s="377"/>
      <c r="M59" s="446"/>
      <c r="N59" s="446"/>
      <c r="O59" s="25"/>
      <c r="P59" s="25"/>
      <c r="Q59" s="25"/>
      <c r="R59" s="25"/>
      <c r="S59" s="25"/>
      <c r="T59" s="33"/>
    </row>
    <row r="60" spans="2:20" ht="15" customHeight="1">
      <c r="B60" s="34"/>
      <c r="C60" s="197"/>
      <c r="D60" s="1177" t="s">
        <v>23</v>
      </c>
      <c r="E60" s="1636" t="s">
        <v>402</v>
      </c>
      <c r="F60" s="1637"/>
      <c r="G60" s="70"/>
      <c r="H60" s="1632"/>
      <c r="I60" s="70"/>
      <c r="J60" s="376"/>
      <c r="K60" s="376"/>
      <c r="L60" s="377"/>
      <c r="M60" s="446"/>
      <c r="N60" s="446"/>
      <c r="O60" s="25"/>
      <c r="P60" s="25"/>
      <c r="Q60" s="25"/>
      <c r="R60" s="25"/>
      <c r="S60" s="25"/>
      <c r="T60" s="33"/>
    </row>
    <row r="61" spans="2:20" ht="15" customHeight="1" thickBot="1">
      <c r="B61" s="34"/>
      <c r="C61" s="197"/>
      <c r="D61" s="1179"/>
      <c r="E61" s="1179" t="s">
        <v>403</v>
      </c>
      <c r="F61" s="1179"/>
      <c r="G61" s="188"/>
      <c r="H61" s="293"/>
      <c r="I61" s="70"/>
      <c r="J61" s="225"/>
      <c r="K61" s="225"/>
      <c r="L61" s="377"/>
      <c r="M61" s="446"/>
      <c r="N61" s="446"/>
      <c r="O61" s="25"/>
      <c r="P61" s="25"/>
      <c r="Q61" s="25"/>
      <c r="R61" s="25"/>
      <c r="S61" s="25"/>
      <c r="T61" s="33"/>
    </row>
    <row r="62" spans="2:20" ht="17.25" customHeight="1">
      <c r="B62" s="34"/>
      <c r="C62" s="197"/>
      <c r="D62" s="1174"/>
      <c r="E62" s="1187"/>
      <c r="F62" s="1181"/>
      <c r="G62" s="70"/>
      <c r="H62" s="586">
        <f>IF(H61&gt;'Program-wide Rates'!K17,"Group Passenger Miles Can Not Exceed Total Projected Passenger Miles on the Single Service Rates Wrksht","")</f>
      </c>
      <c r="I62" s="70"/>
      <c r="J62" s="583" t="s">
        <v>329</v>
      </c>
      <c r="K62" s="225"/>
      <c r="L62" s="377"/>
      <c r="M62" s="446"/>
      <c r="N62" s="446"/>
      <c r="O62" s="25"/>
      <c r="P62" s="25"/>
      <c r="Q62" s="25"/>
      <c r="R62" s="25"/>
      <c r="S62" s="25"/>
      <c r="T62" s="33"/>
    </row>
    <row r="63" spans="2:20" ht="15" customHeight="1" thickBot="1">
      <c r="B63" s="34"/>
      <c r="C63" s="197"/>
      <c r="D63" s="1174"/>
      <c r="E63" s="1187"/>
      <c r="F63" s="1180" t="s">
        <v>364</v>
      </c>
      <c r="G63" s="188"/>
      <c r="H63" s="293"/>
      <c r="I63" s="70"/>
      <c r="J63" s="584">
        <f>IF(H63=0,0,H61/H63)</f>
        <v>0</v>
      </c>
      <c r="K63" s="70" t="s">
        <v>330</v>
      </c>
      <c r="L63" s="611"/>
      <c r="M63" s="446"/>
      <c r="N63" s="446"/>
      <c r="O63" s="25"/>
      <c r="P63" s="25"/>
      <c r="Q63" s="25"/>
      <c r="R63" s="25"/>
      <c r="S63" s="25"/>
      <c r="T63" s="33"/>
    </row>
    <row r="64" spans="2:20" ht="15" customHeight="1" thickBot="1">
      <c r="B64" s="34"/>
      <c r="C64" s="198"/>
      <c r="D64" s="379"/>
      <c r="E64" s="380"/>
      <c r="F64" s="381"/>
      <c r="G64" s="145"/>
      <c r="H64" s="585">
        <f>IF(H63&gt;H61,"Route Miles Can Not Exceed Passenger Miles","")</f>
      </c>
      <c r="I64" s="145"/>
      <c r="J64" s="145"/>
      <c r="K64" s="145"/>
      <c r="L64" s="146"/>
      <c r="M64" s="25"/>
      <c r="N64" s="25"/>
      <c r="O64" s="25"/>
      <c r="P64" s="25"/>
      <c r="Q64" s="25"/>
      <c r="R64" s="25"/>
      <c r="S64" s="25"/>
      <c r="T64" s="33"/>
    </row>
    <row r="65" spans="2:20" ht="18.75" customHeight="1">
      <c r="B65" s="34"/>
      <c r="C65" s="200"/>
      <c r="D65" s="447"/>
      <c r="E65" s="448"/>
      <c r="F65" s="242"/>
      <c r="G65" s="25"/>
      <c r="H65" s="25"/>
      <c r="I65" s="25"/>
      <c r="J65" s="25"/>
      <c r="K65" s="25"/>
      <c r="L65" s="25"/>
      <c r="M65" s="25"/>
      <c r="N65" s="25"/>
      <c r="O65" s="25"/>
      <c r="P65" s="25"/>
      <c r="Q65" s="25"/>
      <c r="R65" s="25"/>
      <c r="S65" s="25"/>
      <c r="T65" s="33"/>
    </row>
    <row r="66" spans="2:20" ht="15" customHeight="1" hidden="1">
      <c r="B66" s="34"/>
      <c r="C66" s="200"/>
      <c r="D66" s="447"/>
      <c r="E66" s="448"/>
      <c r="F66" s="242"/>
      <c r="G66" s="25"/>
      <c r="H66" s="25"/>
      <c r="I66" s="25"/>
      <c r="J66" s="25"/>
      <c r="K66" s="25"/>
      <c r="L66" s="25"/>
      <c r="M66" s="25"/>
      <c r="N66" s="25"/>
      <c r="O66" s="25"/>
      <c r="P66" s="25"/>
      <c r="Q66" s="25"/>
      <c r="R66" s="25"/>
      <c r="S66" s="25"/>
      <c r="T66" s="33"/>
    </row>
    <row r="67" spans="2:20" ht="18" hidden="1">
      <c r="B67" s="34"/>
      <c r="C67" s="200"/>
      <c r="D67" s="450" t="s">
        <v>29</v>
      </c>
      <c r="E67" s="25"/>
      <c r="F67" s="200"/>
      <c r="G67" s="25"/>
      <c r="H67" s="25"/>
      <c r="I67" s="25"/>
      <c r="J67" s="25"/>
      <c r="K67" s="25"/>
      <c r="L67" s="25"/>
      <c r="M67" s="25"/>
      <c r="N67" s="25"/>
      <c r="O67" s="25"/>
      <c r="P67" s="25"/>
      <c r="Q67" s="25"/>
      <c r="R67" s="25"/>
      <c r="S67" s="25"/>
      <c r="T67" s="451"/>
    </row>
    <row r="68" spans="2:20" ht="12.75" hidden="1">
      <c r="B68" s="34"/>
      <c r="C68" s="200"/>
      <c r="D68" s="25"/>
      <c r="E68" s="25"/>
      <c r="F68" s="248"/>
      <c r="G68" s="248"/>
      <c r="H68" s="251"/>
      <c r="I68" s="251"/>
      <c r="J68" s="25"/>
      <c r="K68" s="25"/>
      <c r="L68" s="25"/>
      <c r="M68" s="25"/>
      <c r="N68" s="25"/>
      <c r="O68" s="25"/>
      <c r="P68" s="25"/>
      <c r="Q68" s="25"/>
      <c r="R68" s="25"/>
      <c r="S68" s="25"/>
      <c r="T68" s="33"/>
    </row>
    <row r="69" spans="2:20" ht="12.75" hidden="1">
      <c r="B69" s="34"/>
      <c r="C69" s="200"/>
      <c r="D69" s="252"/>
      <c r="E69" s="231"/>
      <c r="F69" s="253"/>
      <c r="G69" s="253"/>
      <c r="H69" s="254"/>
      <c r="I69" s="254"/>
      <c r="J69" s="231"/>
      <c r="K69" s="231"/>
      <c r="L69" s="231"/>
      <c r="M69" s="231"/>
      <c r="N69" s="231"/>
      <c r="O69" s="231"/>
      <c r="P69" s="231"/>
      <c r="Q69" s="232"/>
      <c r="R69" s="25"/>
      <c r="S69" s="25"/>
      <c r="T69" s="33"/>
    </row>
    <row r="70" spans="2:20" ht="15.75" hidden="1">
      <c r="B70" s="34"/>
      <c r="C70" s="200"/>
      <c r="D70" s="255"/>
      <c r="E70" s="256" t="s">
        <v>76</v>
      </c>
      <c r="F70" s="25"/>
      <c r="G70" s="25"/>
      <c r="H70" s="25"/>
      <c r="I70" s="25"/>
      <c r="J70" s="25"/>
      <c r="K70" s="25"/>
      <c r="L70" s="25"/>
      <c r="M70" s="25"/>
      <c r="N70" s="25"/>
      <c r="O70" s="25"/>
      <c r="P70" s="25"/>
      <c r="Q70" s="233"/>
      <c r="R70" s="25"/>
      <c r="S70" s="25"/>
      <c r="T70" s="33"/>
    </row>
    <row r="71" spans="2:20" ht="9" customHeight="1" hidden="1">
      <c r="B71" s="34"/>
      <c r="C71" s="200"/>
      <c r="D71" s="255"/>
      <c r="E71" s="256"/>
      <c r="F71" s="25"/>
      <c r="G71" s="25"/>
      <c r="H71" s="25"/>
      <c r="I71" s="25"/>
      <c r="J71" s="25"/>
      <c r="K71" s="25"/>
      <c r="L71" s="25"/>
      <c r="M71" s="25"/>
      <c r="N71" s="25"/>
      <c r="O71" s="25"/>
      <c r="P71" s="25"/>
      <c r="Q71" s="233"/>
      <c r="R71" s="25"/>
      <c r="S71" s="25"/>
      <c r="T71" s="33"/>
    </row>
    <row r="72" spans="2:20" ht="47.25" hidden="1">
      <c r="B72" s="34"/>
      <c r="C72" s="200"/>
      <c r="D72" s="257"/>
      <c r="E72" s="258" t="s">
        <v>22</v>
      </c>
      <c r="F72" s="25"/>
      <c r="G72" s="25"/>
      <c r="H72" s="43"/>
      <c r="I72" s="43"/>
      <c r="J72" s="43"/>
      <c r="K72" s="43"/>
      <c r="L72" s="452"/>
      <c r="M72" s="200"/>
      <c r="N72" s="43"/>
      <c r="O72" s="43"/>
      <c r="P72" s="200"/>
      <c r="Q72" s="233"/>
      <c r="R72" s="25"/>
      <c r="S72" s="25"/>
      <c r="T72" s="33"/>
    </row>
    <row r="73" spans="2:20" ht="18.75" customHeight="1" hidden="1" thickBot="1">
      <c r="B73" s="34"/>
      <c r="C73" s="200"/>
      <c r="D73" s="257"/>
      <c r="E73" s="272">
        <v>0.5</v>
      </c>
      <c r="F73" s="226" t="s">
        <v>138</v>
      </c>
      <c r="G73" s="242"/>
      <c r="H73" s="43" t="s">
        <v>59</v>
      </c>
      <c r="I73" s="43"/>
      <c r="J73" s="43" t="s">
        <v>56</v>
      </c>
      <c r="K73" s="43"/>
      <c r="L73" s="452" t="s">
        <v>60</v>
      </c>
      <c r="M73" s="200"/>
      <c r="N73" s="43" t="s">
        <v>335</v>
      </c>
      <c r="O73" s="234"/>
      <c r="P73" s="200"/>
      <c r="Q73" s="233"/>
      <c r="R73" s="25"/>
      <c r="S73" s="25"/>
      <c r="T73" s="33"/>
    </row>
    <row r="74" spans="2:20" ht="13.5" hidden="1" thickBot="1">
      <c r="B74" s="34"/>
      <c r="C74" s="200"/>
      <c r="D74" s="257"/>
      <c r="E74" s="260"/>
      <c r="F74" s="242" t="s">
        <v>20</v>
      </c>
      <c r="G74" s="200"/>
      <c r="H74" s="274">
        <v>7</v>
      </c>
      <c r="I74" s="227"/>
      <c r="J74" s="274">
        <v>12</v>
      </c>
      <c r="K74" s="227"/>
      <c r="L74" s="274">
        <v>25</v>
      </c>
      <c r="M74" s="200"/>
      <c r="N74" s="274">
        <v>3</v>
      </c>
      <c r="O74" s="227"/>
      <c r="P74" s="200"/>
      <c r="Q74" s="233"/>
      <c r="R74" s="25"/>
      <c r="S74" s="25"/>
      <c r="T74" s="33"/>
    </row>
    <row r="75" spans="2:20" ht="13.5" hidden="1" thickBot="1">
      <c r="B75" s="34"/>
      <c r="C75" s="200"/>
      <c r="D75" s="257"/>
      <c r="E75" s="260"/>
      <c r="F75" s="242" t="s">
        <v>21</v>
      </c>
      <c r="G75" s="200"/>
      <c r="H75" s="273">
        <f>H74</f>
        <v>7</v>
      </c>
      <c r="I75" s="267"/>
      <c r="J75" s="273">
        <f>J74</f>
        <v>12</v>
      </c>
      <c r="K75" s="267"/>
      <c r="L75" s="273">
        <f>L74</f>
        <v>25</v>
      </c>
      <c r="M75" s="200"/>
      <c r="N75" s="228">
        <f>H74</f>
        <v>7</v>
      </c>
      <c r="O75" s="227"/>
      <c r="P75" s="200"/>
      <c r="Q75" s="233"/>
      <c r="R75" s="25"/>
      <c r="S75" s="25"/>
      <c r="T75" s="33"/>
    </row>
    <row r="76" spans="2:20" ht="13.5" hidden="1" thickTop="1">
      <c r="B76" s="34"/>
      <c r="C76" s="200"/>
      <c r="D76" s="257"/>
      <c r="E76" s="260"/>
      <c r="F76" s="242" t="s">
        <v>19</v>
      </c>
      <c r="G76" s="200"/>
      <c r="H76" s="250">
        <f>SUM(H74:H75)/60</f>
        <v>0.23333333333333334</v>
      </c>
      <c r="I76" s="235"/>
      <c r="J76" s="250">
        <f>SUM(J74:J75)/60</f>
        <v>0.4</v>
      </c>
      <c r="K76" s="235"/>
      <c r="L76" s="250">
        <f>SUM(L74:L75)/60</f>
        <v>0.8333333333333334</v>
      </c>
      <c r="M76" s="200"/>
      <c r="N76" s="323">
        <f>IF(OR(H61="",H63=""),0,SUM(N74:N75)/60)</f>
        <v>0</v>
      </c>
      <c r="O76" s="235"/>
      <c r="P76" s="200"/>
      <c r="Q76" s="233"/>
      <c r="R76" s="25"/>
      <c r="S76" s="25"/>
      <c r="T76" s="33"/>
    </row>
    <row r="77" spans="2:20" ht="12.75" hidden="1">
      <c r="B77" s="34"/>
      <c r="C77" s="200"/>
      <c r="D77" s="257"/>
      <c r="E77" s="260"/>
      <c r="F77" s="242" t="s">
        <v>2</v>
      </c>
      <c r="G77" s="200"/>
      <c r="H77" s="235">
        <v>1</v>
      </c>
      <c r="I77" s="235"/>
      <c r="J77" s="235">
        <f>IF($H$76=0,0,J76/$H$76)</f>
        <v>1.7142857142857144</v>
      </c>
      <c r="K77" s="235"/>
      <c r="L77" s="235">
        <f>IF($H$76=0,0,L76/$H$76)</f>
        <v>3.5714285714285716</v>
      </c>
      <c r="M77" s="200"/>
      <c r="N77" s="235">
        <f>IF($H$76=0,0,N76/$H$76)</f>
        <v>0</v>
      </c>
      <c r="O77" s="235"/>
      <c r="P77" s="200"/>
      <c r="Q77" s="233"/>
      <c r="R77" s="25"/>
      <c r="S77" s="25"/>
      <c r="T77" s="33"/>
    </row>
    <row r="78" spans="2:20" ht="12.75" hidden="1">
      <c r="B78" s="34"/>
      <c r="C78" s="200"/>
      <c r="D78" s="257"/>
      <c r="E78" s="260"/>
      <c r="F78" s="25"/>
      <c r="G78" s="242"/>
      <c r="H78" s="235"/>
      <c r="I78" s="235"/>
      <c r="J78" s="235"/>
      <c r="K78" s="235"/>
      <c r="L78" s="235"/>
      <c r="M78" s="200"/>
      <c r="N78" s="235"/>
      <c r="O78" s="235"/>
      <c r="P78" s="200"/>
      <c r="Q78" s="233"/>
      <c r="R78" s="25"/>
      <c r="S78" s="25"/>
      <c r="T78" s="33"/>
    </row>
    <row r="79" spans="1:20" ht="19.5" customHeight="1" hidden="1" thickBot="1">
      <c r="A79" s="277"/>
      <c r="B79" s="453"/>
      <c r="C79" s="454"/>
      <c r="D79" s="261"/>
      <c r="E79" s="272">
        <v>0.5</v>
      </c>
      <c r="F79" s="226" t="s">
        <v>139</v>
      </c>
      <c r="G79" s="242"/>
      <c r="H79" s="235"/>
      <c r="I79" s="235"/>
      <c r="J79" s="235"/>
      <c r="K79" s="235"/>
      <c r="L79" s="235"/>
      <c r="M79" s="200"/>
      <c r="N79" s="235"/>
      <c r="O79" s="235"/>
      <c r="P79" s="200"/>
      <c r="Q79" s="233"/>
      <c r="R79" s="25"/>
      <c r="S79" s="25"/>
      <c r="T79" s="33"/>
    </row>
    <row r="80" spans="1:20" ht="12.75" hidden="1">
      <c r="A80" s="277"/>
      <c r="B80" s="453"/>
      <c r="C80" s="454"/>
      <c r="D80" s="261"/>
      <c r="E80" s="266"/>
      <c r="F80" s="242" t="s">
        <v>353</v>
      </c>
      <c r="G80" s="200"/>
      <c r="H80" s="267"/>
      <c r="I80" s="267"/>
      <c r="J80" s="267"/>
      <c r="K80" s="267"/>
      <c r="L80" s="268"/>
      <c r="M80" s="200"/>
      <c r="N80" s="275">
        <f>H61</f>
        <v>0</v>
      </c>
      <c r="O80" s="227"/>
      <c r="P80" s="200"/>
      <c r="Q80" s="233"/>
      <c r="R80" s="25"/>
      <c r="S80" s="25"/>
      <c r="T80" s="33"/>
    </row>
    <row r="81" spans="1:20" ht="13.5" hidden="1" thickBot="1">
      <c r="A81" s="277"/>
      <c r="B81" s="453"/>
      <c r="C81" s="454"/>
      <c r="D81" s="261"/>
      <c r="E81" s="200"/>
      <c r="F81" s="242" t="s">
        <v>74</v>
      </c>
      <c r="G81" s="200"/>
      <c r="H81" s="267"/>
      <c r="I81" s="267"/>
      <c r="J81" s="267"/>
      <c r="K81" s="267"/>
      <c r="L81" s="267"/>
      <c r="M81" s="200"/>
      <c r="N81" s="276">
        <f>H63</f>
        <v>0</v>
      </c>
      <c r="O81" s="227"/>
      <c r="P81" s="200"/>
      <c r="Q81" s="233"/>
      <c r="R81" s="25"/>
      <c r="S81" s="25"/>
      <c r="T81" s="33"/>
    </row>
    <row r="82" spans="1:20" s="11" customFormat="1" ht="13.5" hidden="1" thickBot="1">
      <c r="A82" s="259"/>
      <c r="B82" s="455"/>
      <c r="C82" s="456"/>
      <c r="D82" s="262"/>
      <c r="E82" s="269"/>
      <c r="F82" s="457" t="s">
        <v>75</v>
      </c>
      <c r="G82" s="458"/>
      <c r="H82" s="235"/>
      <c r="I82" s="235"/>
      <c r="J82" s="235"/>
      <c r="K82" s="235"/>
      <c r="L82" s="235"/>
      <c r="M82" s="458"/>
      <c r="N82" s="235">
        <f>IF(N81=0,0,N80/N81)</f>
        <v>0</v>
      </c>
      <c r="O82" s="235"/>
      <c r="P82" s="458"/>
      <c r="Q82" s="236"/>
      <c r="R82" s="51"/>
      <c r="S82" s="51"/>
      <c r="T82" s="459"/>
    </row>
    <row r="83" spans="1:20" ht="15.75" customHeight="1" hidden="1" thickTop="1">
      <c r="A83" s="277"/>
      <c r="B83" s="453"/>
      <c r="C83" s="454"/>
      <c r="D83" s="261"/>
      <c r="E83" s="270">
        <f>SUM(E73,E79)</f>
        <v>1</v>
      </c>
      <c r="F83" s="242" t="s">
        <v>4</v>
      </c>
      <c r="G83" s="200"/>
      <c r="H83" s="235"/>
      <c r="I83" s="235"/>
      <c r="J83" s="235"/>
      <c r="K83" s="235"/>
      <c r="L83" s="235"/>
      <c r="M83" s="200"/>
      <c r="N83" s="235">
        <f>IF(OR(N80=0,N81=0),1,N81/N80)</f>
        <v>1</v>
      </c>
      <c r="O83" s="235"/>
      <c r="P83" s="200"/>
      <c r="Q83" s="233"/>
      <c r="R83" s="25"/>
      <c r="S83" s="200"/>
      <c r="T83" s="207"/>
    </row>
    <row r="84" spans="1:20" ht="13.5" customHeight="1" hidden="1">
      <c r="A84" s="277"/>
      <c r="B84" s="453"/>
      <c r="C84" s="454"/>
      <c r="D84" s="261"/>
      <c r="E84" s="271">
        <f>IF(E83=1,"","Factor Weight Must Total 100%")</f>
      </c>
      <c r="F84" s="25"/>
      <c r="G84" s="200"/>
      <c r="H84" s="242"/>
      <c r="I84" s="243"/>
      <c r="J84" s="237"/>
      <c r="K84" s="237"/>
      <c r="L84" s="237"/>
      <c r="M84" s="237"/>
      <c r="N84" s="237"/>
      <c r="O84" s="237"/>
      <c r="P84" s="237"/>
      <c r="Q84" s="233"/>
      <c r="R84" s="25"/>
      <c r="S84" s="200"/>
      <c r="T84" s="207"/>
    </row>
    <row r="85" spans="1:20" ht="12.75" hidden="1">
      <c r="A85" s="277"/>
      <c r="B85" s="453"/>
      <c r="C85" s="454"/>
      <c r="D85" s="261"/>
      <c r="E85" s="25"/>
      <c r="F85" s="25"/>
      <c r="G85" s="242" t="s">
        <v>3</v>
      </c>
      <c r="H85" s="238">
        <f>H77</f>
        <v>1</v>
      </c>
      <c r="I85" s="244"/>
      <c r="J85" s="238">
        <f>J77</f>
        <v>1.7142857142857144</v>
      </c>
      <c r="K85" s="238"/>
      <c r="L85" s="238">
        <f>L77</f>
        <v>3.5714285714285716</v>
      </c>
      <c r="M85" s="238"/>
      <c r="N85" s="238">
        <f>(N77*$E$73)+(N83*$E$79)</f>
        <v>0.5</v>
      </c>
      <c r="O85" s="238"/>
      <c r="P85" s="20"/>
      <c r="Q85" s="233"/>
      <c r="R85" s="25"/>
      <c r="S85" s="200"/>
      <c r="T85" s="207"/>
    </row>
    <row r="86" spans="1:20" ht="12.75" hidden="1">
      <c r="A86" s="277"/>
      <c r="B86" s="453"/>
      <c r="C86" s="454"/>
      <c r="D86" s="263"/>
      <c r="E86" s="239"/>
      <c r="F86" s="245"/>
      <c r="G86" s="246"/>
      <c r="H86" s="239"/>
      <c r="I86" s="247"/>
      <c r="J86" s="239"/>
      <c r="K86" s="239"/>
      <c r="L86" s="239"/>
      <c r="M86" s="239"/>
      <c r="N86" s="239"/>
      <c r="O86" s="239"/>
      <c r="P86" s="239"/>
      <c r="Q86" s="240"/>
      <c r="R86" s="25"/>
      <c r="S86" s="200"/>
      <c r="T86" s="207"/>
    </row>
    <row r="87" spans="1:20" ht="12.75" hidden="1">
      <c r="A87" s="277"/>
      <c r="B87" s="453"/>
      <c r="C87" s="454"/>
      <c r="D87" s="264"/>
      <c r="E87" s="25"/>
      <c r="F87" s="43"/>
      <c r="G87" s="43"/>
      <c r="H87" s="25"/>
      <c r="I87" s="51"/>
      <c r="J87" s="25"/>
      <c r="K87" s="25"/>
      <c r="L87" s="25"/>
      <c r="M87" s="25"/>
      <c r="N87" s="25"/>
      <c r="O87" s="25"/>
      <c r="P87" s="25"/>
      <c r="Q87" s="25"/>
      <c r="R87" s="25"/>
      <c r="S87" s="200"/>
      <c r="T87" s="207"/>
    </row>
    <row r="88" spans="1:20" ht="18" hidden="1">
      <c r="A88" s="277"/>
      <c r="B88" s="453"/>
      <c r="C88" s="454"/>
      <c r="D88" s="460" t="s">
        <v>137</v>
      </c>
      <c r="E88" s="461"/>
      <c r="F88" s="462"/>
      <c r="G88" s="25"/>
      <c r="H88" s="25"/>
      <c r="I88" s="25"/>
      <c r="J88" s="25"/>
      <c r="K88" s="25"/>
      <c r="L88" s="25"/>
      <c r="M88" s="25"/>
      <c r="N88" s="25"/>
      <c r="O88" s="25"/>
      <c r="P88" s="25"/>
      <c r="Q88" s="25"/>
      <c r="R88" s="25"/>
      <c r="S88" s="25"/>
      <c r="T88" s="33"/>
    </row>
    <row r="89" spans="1:20" ht="24" customHeight="1" hidden="1">
      <c r="A89" s="277"/>
      <c r="B89" s="453"/>
      <c r="C89" s="454"/>
      <c r="D89" s="264"/>
      <c r="E89" s="25"/>
      <c r="F89" s="226"/>
      <c r="G89" s="226"/>
      <c r="H89" s="258" t="s">
        <v>59</v>
      </c>
      <c r="I89" s="258"/>
      <c r="J89" s="208" t="s">
        <v>56</v>
      </c>
      <c r="K89" s="208"/>
      <c r="L89" s="208" t="s">
        <v>60</v>
      </c>
      <c r="M89" s="208"/>
      <c r="N89" s="258" t="s">
        <v>18</v>
      </c>
      <c r="O89" s="258"/>
      <c r="P89" s="463" t="s">
        <v>55</v>
      </c>
      <c r="Q89" s="25"/>
      <c r="R89" s="25"/>
      <c r="S89" s="25"/>
      <c r="T89" s="33"/>
    </row>
    <row r="90" spans="1:20" ht="19.5" customHeight="1" hidden="1">
      <c r="A90" s="277"/>
      <c r="B90" s="453"/>
      <c r="C90" s="454"/>
      <c r="D90" s="264"/>
      <c r="E90" s="25"/>
      <c r="F90" s="464" t="s">
        <v>7</v>
      </c>
      <c r="G90" s="464"/>
      <c r="H90" s="465">
        <f>IF(OR($N$82=0),H77,H85)</f>
        <v>1</v>
      </c>
      <c r="I90" s="465"/>
      <c r="J90" s="465">
        <f>IF(OR($N$82=0),J77,J85)</f>
        <v>1.7142857142857144</v>
      </c>
      <c r="K90" s="465"/>
      <c r="L90" s="465">
        <f>IF(OR($N$82=0),L77,L85)</f>
        <v>3.5714285714285716</v>
      </c>
      <c r="M90" s="465"/>
      <c r="N90" s="465">
        <f>IF(OR($N$82=0),N77,N85)</f>
        <v>0</v>
      </c>
      <c r="O90" s="465"/>
      <c r="P90" s="466">
        <f>SUM(H90:N90)</f>
        <v>6.2857142857142865</v>
      </c>
      <c r="Q90" s="25"/>
      <c r="R90" s="25"/>
      <c r="S90" s="200"/>
      <c r="T90" s="207"/>
    </row>
    <row r="91" spans="1:20" ht="15" hidden="1">
      <c r="A91" s="277"/>
      <c r="B91" s="453"/>
      <c r="C91" s="454"/>
      <c r="D91" s="264"/>
      <c r="E91" s="25"/>
      <c r="F91" s="64" t="s">
        <v>57</v>
      </c>
      <c r="G91" s="47"/>
      <c r="H91" s="279"/>
      <c r="I91" s="279"/>
      <c r="J91" s="279"/>
      <c r="K91" s="279"/>
      <c r="L91" s="279"/>
      <c r="M91" s="279"/>
      <c r="N91" s="279"/>
      <c r="O91" s="279"/>
      <c r="P91" s="279"/>
      <c r="Q91" s="25"/>
      <c r="R91" s="25"/>
      <c r="S91" s="200"/>
      <c r="T91" s="207"/>
    </row>
    <row r="92" spans="1:20" ht="12.75" customHeight="1" thickBot="1">
      <c r="A92" s="277"/>
      <c r="B92" s="453"/>
      <c r="C92" s="454"/>
      <c r="D92" s="265"/>
      <c r="E92" s="230"/>
      <c r="F92" s="230"/>
      <c r="G92" s="230"/>
      <c r="H92" s="230"/>
      <c r="I92" s="230"/>
      <c r="J92" s="230"/>
      <c r="K92" s="230"/>
      <c r="L92" s="230"/>
      <c r="M92" s="230"/>
      <c r="N92" s="230"/>
      <c r="O92" s="230"/>
      <c r="P92" s="241"/>
      <c r="Q92" s="241"/>
      <c r="R92" s="200"/>
      <c r="S92" s="200"/>
      <c r="T92" s="207"/>
    </row>
    <row r="93" spans="1:20" ht="12.75">
      <c r="A93" s="277"/>
      <c r="B93" s="453"/>
      <c r="C93" s="454"/>
      <c r="D93" s="264"/>
      <c r="E93" s="25"/>
      <c r="F93" s="25"/>
      <c r="G93" s="25"/>
      <c r="H93" s="25"/>
      <c r="I93" s="25"/>
      <c r="J93" s="248"/>
      <c r="K93" s="248"/>
      <c r="L93" s="249"/>
      <c r="M93" s="249"/>
      <c r="N93" s="195"/>
      <c r="O93" s="195"/>
      <c r="P93" s="195"/>
      <c r="Q93" s="195"/>
      <c r="R93" s="195"/>
      <c r="S93" s="195"/>
      <c r="T93" s="467"/>
    </row>
    <row r="94" spans="1:20" ht="12.75">
      <c r="A94" s="277"/>
      <c r="B94" s="453"/>
      <c r="C94" s="454"/>
      <c r="D94" s="264"/>
      <c r="E94" s="25"/>
      <c r="F94" s="25"/>
      <c r="G94" s="25"/>
      <c r="H94" s="25"/>
      <c r="I94" s="25"/>
      <c r="J94" s="248"/>
      <c r="K94" s="248"/>
      <c r="L94" s="249"/>
      <c r="M94" s="249"/>
      <c r="N94" s="195"/>
      <c r="O94" s="195"/>
      <c r="P94" s="195"/>
      <c r="Q94" s="195"/>
      <c r="R94" s="195"/>
      <c r="S94" s="195"/>
      <c r="T94" s="467"/>
    </row>
    <row r="95" spans="2:20" ht="9.75" customHeight="1">
      <c r="B95" s="34"/>
      <c r="C95" s="196"/>
      <c r="D95" s="151"/>
      <c r="E95" s="151"/>
      <c r="F95" s="151"/>
      <c r="G95" s="151"/>
      <c r="H95" s="151"/>
      <c r="I95" s="151"/>
      <c r="J95" s="382"/>
      <c r="K95" s="382"/>
      <c r="L95" s="383"/>
      <c r="M95" s="383"/>
      <c r="N95" s="384"/>
      <c r="O95" s="384"/>
      <c r="P95" s="385"/>
      <c r="Q95" s="386"/>
      <c r="R95" s="386"/>
      <c r="S95" s="387"/>
      <c r="T95" s="468"/>
    </row>
    <row r="96" spans="2:23" ht="24.75" customHeight="1">
      <c r="B96" s="34"/>
      <c r="C96" s="197"/>
      <c r="D96" s="356" t="s">
        <v>156</v>
      </c>
      <c r="E96" s="70"/>
      <c r="F96" s="90"/>
      <c r="G96" s="70"/>
      <c r="H96" s="70"/>
      <c r="I96" s="70"/>
      <c r="J96" s="70"/>
      <c r="K96" s="70"/>
      <c r="L96" s="70"/>
      <c r="M96" s="70"/>
      <c r="N96" s="70"/>
      <c r="O96" s="70"/>
      <c r="P96" s="70"/>
      <c r="Q96" s="357"/>
      <c r="R96" s="357"/>
      <c r="S96" s="358"/>
      <c r="T96" s="459"/>
      <c r="V96" s="503">
        <f>'Budgeted Rate Base'!$F$185-$P$29-$J$54</f>
        <v>0</v>
      </c>
      <c r="W96" s="503">
        <f>V96+J$54+P$29</f>
        <v>0</v>
      </c>
    </row>
    <row r="97" spans="2:20" ht="15.75" customHeight="1">
      <c r="B97" s="34"/>
      <c r="C97" s="197"/>
      <c r="D97" s="1177" t="s">
        <v>23</v>
      </c>
      <c r="E97" s="1638" t="s">
        <v>354</v>
      </c>
      <c r="F97" s="1639"/>
      <c r="G97" s="1639"/>
      <c r="H97" s="1639"/>
      <c r="I97" s="1639"/>
      <c r="J97" s="1639"/>
      <c r="K97" s="1639"/>
      <c r="L97" s="1639"/>
      <c r="M97" s="1639"/>
      <c r="N97" s="1639"/>
      <c r="O97" s="1639"/>
      <c r="P97" s="1639"/>
      <c r="Q97" s="1639"/>
      <c r="R97" s="601"/>
      <c r="S97" s="358"/>
      <c r="T97" s="459"/>
    </row>
    <row r="98" spans="2:22" s="278" customFormat="1" ht="16.5" customHeight="1">
      <c r="B98" s="469"/>
      <c r="C98" s="388"/>
      <c r="D98" s="93"/>
      <c r="E98" s="93" t="s">
        <v>404</v>
      </c>
      <c r="F98" s="93"/>
      <c r="G98" s="93"/>
      <c r="H98" s="93"/>
      <c r="I98" s="93"/>
      <c r="J98" s="93"/>
      <c r="K98" s="93"/>
      <c r="L98" s="93"/>
      <c r="M98" s="93"/>
      <c r="N98" s="93"/>
      <c r="O98" s="93"/>
      <c r="P98" s="93"/>
      <c r="Q98" s="93"/>
      <c r="R98" s="423"/>
      <c r="S98" s="359"/>
      <c r="T98" s="470"/>
      <c r="U98" s="12"/>
      <c r="V98" s="12"/>
    </row>
    <row r="99" spans="2:21" s="278" customFormat="1" ht="16.5" customHeight="1">
      <c r="B99" s="469"/>
      <c r="C99" s="388"/>
      <c r="D99" s="93"/>
      <c r="E99" s="93" t="s">
        <v>405</v>
      </c>
      <c r="F99" s="93"/>
      <c r="G99" s="93"/>
      <c r="H99" s="93"/>
      <c r="I99" s="93"/>
      <c r="J99" s="93"/>
      <c r="K99" s="93"/>
      <c r="L99" s="93"/>
      <c r="M99" s="93"/>
      <c r="N99" s="93"/>
      <c r="O99" s="93"/>
      <c r="P99" s="93"/>
      <c r="Q99" s="93"/>
      <c r="R99" s="423"/>
      <c r="S99" s="359"/>
      <c r="T99" s="470"/>
      <c r="U99" s="12"/>
    </row>
    <row r="100" spans="2:21" s="278" customFormat="1" ht="16.5" customHeight="1">
      <c r="B100" s="469"/>
      <c r="C100" s="388"/>
      <c r="D100" s="423"/>
      <c r="E100" s="93" t="s">
        <v>387</v>
      </c>
      <c r="F100" s="423"/>
      <c r="G100" s="423"/>
      <c r="H100" s="423"/>
      <c r="I100" s="423"/>
      <c r="J100" s="423"/>
      <c r="K100" s="423"/>
      <c r="L100" s="423"/>
      <c r="M100" s="423"/>
      <c r="N100" s="423"/>
      <c r="O100" s="423"/>
      <c r="P100" s="423"/>
      <c r="Q100" s="423"/>
      <c r="R100" s="423"/>
      <c r="S100" s="359"/>
      <c r="T100" s="470"/>
      <c r="U100" s="12"/>
    </row>
    <row r="101" spans="2:20" ht="16.5" customHeight="1">
      <c r="B101" s="34"/>
      <c r="C101" s="197"/>
      <c r="D101" s="361"/>
      <c r="E101" s="70"/>
      <c r="F101" s="90"/>
      <c r="G101" s="70"/>
      <c r="H101" s="70"/>
      <c r="I101" s="70"/>
      <c r="J101" s="71"/>
      <c r="K101" s="355"/>
      <c r="L101" s="475"/>
      <c r="M101" s="212" t="s">
        <v>187</v>
      </c>
      <c r="N101" s="212">
        <f>'Program-wide Rates'!N19</f>
        <v>2024</v>
      </c>
      <c r="O101" s="499" t="str">
        <f>'Program-wide Rates'!O19</f>
        <v>-</v>
      </c>
      <c r="P101" s="498">
        <f>'Program-wide Rates'!P19</f>
        <v>2025</v>
      </c>
      <c r="Q101" s="497"/>
      <c r="R101" s="602"/>
      <c r="S101" s="358"/>
      <c r="T101" s="459"/>
    </row>
    <row r="102" spans="2:22" ht="18.75" customHeight="1">
      <c r="B102" s="34"/>
      <c r="C102" s="197"/>
      <c r="D102" s="70"/>
      <c r="E102" s="70"/>
      <c r="F102" s="70"/>
      <c r="G102" s="70"/>
      <c r="H102" s="122"/>
      <c r="I102" s="70"/>
      <c r="J102" s="343" t="s">
        <v>58</v>
      </c>
      <c r="K102" s="343"/>
      <c r="L102" s="343" t="s">
        <v>56</v>
      </c>
      <c r="M102" s="343"/>
      <c r="N102" s="343" t="s">
        <v>60</v>
      </c>
      <c r="O102" s="343"/>
      <c r="P102" s="344" t="s">
        <v>18</v>
      </c>
      <c r="Q102" s="345"/>
      <c r="R102" s="345"/>
      <c r="S102" s="362"/>
      <c r="T102" s="459"/>
      <c r="V102" s="14"/>
    </row>
    <row r="103" spans="2:20" ht="12.75" customHeight="1">
      <c r="B103" s="34"/>
      <c r="C103" s="197"/>
      <c r="D103" s="70"/>
      <c r="E103" s="70"/>
      <c r="F103" s="70"/>
      <c r="G103" s="70"/>
      <c r="H103" s="122"/>
      <c r="I103" s="70"/>
      <c r="J103" s="491">
        <f>IF(OR(G$12=2,AND(G$20=1,G$25=1)),"Leave Blank","")</f>
      </c>
      <c r="K103" s="324"/>
      <c r="L103" s="491">
        <f>IF(OR(I$12=2,AND(I$20=1,I$25=1)),"Leave Blank","")</f>
      </c>
      <c r="M103" s="324"/>
      <c r="N103" s="492">
        <f>IF(OR(K$12=2,AND(K$20=1,K$25=1)),"Leave Blank","")</f>
      </c>
      <c r="O103" s="326"/>
      <c r="P103" s="491" t="str">
        <f>IF(OR(M$12=2,AND(M$20=1,M$25=1)),"Leave Blank","")</f>
        <v>Leave Blank</v>
      </c>
      <c r="Q103" s="329"/>
      <c r="R103" s="329"/>
      <c r="S103" s="362"/>
      <c r="T103" s="1640" t="str">
        <f>IF(SUM(J104:P104)&lt;H104-1,"Does Not = Total Projected Passenger Miles, with adjmt. for contracted services",(IF(SUM(J104:P104)&gt;H104+1,"Does Not = Total Projected Passenger Miles, with adjmt for contracted services"," ")))</f>
        <v> </v>
      </c>
    </row>
    <row r="104" spans="2:23" ht="18" customHeight="1" thickBot="1">
      <c r="B104" s="34"/>
      <c r="C104" s="197"/>
      <c r="D104" s="70"/>
      <c r="E104" s="1175"/>
      <c r="F104" s="1175"/>
      <c r="G104" s="351" t="s">
        <v>355</v>
      </c>
      <c r="H104" s="437">
        <f>'Program-wide Rates'!K17-P30</f>
        <v>0</v>
      </c>
      <c r="I104" s="587" t="s">
        <v>95</v>
      </c>
      <c r="J104" s="338"/>
      <c r="K104" s="490" t="s">
        <v>321</v>
      </c>
      <c r="L104" s="338"/>
      <c r="M104" s="490" t="s">
        <v>321</v>
      </c>
      <c r="N104" s="338"/>
      <c r="O104" s="490" t="s">
        <v>321</v>
      </c>
      <c r="P104" s="490">
        <f>IF(OR(M12=2,M21=1),0,H61)</f>
        <v>0</v>
      </c>
      <c r="Q104" s="330"/>
      <c r="R104" s="330"/>
      <c r="S104" s="369"/>
      <c r="T104" s="1641"/>
      <c r="U104" s="229"/>
      <c r="W104" s="613">
        <f>W106-W96</f>
        <v>0</v>
      </c>
    </row>
    <row r="105" spans="2:21" ht="5.25" customHeight="1">
      <c r="B105" s="34"/>
      <c r="C105" s="197"/>
      <c r="D105" s="70"/>
      <c r="E105" s="1175"/>
      <c r="F105" s="1175"/>
      <c r="G105" s="501"/>
      <c r="H105" s="437"/>
      <c r="I105" s="587"/>
      <c r="J105" s="490"/>
      <c r="K105" s="490"/>
      <c r="L105" s="490"/>
      <c r="M105" s="490"/>
      <c r="N105" s="490"/>
      <c r="O105" s="490"/>
      <c r="P105" s="490"/>
      <c r="Q105" s="330"/>
      <c r="R105" s="330"/>
      <c r="S105" s="369"/>
      <c r="T105" s="553"/>
      <c r="U105" s="229"/>
    </row>
    <row r="106" spans="2:23" ht="16.5" customHeight="1">
      <c r="B106" s="34"/>
      <c r="C106" s="197"/>
      <c r="D106" s="70"/>
      <c r="E106" s="70"/>
      <c r="F106" s="104"/>
      <c r="G106" s="104"/>
      <c r="H106" s="351" t="s">
        <v>356</v>
      </c>
      <c r="I106" s="90"/>
      <c r="J106" s="589">
        <f>IF(AND(G$12=1,G$20=1,G$25=1),H34,IF(G$12=2,0,IF(J104=0,0,((('Budgeted Rate Base'!$F$185-$P$29-$J$54)/($J$104*$H$90+$L$104*$J$90+$N$104*$L$90+$P$104*$N$90)*H$90)))))</f>
        <v>0</v>
      </c>
      <c r="K106" s="589"/>
      <c r="L106" s="589">
        <f>IF(AND(I$12=1,I$20=1,I$25=1),J34,IF(I$12=2,0,IF(L104=0,0,((('Budgeted Rate Base'!$F$185-$P$29-$J$54)/($J$104*$H$90+$L$104*$J$90+$N$104*$L$90+$P$104*$N$90)*J$90)))))</f>
        <v>0</v>
      </c>
      <c r="M106" s="589"/>
      <c r="N106" s="589">
        <f>IF(AND(K$12=1,K$20=1,K$25=1),L34,IF(K$12=2,0,IF(N104=0,0,((('Budgeted Rate Base'!$F$185-$P$29-$J$54)/($J$104*$H$90+$L$104*$J$90+$N$104*$L$90+$P$104*$N$90)*L$90)))))</f>
        <v>0</v>
      </c>
      <c r="O106" s="589"/>
      <c r="P106" s="589">
        <f>IF(AND(M$12=1,M$20=1,M$25=1),N34,IF(M$12=2,0,IF(P104=0,0,((('Budgeted Rate Base'!$F$185-$P$29-$J$54)/($J$104*$H$90+$L$104*$J$90+$N$104*$L$90+$P$104*$N$90)*N$90)))))</f>
        <v>0</v>
      </c>
      <c r="Q106" s="590">
        <f>IF($N$83=0,"",P106/$N$83)</f>
        <v>0</v>
      </c>
      <c r="R106" s="603"/>
      <c r="S106" s="363"/>
      <c r="T106" s="471"/>
      <c r="V106" s="503">
        <f>J106*J104+L106*L104+N106*N104+P106*P104</f>
        <v>0</v>
      </c>
      <c r="W106" s="503">
        <f>V106+J$54+P$29</f>
        <v>0</v>
      </c>
    </row>
    <row r="107" spans="2:20" ht="15.75">
      <c r="B107" s="34"/>
      <c r="C107" s="197"/>
      <c r="D107" s="70"/>
      <c r="E107" s="70"/>
      <c r="F107" s="104"/>
      <c r="G107" s="104"/>
      <c r="H107" s="351"/>
      <c r="I107" s="90"/>
      <c r="J107" s="327"/>
      <c r="K107" s="327"/>
      <c r="L107" s="327"/>
      <c r="M107" s="327"/>
      <c r="N107" s="328"/>
      <c r="O107" s="328"/>
      <c r="P107" s="348" t="s">
        <v>5</v>
      </c>
      <c r="Q107" s="349" t="s">
        <v>6</v>
      </c>
      <c r="R107" s="349"/>
      <c r="S107" s="362"/>
      <c r="T107" s="471"/>
    </row>
    <row r="108" spans="2:20" ht="12" customHeight="1">
      <c r="B108" s="34"/>
      <c r="C108" s="197"/>
      <c r="D108" s="70"/>
      <c r="E108" s="70"/>
      <c r="F108" s="104"/>
      <c r="G108" s="104"/>
      <c r="H108" s="122"/>
      <c r="I108" s="331"/>
      <c r="J108" s="331"/>
      <c r="K108" s="331"/>
      <c r="L108" s="331"/>
      <c r="M108" s="331"/>
      <c r="N108" s="331"/>
      <c r="O108" s="331"/>
      <c r="P108" s="225"/>
      <c r="Q108" s="332"/>
      <c r="R108" s="332"/>
      <c r="S108" s="364"/>
      <c r="T108" s="471"/>
    </row>
    <row r="109" spans="2:20" ht="17.25" customHeight="1">
      <c r="B109" s="34"/>
      <c r="C109" s="197"/>
      <c r="D109" s="70"/>
      <c r="E109" s="70"/>
      <c r="F109" s="104"/>
      <c r="G109" s="104"/>
      <c r="H109" s="365"/>
      <c r="I109" s="331"/>
      <c r="J109" s="281" t="s">
        <v>58</v>
      </c>
      <c r="K109" s="281"/>
      <c r="L109" s="281" t="s">
        <v>56</v>
      </c>
      <c r="M109" s="281"/>
      <c r="N109" s="281" t="s">
        <v>60</v>
      </c>
      <c r="O109" s="281"/>
      <c r="P109" s="346" t="s">
        <v>54</v>
      </c>
      <c r="Q109" s="347"/>
      <c r="R109" s="347"/>
      <c r="S109" s="364"/>
      <c r="T109" s="459"/>
    </row>
    <row r="110" spans="2:22" ht="12" customHeight="1">
      <c r="B110" s="34"/>
      <c r="C110" s="197"/>
      <c r="D110" s="70"/>
      <c r="E110" s="70"/>
      <c r="F110" s="104"/>
      <c r="G110" s="104"/>
      <c r="H110" s="365"/>
      <c r="I110" s="331"/>
      <c r="J110" s="493">
        <f>IF(OR(G$12=2,AND(G$20=1,G$25=1)),"Leave Blank","")</f>
      </c>
      <c r="K110" s="472"/>
      <c r="L110" s="493">
        <f>IF(OR(I$12=2,AND(I$20=1,I$25=1)),"Leave Blank","")</f>
      </c>
      <c r="M110" s="334"/>
      <c r="N110" s="492">
        <f>IF(OR(K$12=2,AND(K$20=1,K$25=1)),"Leave Blank","")</f>
      </c>
      <c r="O110" s="492"/>
      <c r="P110" s="492" t="str">
        <f>IF(OR(M$12=2,AND(M$20=1,M$25=1)),"Leave Blank","")</f>
        <v>Leave Blank</v>
      </c>
      <c r="Q110" s="335"/>
      <c r="R110" s="335"/>
      <c r="S110" s="364"/>
      <c r="T110" s="1633" t="str">
        <f>IF(SUM(J111:P111)&lt;H111-1,"Does Not = Total Projected Passenger Trips, with adjmt. for contracted services",(IF(SUM(J111:P111)&gt;H111+1,"Does Not = Total Projected Passenger Trips, with adjmt. for contracted services"," ")))</f>
        <v> </v>
      </c>
      <c r="V110" s="14"/>
    </row>
    <row r="111" spans="2:20" ht="18" customHeight="1" thickBot="1">
      <c r="B111" s="34"/>
      <c r="C111" s="197"/>
      <c r="D111" s="70"/>
      <c r="E111" s="70"/>
      <c r="F111" s="90"/>
      <c r="G111" s="351" t="s">
        <v>406</v>
      </c>
      <c r="H111" s="437">
        <f>'Program-wide Rates'!K21-P31</f>
        <v>0</v>
      </c>
      <c r="I111" s="588" t="s">
        <v>95</v>
      </c>
      <c r="J111" s="338"/>
      <c r="K111" s="490" t="s">
        <v>321</v>
      </c>
      <c r="L111" s="338"/>
      <c r="M111" s="490" t="s">
        <v>321</v>
      </c>
      <c r="N111" s="338"/>
      <c r="O111" s="490" t="s">
        <v>321</v>
      </c>
      <c r="P111" s="338"/>
      <c r="Q111" s="332"/>
      <c r="R111" s="332"/>
      <c r="S111" s="369"/>
      <c r="T111" s="1634"/>
    </row>
    <row r="112" spans="2:20" ht="5.25" customHeight="1">
      <c r="B112" s="34"/>
      <c r="C112" s="197"/>
      <c r="D112" s="70"/>
      <c r="E112" s="70"/>
      <c r="F112" s="90"/>
      <c r="G112" s="501"/>
      <c r="H112" s="437"/>
      <c r="I112" s="588"/>
      <c r="J112" s="490"/>
      <c r="K112" s="490"/>
      <c r="L112" s="490"/>
      <c r="M112" s="490"/>
      <c r="N112" s="490"/>
      <c r="O112" s="490"/>
      <c r="P112" s="490"/>
      <c r="Q112" s="332"/>
      <c r="R112" s="332"/>
      <c r="S112" s="369"/>
      <c r="T112" s="553"/>
    </row>
    <row r="113" spans="2:23" ht="16.5" customHeight="1">
      <c r="B113" s="34"/>
      <c r="C113" s="197"/>
      <c r="D113" s="70"/>
      <c r="E113" s="70"/>
      <c r="F113" s="70"/>
      <c r="G113" s="70"/>
      <c r="H113" s="351" t="s">
        <v>179</v>
      </c>
      <c r="I113" s="90"/>
      <c r="J113" s="589">
        <f>IF(AND(G$12=1,G$20=1,G$25=1),H35,IF(G$12=2,0,IF(J111=0,0,((('Budgeted Rate Base'!$F$185-$P$29-$J$54)/($J$111*$H$90+$L$111*$J$90+$N$111*$L$90+$P$111*$N$90)*H$90)))))</f>
        <v>0</v>
      </c>
      <c r="K113" s="589"/>
      <c r="L113" s="589">
        <f>IF(AND(I$12=1,I$20=1,I$25=1),J35,IF(I$12=2,0,IF(L111=0,0,((('Budgeted Rate Base'!$F$185-$P$29-$J$54)/($J$111*$H$90+$L$111*$J$90+$N$111*$L$90+$P$111*$N$90)*J$90)))))</f>
        <v>0</v>
      </c>
      <c r="M113" s="589"/>
      <c r="N113" s="589">
        <f>IF(AND(K$12=1,K$20=1,K$25=1),L35,IF(K$12=2,0,IF(N111=0,0,((('Budgeted Rate Base'!$F$185-$P$29-$J$54)/($J$111*$H$90+$L$111*$J$90+$N$111*$L$90+$P$111*$N$90)*L$90)))))</f>
        <v>0</v>
      </c>
      <c r="O113" s="589"/>
      <c r="P113" s="589">
        <f>IF(AND(M$12=1,M$20=1,M$25=1),N35,IF(M$12=2,0,IF(P104=0,0,((('Budgeted Rate Base'!$F$185-$P$29-$J$54)/($J$111*$H$90+$L$111*$J$90+$N$111*$L$90+$P$111*$N$90)*N$90)))))</f>
        <v>0</v>
      </c>
      <c r="Q113" s="590">
        <f>IF($N$83=0,"",P113/$N$83)</f>
        <v>0</v>
      </c>
      <c r="R113" s="603"/>
      <c r="S113" s="363"/>
      <c r="T113" s="459"/>
      <c r="U113" s="229"/>
      <c r="V113" s="503">
        <f>J113*J111+L113*L111+N113*N111+P113*P111</f>
        <v>0</v>
      </c>
      <c r="W113" s="503">
        <f>V113+J$54+P$29</f>
        <v>0</v>
      </c>
    </row>
    <row r="114" spans="2:23" ht="15.75">
      <c r="B114" s="34"/>
      <c r="C114" s="197"/>
      <c r="D114" s="70"/>
      <c r="E114" s="70"/>
      <c r="F114" s="104"/>
      <c r="G114" s="104"/>
      <c r="H114" s="351"/>
      <c r="I114" s="90"/>
      <c r="J114" s="327"/>
      <c r="K114" s="327"/>
      <c r="L114" s="327"/>
      <c r="M114" s="327"/>
      <c r="N114" s="336"/>
      <c r="O114" s="336"/>
      <c r="P114" s="348" t="s">
        <v>5</v>
      </c>
      <c r="Q114" s="349" t="s">
        <v>6</v>
      </c>
      <c r="R114" s="349"/>
      <c r="S114" s="363"/>
      <c r="T114" s="471"/>
      <c r="V114" s="502"/>
      <c r="W114" s="503"/>
    </row>
    <row r="115" spans="2:23" ht="21.75" customHeight="1">
      <c r="B115" s="34"/>
      <c r="C115" s="197"/>
      <c r="D115" s="70"/>
      <c r="E115" s="70"/>
      <c r="F115" s="70"/>
      <c r="G115" s="70"/>
      <c r="H115" s="70"/>
      <c r="I115" s="70"/>
      <c r="J115" s="70"/>
      <c r="K115" s="70"/>
      <c r="L115" s="70"/>
      <c r="M115" s="70"/>
      <c r="N115" s="70"/>
      <c r="O115" s="70"/>
      <c r="P115" s="337"/>
      <c r="Q115" s="122"/>
      <c r="R115" s="122"/>
      <c r="S115" s="147"/>
      <c r="T115" s="33"/>
      <c r="W115" s="503"/>
    </row>
    <row r="116" spans="2:23" ht="16.5" customHeight="1">
      <c r="B116" s="34"/>
      <c r="C116" s="197"/>
      <c r="D116" s="1177" t="s">
        <v>189</v>
      </c>
      <c r="E116" s="93" t="s">
        <v>407</v>
      </c>
      <c r="F116" s="18"/>
      <c r="G116" s="18"/>
      <c r="H116" s="18"/>
      <c r="I116" s="360"/>
      <c r="J116" s="366" t="s">
        <v>1</v>
      </c>
      <c r="K116" s="366"/>
      <c r="L116" s="366"/>
      <c r="M116" s="366"/>
      <c r="N116" s="366"/>
      <c r="O116" s="366"/>
      <c r="P116" s="366"/>
      <c r="Q116" s="367"/>
      <c r="R116" s="604"/>
      <c r="S116" s="358"/>
      <c r="T116" s="459"/>
      <c r="W116" s="503"/>
    </row>
    <row r="117" spans="2:23" ht="18" customHeight="1">
      <c r="B117" s="34"/>
      <c r="C117" s="197"/>
      <c r="D117" s="70"/>
      <c r="E117" s="70"/>
      <c r="F117" s="90"/>
      <c r="G117" s="70"/>
      <c r="H117" s="351"/>
      <c r="I117" s="70"/>
      <c r="J117" s="281" t="s">
        <v>58</v>
      </c>
      <c r="K117" s="281"/>
      <c r="L117" s="281" t="s">
        <v>56</v>
      </c>
      <c r="M117" s="281"/>
      <c r="N117" s="281" t="s">
        <v>60</v>
      </c>
      <c r="O117" s="281"/>
      <c r="P117" s="344" t="s">
        <v>18</v>
      </c>
      <c r="Q117" s="325"/>
      <c r="R117" s="325"/>
      <c r="S117" s="147"/>
      <c r="T117" s="33"/>
      <c r="W117" s="503"/>
    </row>
    <row r="118" spans="2:23" ht="12" customHeight="1">
      <c r="B118" s="34"/>
      <c r="C118" s="197"/>
      <c r="D118" s="70"/>
      <c r="E118" s="70"/>
      <c r="F118" s="352"/>
      <c r="G118" s="70"/>
      <c r="H118" s="70"/>
      <c r="I118" s="70"/>
      <c r="J118" s="491">
        <f>IF(OR(G$12=2,AND(G$20=1,G$25=1)),"Leave Blank","")</f>
      </c>
      <c r="K118" s="339"/>
      <c r="L118" s="491">
        <f>IF(OR(I$12=2,AND(I$20=1,I$25=1)),"Leave Blank","")</f>
      </c>
      <c r="M118" s="339"/>
      <c r="N118" s="492">
        <f>IF(OR(K$12=2,AND(K$20=1,K$25=1)),"Leave Blank","")</f>
      </c>
      <c r="O118" s="326"/>
      <c r="P118" s="491" t="str">
        <f>IF(OR(M$12=2,AND(M$20=1,M$25=1)),"Leave Blank","")</f>
        <v>Leave Blank</v>
      </c>
      <c r="Q118" s="325"/>
      <c r="R118" s="325"/>
      <c r="S118" s="147"/>
      <c r="T118" s="33"/>
      <c r="W118" s="503"/>
    </row>
    <row r="119" spans="2:23" s="17" customFormat="1" ht="17.25" customHeight="1" thickBot="1">
      <c r="B119" s="32"/>
      <c r="C119" s="148"/>
      <c r="D119" s="70"/>
      <c r="E119" s="102"/>
      <c r="F119" s="18"/>
      <c r="G119" s="18"/>
      <c r="H119" s="1181" t="s">
        <v>386</v>
      </c>
      <c r="I119" s="70"/>
      <c r="J119" s="342"/>
      <c r="K119" s="341"/>
      <c r="L119" s="342"/>
      <c r="M119" s="341"/>
      <c r="N119" s="342"/>
      <c r="O119" s="341"/>
      <c r="P119" s="342"/>
      <c r="Q119" s="341">
        <f>P119/$N$83</f>
        <v>0</v>
      </c>
      <c r="R119" s="341"/>
      <c r="S119" s="147"/>
      <c r="T119" s="33"/>
      <c r="U119" s="13"/>
      <c r="V119" s="1"/>
      <c r="W119" s="503"/>
    </row>
    <row r="120" spans="2:23" s="17" customFormat="1" ht="5.25" customHeight="1">
      <c r="B120" s="32"/>
      <c r="C120" s="148"/>
      <c r="D120" s="70"/>
      <c r="E120" s="102"/>
      <c r="F120" s="70"/>
      <c r="G120" s="70"/>
      <c r="H120" s="500"/>
      <c r="I120" s="70"/>
      <c r="J120" s="341"/>
      <c r="K120" s="341"/>
      <c r="L120" s="341"/>
      <c r="M120" s="341"/>
      <c r="N120" s="341"/>
      <c r="O120" s="341"/>
      <c r="P120" s="341"/>
      <c r="Q120" s="341"/>
      <c r="R120" s="341"/>
      <c r="S120" s="147"/>
      <c r="T120" s="33"/>
      <c r="V120" s="1"/>
      <c r="W120" s="503"/>
    </row>
    <row r="121" spans="2:23" s="17" customFormat="1" ht="15.75">
      <c r="B121" s="32"/>
      <c r="C121" s="148"/>
      <c r="D121" s="70"/>
      <c r="E121" s="102"/>
      <c r="F121" s="70"/>
      <c r="G121" s="70"/>
      <c r="H121" s="351" t="s">
        <v>358</v>
      </c>
      <c r="I121" s="70"/>
      <c r="J121" s="591">
        <f>IF(G12=2,0,IF(AND(G20=1,G25=1,H29&gt;0),H40,IF(J104=0,0,((J104*J106)-(J119*J111))/(J104))))</f>
        <v>0</v>
      </c>
      <c r="K121" s="591"/>
      <c r="L121" s="591">
        <f>IF(I12=2,0,IF(AND(I20=1,I25=1,J29&gt;0),J40,IF(L104=0,0,((L104*L106)-(L119*L111))/(L104))))</f>
        <v>0</v>
      </c>
      <c r="M121" s="591"/>
      <c r="N121" s="592">
        <f>IF(K12=2,0,IF(AND(K20=1,K25=1,L29&gt;0),L40,IF(N104=0,0,((N104*N106)-(N119*N111))/(N104))))</f>
        <v>0</v>
      </c>
      <c r="O121" s="591"/>
      <c r="P121" s="591">
        <f>IF(M12=2,0,IF(AND(M20=1,M25=1,N29&gt;0),"See Sect. II",IF(P111=0,0,((P104*P106)-(P119*P111))/(P104))))</f>
        <v>0</v>
      </c>
      <c r="Q121" s="591">
        <f>IF($N$83=0,"",P121/$N$83)</f>
        <v>0</v>
      </c>
      <c r="R121" s="605"/>
      <c r="S121" s="368"/>
      <c r="T121" s="33"/>
      <c r="U121" s="1"/>
      <c r="V121" s="503">
        <f>J111*J119+L111*L119+N111*N119+P111*P119+J121*J104+L121*L104+N121*N104+P121*P104</f>
        <v>0</v>
      </c>
      <c r="W121" s="503">
        <f>V121+J$54+P$29</f>
        <v>0</v>
      </c>
    </row>
    <row r="122" spans="2:22" s="17" customFormat="1" ht="15.75">
      <c r="B122" s="32"/>
      <c r="C122" s="148"/>
      <c r="D122" s="70"/>
      <c r="E122" s="102"/>
      <c r="F122" s="70"/>
      <c r="G122" s="70"/>
      <c r="H122" s="104"/>
      <c r="I122" s="70"/>
      <c r="J122" s="340">
        <f>IF(AND(G20=1,G25=1,H29&gt;0),"See Sect. II","")</f>
      </c>
      <c r="K122" s="340"/>
      <c r="L122" s="340">
        <f>IF(AND(I20=1,I25=1,J29&gt;0),"See Sect. II","")</f>
      </c>
      <c r="M122" s="340"/>
      <c r="N122" s="637">
        <f>IF(AND(K20=1,K25=1,L29&gt;0),"See Sect. II","")</f>
      </c>
      <c r="O122" s="340"/>
      <c r="P122" s="350" t="s">
        <v>5</v>
      </c>
      <c r="Q122" s="350" t="s">
        <v>6</v>
      </c>
      <c r="R122" s="350"/>
      <c r="S122" s="147"/>
      <c r="T122" s="33"/>
      <c r="U122" s="644"/>
      <c r="V122" s="1"/>
    </row>
    <row r="123" spans="2:22" s="17" customFormat="1" ht="13.5" thickBot="1">
      <c r="B123" s="34"/>
      <c r="C123" s="198"/>
      <c r="D123" s="211"/>
      <c r="E123" s="211"/>
      <c r="F123" s="211"/>
      <c r="G123" s="211"/>
      <c r="H123" s="211"/>
      <c r="I123" s="211"/>
      <c r="J123" s="211"/>
      <c r="K123" s="211"/>
      <c r="L123" s="211"/>
      <c r="M123" s="211"/>
      <c r="N123" s="211"/>
      <c r="O123" s="211"/>
      <c r="P123" s="211">
        <f>IF(AND(M20=1,M25=1,N29&gt;0),"See Sect. II","")</f>
      </c>
      <c r="Q123" s="211"/>
      <c r="R123" s="211"/>
      <c r="S123" s="199"/>
      <c r="T123" s="33"/>
      <c r="U123" s="644"/>
      <c r="V123" s="1"/>
    </row>
    <row r="124" spans="2:22" s="17" customFormat="1" ht="12.75">
      <c r="B124" s="453"/>
      <c r="C124" s="454"/>
      <c r="D124" s="264"/>
      <c r="E124" s="25"/>
      <c r="F124" s="25"/>
      <c r="G124" s="25"/>
      <c r="H124" s="25"/>
      <c r="I124" s="25"/>
      <c r="J124" s="248"/>
      <c r="K124" s="248"/>
      <c r="L124" s="249"/>
      <c r="M124" s="249"/>
      <c r="N124" s="195"/>
      <c r="O124" s="195"/>
      <c r="P124" s="195"/>
      <c r="Q124" s="195"/>
      <c r="R124" s="195"/>
      <c r="S124" s="195"/>
      <c r="T124" s="33"/>
      <c r="U124" s="644"/>
      <c r="V124" s="1"/>
    </row>
    <row r="125" spans="2:22" s="17" customFormat="1" ht="19.5" customHeight="1">
      <c r="B125" s="34"/>
      <c r="C125" s="196"/>
      <c r="D125" s="151"/>
      <c r="E125" s="151"/>
      <c r="F125" s="151"/>
      <c r="G125" s="151"/>
      <c r="H125" s="151"/>
      <c r="I125" s="151"/>
      <c r="J125" s="382">
        <f>IF(AND(J119&lt;&gt;"",J123="See Section II"),"Should Have Left Rate per Trip Blank",IF(J119&gt;J113+0.01,"Combined Trip Rate Must be Less than Regular Trip Rate",""))</f>
      </c>
      <c r="K125" s="382"/>
      <c r="L125" s="383">
        <f>IF(AND(L119&lt;&gt;"",L123="See Section II"),"Should Have Left Rate per Trip Blank",IF(L119&gt;L113+0.01,"Combined Trip Rate Must be Less than Regular Trip Rate",""))</f>
      </c>
      <c r="M125" s="383"/>
      <c r="N125" s="384">
        <f>IF(AND(N119&lt;&gt;"",N123="See Section II"),"Should Have Left Rate per Trip Blank","")</f>
      </c>
      <c r="O125" s="384"/>
      <c r="P125" s="385">
        <f>IF(AND(P119&lt;&gt;"",P123="See Section II"),"Should Have Left Rate per Trip Blank",IF(P119&gt;P113+0.01,"Combined Trip Rate Must be Less than Regular Trip Rate",""))</f>
      </c>
      <c r="Q125" s="386"/>
      <c r="R125" s="386"/>
      <c r="S125" s="387"/>
      <c r="T125" s="33"/>
      <c r="U125" s="13"/>
      <c r="V125" s="1"/>
    </row>
    <row r="126" spans="2:20" ht="12.75">
      <c r="B126" s="34"/>
      <c r="C126" s="197"/>
      <c r="D126" s="90"/>
      <c r="E126" s="70"/>
      <c r="F126" s="70"/>
      <c r="G126" s="70"/>
      <c r="H126" s="70"/>
      <c r="I126" s="70"/>
      <c r="J126" s="70"/>
      <c r="K126" s="70"/>
      <c r="L126" s="70"/>
      <c r="M126" s="70"/>
      <c r="N126" s="70"/>
      <c r="O126" s="70"/>
      <c r="P126" s="90"/>
      <c r="Q126" s="70"/>
      <c r="R126" s="70"/>
      <c r="S126" s="369"/>
      <c r="T126" s="207"/>
    </row>
    <row r="127" spans="2:20" ht="19.5" customHeight="1">
      <c r="B127" s="34"/>
      <c r="C127" s="197"/>
      <c r="D127" s="90"/>
      <c r="E127" s="70"/>
      <c r="F127" s="70"/>
      <c r="G127" s="70"/>
      <c r="H127" s="70"/>
      <c r="I127" s="473" t="s">
        <v>363</v>
      </c>
      <c r="J127" s="473"/>
      <c r="K127" s="473"/>
      <c r="L127" s="473"/>
      <c r="M127" s="473"/>
      <c r="N127" s="473"/>
      <c r="O127" s="474"/>
      <c r="P127" s="474"/>
      <c r="Q127" s="473"/>
      <c r="R127" s="473"/>
      <c r="S127" s="369"/>
      <c r="T127" s="207"/>
    </row>
    <row r="128" spans="2:20" ht="28.5" customHeight="1">
      <c r="B128" s="34"/>
      <c r="C128" s="197"/>
      <c r="D128" s="90"/>
      <c r="E128" s="90"/>
      <c r="F128" s="70"/>
      <c r="G128" s="70"/>
      <c r="H128" s="122"/>
      <c r="I128" s="606"/>
      <c r="J128" s="528" t="s">
        <v>58</v>
      </c>
      <c r="K128" s="528"/>
      <c r="L128" s="529" t="s">
        <v>56</v>
      </c>
      <c r="M128" s="529"/>
      <c r="N128" s="529" t="s">
        <v>60</v>
      </c>
      <c r="O128" s="529"/>
      <c r="P128" s="528" t="s">
        <v>18</v>
      </c>
      <c r="Q128" s="528"/>
      <c r="R128" s="593"/>
      <c r="S128" s="369"/>
      <c r="T128" s="207"/>
    </row>
    <row r="129" spans="2:23" ht="15.75">
      <c r="B129" s="34"/>
      <c r="C129" s="197"/>
      <c r="D129" s="90"/>
      <c r="E129" s="90"/>
      <c r="F129" s="104"/>
      <c r="G129" s="104"/>
      <c r="H129" s="351" t="s">
        <v>359</v>
      </c>
      <c r="I129" s="607"/>
      <c r="J129" s="612" t="e">
        <f>J106*(('Budgeted Rate Base'!F185+'Budgeted Rate Base'!F182)-'Budgeted Rate Base'!J181)/($J106*$J104+$L106*$L104+$N106*$N104+$P106*$P104)</f>
        <v>#DIV/0!</v>
      </c>
      <c r="K129" s="612"/>
      <c r="L129" s="612" t="e">
        <f>L106*(('Budgeted Rate Base'!F185+'Budgeted Rate Base'!F182)-'Budgeted Rate Base'!J181)/($J106*$J104+$L106*$L104+$N106*$N104+$P106*$P104)</f>
        <v>#DIV/0!</v>
      </c>
      <c r="M129" s="612"/>
      <c r="N129" s="612" t="e">
        <f>N106*((('Budgeted Rate Base'!F185+'Budgeted Rate Base'!F182)-'Budgeted Rate Base'!J181)/($J106*$J104+$L106*$L104+$N106*$N104+$P106*$P104))</f>
        <v>#DIV/0!</v>
      </c>
      <c r="O129" s="612"/>
      <c r="P129" s="612" t="e">
        <f>P106*((('Budgeted Rate Base'!F185+'Budgeted Rate Base'!F182)-'Budgeted Rate Base'!J181)/($J106*$J104+$L106*$L104+$N106*$N104+$P106*$P104))</f>
        <v>#DIV/0!</v>
      </c>
      <c r="Q129" s="612" t="e">
        <f>IF($P$129="NA","NA",IF($N$83=0,"",P129/$N$83))</f>
        <v>#DIV/0!</v>
      </c>
      <c r="R129" s="600"/>
      <c r="S129" s="369"/>
      <c r="T129" s="207"/>
      <c r="V129" s="503" t="e">
        <f>J129*J104+L129*L104+N129*N104+P129*P104</f>
        <v>#DIV/0!</v>
      </c>
      <c r="W129" s="503"/>
    </row>
    <row r="130" spans="2:23" ht="15.75">
      <c r="B130" s="34"/>
      <c r="C130" s="197"/>
      <c r="D130" s="90"/>
      <c r="E130" s="90"/>
      <c r="F130" s="104"/>
      <c r="G130" s="104"/>
      <c r="H130" s="351"/>
      <c r="I130" s="607"/>
      <c r="J130" s="530"/>
      <c r="K130" s="530"/>
      <c r="L130" s="530"/>
      <c r="M130" s="530"/>
      <c r="N130" s="531"/>
      <c r="O130" s="530"/>
      <c r="P130" s="532" t="s">
        <v>5</v>
      </c>
      <c r="Q130" s="532" t="s">
        <v>6</v>
      </c>
      <c r="R130" s="594"/>
      <c r="S130" s="369"/>
      <c r="T130" s="207"/>
      <c r="V130" s="503"/>
      <c r="W130" s="503"/>
    </row>
    <row r="131" spans="2:23" ht="7.5" customHeight="1">
      <c r="B131" s="34"/>
      <c r="C131" s="197"/>
      <c r="D131" s="90"/>
      <c r="E131" s="90"/>
      <c r="F131" s="104"/>
      <c r="G131" s="104"/>
      <c r="H131" s="331"/>
      <c r="I131" s="595"/>
      <c r="J131" s="533"/>
      <c r="K131" s="533"/>
      <c r="L131" s="533"/>
      <c r="M131" s="533"/>
      <c r="N131" s="533"/>
      <c r="O131" s="533"/>
      <c r="P131" s="533"/>
      <c r="Q131" s="534"/>
      <c r="R131" s="596"/>
      <c r="S131" s="369"/>
      <c r="T131" s="207"/>
      <c r="V131" s="503"/>
      <c r="W131" s="503"/>
    </row>
    <row r="132" spans="2:23" ht="28.5" customHeight="1">
      <c r="B132" s="34"/>
      <c r="C132" s="197"/>
      <c r="D132" s="90"/>
      <c r="E132" s="90"/>
      <c r="F132" s="104"/>
      <c r="G132" s="104"/>
      <c r="H132" s="122"/>
      <c r="I132" s="595"/>
      <c r="J132" s="529" t="s">
        <v>58</v>
      </c>
      <c r="K132" s="529"/>
      <c r="L132" s="529" t="s">
        <v>56</v>
      </c>
      <c r="M132" s="529"/>
      <c r="N132" s="529" t="s">
        <v>60</v>
      </c>
      <c r="O132" s="529"/>
      <c r="P132" s="528" t="s">
        <v>18</v>
      </c>
      <c r="Q132" s="528"/>
      <c r="R132" s="593"/>
      <c r="S132" s="369"/>
      <c r="T132" s="207"/>
      <c r="V132" s="503"/>
      <c r="W132" s="503"/>
    </row>
    <row r="133" spans="2:23" ht="15.75">
      <c r="B133" s="34"/>
      <c r="C133" s="197"/>
      <c r="D133" s="90"/>
      <c r="E133" s="90"/>
      <c r="F133" s="70"/>
      <c r="G133" s="70"/>
      <c r="H133" s="351" t="s">
        <v>179</v>
      </c>
      <c r="I133" s="607"/>
      <c r="J133" s="612" t="e">
        <f>J113*((('Budgeted Rate Base'!F185+'Budgeted Rate Base'!F182)-'Budgeted Rate Base'!J181)/($J113*$J111+$L113*$L111+$N113*$N111+$P113*$P111))</f>
        <v>#DIV/0!</v>
      </c>
      <c r="K133" s="612"/>
      <c r="L133" s="612" t="e">
        <f>L113*((('Budgeted Rate Base'!F185+'Budgeted Rate Base'!F182)-'Budgeted Rate Base'!J181)/($J113*$J111+$L113*$L111+$N113*$N111+$P113*$P111))</f>
        <v>#DIV/0!</v>
      </c>
      <c r="M133" s="612"/>
      <c r="N133" s="612" t="e">
        <f>N113*((('Budgeted Rate Base'!F185+'Budgeted Rate Base'!F182)-'Budgeted Rate Base'!J181)/($J113*$J111+$L113*$L111+$N113*$N111+$P113*$P111))</f>
        <v>#DIV/0!</v>
      </c>
      <c r="O133" s="612"/>
      <c r="P133" s="612" t="e">
        <f>P113*((('Budgeted Rate Base'!F185+'Budgeted Rate Base'!F182)-'Budgeted Rate Base'!J181)/($J113*$J111+$L113*$L111+$N113*$N111+$P113*$P111))</f>
        <v>#DIV/0!</v>
      </c>
      <c r="Q133" s="612" t="e">
        <f>IF(P133="NA","NA",IF($N$83=0,"",P133/$N$83))</f>
        <v>#DIV/0!</v>
      </c>
      <c r="R133" s="600"/>
      <c r="S133" s="369"/>
      <c r="T133" s="207"/>
      <c r="V133" s="503" t="e">
        <f>J133*J111+L133*L111+N133*N111+P133*P111</f>
        <v>#DIV/0!</v>
      </c>
      <c r="W133" s="503"/>
    </row>
    <row r="134" spans="2:23" ht="12.75">
      <c r="B134" s="34"/>
      <c r="C134" s="197"/>
      <c r="D134" s="90"/>
      <c r="E134" s="90"/>
      <c r="F134" s="90"/>
      <c r="G134" s="90"/>
      <c r="H134" s="90"/>
      <c r="I134" s="607"/>
      <c r="J134" s="535"/>
      <c r="K134" s="535"/>
      <c r="L134" s="535"/>
      <c r="M134" s="535"/>
      <c r="N134" s="535"/>
      <c r="O134" s="535"/>
      <c r="P134" s="532" t="s">
        <v>5</v>
      </c>
      <c r="Q134" s="532" t="s">
        <v>6</v>
      </c>
      <c r="R134" s="594"/>
      <c r="S134" s="369"/>
      <c r="T134" s="207"/>
      <c r="V134" s="503"/>
      <c r="W134" s="503"/>
    </row>
    <row r="135" spans="2:20" ht="13.5" thickBot="1">
      <c r="B135" s="34"/>
      <c r="C135" s="197"/>
      <c r="D135" s="90"/>
      <c r="E135" s="90"/>
      <c r="F135" s="90"/>
      <c r="G135" s="90"/>
      <c r="H135" s="90"/>
      <c r="I135" s="608"/>
      <c r="J135" s="597"/>
      <c r="K135" s="597"/>
      <c r="L135" s="597"/>
      <c r="M135" s="597"/>
      <c r="N135" s="597"/>
      <c r="O135" s="597"/>
      <c r="P135" s="598"/>
      <c r="Q135" s="598"/>
      <c r="R135" s="599"/>
      <c r="S135" s="369"/>
      <c r="T135" s="207"/>
    </row>
    <row r="136" spans="2:20" ht="27" customHeight="1" thickBot="1">
      <c r="B136" s="34"/>
      <c r="C136" s="198"/>
      <c r="D136" s="211"/>
      <c r="E136" s="211"/>
      <c r="F136" s="211"/>
      <c r="G136" s="211"/>
      <c r="H136" s="211"/>
      <c r="I136" s="1554" t="s">
        <v>440</v>
      </c>
      <c r="J136" s="1553"/>
      <c r="K136" s="1553"/>
      <c r="L136" s="1553"/>
      <c r="M136" s="1553"/>
      <c r="N136" s="1553"/>
      <c r="O136" s="1553"/>
      <c r="P136" s="1553"/>
      <c r="Q136" s="1553"/>
      <c r="R136" s="1553"/>
      <c r="S136" s="199"/>
      <c r="T136" s="207"/>
    </row>
    <row r="137" spans="2:20" ht="15">
      <c r="B137" s="34"/>
      <c r="C137" s="200"/>
      <c r="D137" s="226"/>
      <c r="E137" s="200"/>
      <c r="F137" s="200"/>
      <c r="G137" s="200"/>
      <c r="H137" s="200"/>
      <c r="I137" s="200"/>
      <c r="J137" s="200"/>
      <c r="K137" s="200"/>
      <c r="L137" s="200"/>
      <c r="M137" s="200"/>
      <c r="N137" s="200"/>
      <c r="O137" s="200"/>
      <c r="P137" s="200"/>
      <c r="Q137" s="200"/>
      <c r="R137" s="200"/>
      <c r="S137" s="200"/>
      <c r="T137" s="207"/>
    </row>
    <row r="138" spans="2:20" ht="13.5" thickBot="1">
      <c r="B138" s="38"/>
      <c r="C138" s="209"/>
      <c r="D138" s="209"/>
      <c r="E138" s="209"/>
      <c r="F138" s="209"/>
      <c r="G138" s="209"/>
      <c r="H138" s="209"/>
      <c r="I138" s="209"/>
      <c r="J138" s="209"/>
      <c r="K138" s="209"/>
      <c r="L138" s="209"/>
      <c r="M138" s="209"/>
      <c r="N138" s="209"/>
      <c r="O138" s="209"/>
      <c r="P138" s="209"/>
      <c r="Q138" s="209"/>
      <c r="R138" s="209"/>
      <c r="S138" s="209"/>
      <c r="T138" s="210"/>
    </row>
    <row r="139" ht="12.75">
      <c r="S139" s="16"/>
    </row>
    <row r="140" ht="12.75">
      <c r="S140" s="16"/>
    </row>
    <row r="141" ht="12.75">
      <c r="S141" s="16"/>
    </row>
    <row r="142" ht="12.75">
      <c r="S142" s="16"/>
    </row>
    <row r="143" ht="12.75">
      <c r="S143" s="16"/>
    </row>
    <row r="144" ht="12.75">
      <c r="S144" s="16"/>
    </row>
    <row r="145" ht="12.75">
      <c r="S145" s="16"/>
    </row>
    <row r="146" ht="12.75">
      <c r="S146" s="16"/>
    </row>
    <row r="147" ht="12.75">
      <c r="S147" s="16"/>
    </row>
    <row r="148" ht="12.75">
      <c r="S148" s="16"/>
    </row>
    <row r="149" ht="12.75">
      <c r="S149" s="16"/>
    </row>
    <row r="150" ht="12.75">
      <c r="S150" s="16"/>
    </row>
  </sheetData>
  <sheetProtection password="E09D" sheet="1" objects="1" scenarios="1" selectLockedCells="1"/>
  <mergeCells count="7">
    <mergeCell ref="E13:F14"/>
    <mergeCell ref="H59:H60"/>
    <mergeCell ref="T110:T111"/>
    <mergeCell ref="E25:F25"/>
    <mergeCell ref="E60:F60"/>
    <mergeCell ref="E97:Q97"/>
    <mergeCell ref="T103:T104"/>
  </mergeCells>
  <conditionalFormatting sqref="J52">
    <cfRule type="cellIs" priority="1" dxfId="21" operator="equal" stopIfTrue="1">
      <formula>"""Leave Blank"""</formula>
    </cfRule>
  </conditionalFormatting>
  <conditionalFormatting sqref="H104">
    <cfRule type="cellIs" priority="2" dxfId="22" operator="lessThan" stopIfTrue="1">
      <formula>$J$104+$L$104+$N$104+$P$104-1</formula>
    </cfRule>
    <cfRule type="cellIs" priority="3" dxfId="22" operator="greaterThan" stopIfTrue="1">
      <formula>$J$104+$L$104+$N$104+$P$104+1</formula>
    </cfRule>
  </conditionalFormatting>
  <conditionalFormatting sqref="H111">
    <cfRule type="cellIs" priority="4" dxfId="22" operator="lessThan" stopIfTrue="1">
      <formula>$J$111+$L$111+$N$111+$P$111-1</formula>
    </cfRule>
    <cfRule type="cellIs" priority="5" dxfId="22" operator="greaterThan" stopIfTrue="1">
      <formula>$J$111+$L$111+$N$111+$P$111+1</formula>
    </cfRule>
  </conditionalFormatting>
  <printOptions horizontalCentered="1"/>
  <pageMargins left="0.26" right="0.2" top="0.58" bottom="0.44" header="0.21" footer="0.24"/>
  <pageSetup cellComments="asDisplayed" fitToHeight="2" horizontalDpi="1200" verticalDpi="1200" orientation="landscape" scale="42" r:id="rId2"/>
  <headerFooter alignWithMargins="0">
    <oddFooter>&amp;L&amp;"Arial,Regular"&amp;F:  &amp;A&amp;C&amp;R&amp;"Arial,Regular"Page &amp;P of &amp;N
</oddFooter>
  </headerFooter>
  <rowBreaks count="1" manualBreakCount="1">
    <brk id="42" max="255" man="1"/>
  </rowBreaks>
  <ignoredErrors>
    <ignoredError sqref="P125" evalError="1"/>
  </ignoredErrors>
  <legacyDrawing r:id="rId1"/>
</worksheet>
</file>

<file path=xl/worksheets/sheet7.xml><?xml version="1.0" encoding="utf-8"?>
<worksheet xmlns="http://schemas.openxmlformats.org/spreadsheetml/2006/main" xmlns:r="http://schemas.openxmlformats.org/officeDocument/2006/relationships">
  <sheetPr codeName="Sheet8"/>
  <dimension ref="A1:A42"/>
  <sheetViews>
    <sheetView zoomScalePageLayoutView="0" workbookViewId="0" topLeftCell="A1">
      <selection activeCell="A19" sqref="A19"/>
    </sheetView>
  </sheetViews>
  <sheetFormatPr defaultColWidth="9.00390625" defaultRowHeight="12.75"/>
  <sheetData>
    <row r="1" ht="12.75">
      <c r="A1" s="1150" t="s">
        <v>424</v>
      </c>
    </row>
    <row r="3" ht="12.75">
      <c r="A3" s="1150" t="s">
        <v>425</v>
      </c>
    </row>
    <row r="4" ht="12.75">
      <c r="A4" s="1150" t="s">
        <v>426</v>
      </c>
    </row>
    <row r="5" ht="12.75">
      <c r="A5" s="1150" t="s">
        <v>427</v>
      </c>
    </row>
    <row r="6" ht="12.75">
      <c r="A6" s="1150" t="s">
        <v>428</v>
      </c>
    </row>
    <row r="7" ht="12.75">
      <c r="A7" s="1150" t="s">
        <v>429</v>
      </c>
    </row>
    <row r="8" ht="12.75">
      <c r="A8" s="1150" t="s">
        <v>430</v>
      </c>
    </row>
    <row r="9" ht="12.75">
      <c r="A9" s="1150" t="s">
        <v>431</v>
      </c>
    </row>
    <row r="10" ht="12.75">
      <c r="A10" s="1150" t="s">
        <v>432</v>
      </c>
    </row>
    <row r="11" ht="12.75">
      <c r="A11" s="1150" t="s">
        <v>376</v>
      </c>
    </row>
    <row r="12" ht="12.75">
      <c r="A12" s="1150" t="s">
        <v>433</v>
      </c>
    </row>
    <row r="13" ht="12.75">
      <c r="A13" s="1150" t="s">
        <v>411</v>
      </c>
    </row>
    <row r="14" ht="12.75">
      <c r="A14" s="1150" t="s">
        <v>412</v>
      </c>
    </row>
    <row r="15" ht="12.75">
      <c r="A15" s="1150" t="s">
        <v>413</v>
      </c>
    </row>
    <row r="16" ht="12.75">
      <c r="A16" s="1150" t="s">
        <v>434</v>
      </c>
    </row>
    <row r="17" ht="12.75">
      <c r="A17" s="1150" t="s">
        <v>435</v>
      </c>
    </row>
    <row r="18" ht="12.75">
      <c r="A18" s="1150" t="s">
        <v>414</v>
      </c>
    </row>
    <row r="19" ht="12.75">
      <c r="A19" s="1150" t="s">
        <v>415</v>
      </c>
    </row>
    <row r="20" ht="12.75">
      <c r="A20" s="1150"/>
    </row>
    <row r="21" ht="12.75">
      <c r="A21" s="1150"/>
    </row>
    <row r="22" ht="12.75">
      <c r="A22" s="1148"/>
    </row>
    <row r="24" ht="12.75">
      <c r="A24" s="1150"/>
    </row>
    <row r="25" ht="12.75">
      <c r="A25" s="1150"/>
    </row>
    <row r="26" ht="12.75">
      <c r="A26" s="1150"/>
    </row>
    <row r="27" ht="12.75">
      <c r="A27" s="1150"/>
    </row>
    <row r="29" ht="12.75">
      <c r="A29" s="1148"/>
    </row>
    <row r="30" ht="12.75">
      <c r="A30" s="1150"/>
    </row>
    <row r="31" ht="12.75">
      <c r="A31" s="1150"/>
    </row>
    <row r="32" ht="12.75">
      <c r="A32" s="1150"/>
    </row>
    <row r="33" ht="12.75">
      <c r="A33" s="1150"/>
    </row>
    <row r="34" ht="12.75">
      <c r="A34" s="1150"/>
    </row>
    <row r="35" ht="12.75">
      <c r="A35" s="1150"/>
    </row>
    <row r="36" ht="12.75">
      <c r="A36" s="1150"/>
    </row>
    <row r="37" ht="12.75">
      <c r="A37" s="1150"/>
    </row>
    <row r="38" ht="12.75">
      <c r="A38" s="1150"/>
    </row>
    <row r="39" ht="12.75">
      <c r="A39" s="1150"/>
    </row>
    <row r="40" ht="12.75">
      <c r="A40" s="1150"/>
    </row>
    <row r="41" ht="12.75">
      <c r="A41" s="1150"/>
    </row>
    <row r="42" ht="12.75">
      <c r="A42" s="1150"/>
    </row>
  </sheetData>
  <sheetProtection password="E09D" sheet="1" objects="1" scenarios="1"/>
  <printOptions/>
  <pageMargins left="0.75" right="0.75" top="1" bottom="1" header="0.5" footer="0.5"/>
  <pageSetup horizontalDpi="600" verticalDpi="600" orientation="portrait" scale="54" r:id="rId1"/>
</worksheet>
</file>

<file path=xl/worksheets/sheet8.xml><?xml version="1.0" encoding="utf-8"?>
<worksheet xmlns="http://schemas.openxmlformats.org/spreadsheetml/2006/main" xmlns:r="http://schemas.openxmlformats.org/officeDocument/2006/relationships">
  <sheetPr codeName="Sheet9">
    <tabColor indexed="23"/>
  </sheetPr>
  <dimension ref="A2:U144"/>
  <sheetViews>
    <sheetView showGridLines="0" view="pageBreakPreview" zoomScale="85" zoomScaleNormal="85" zoomScaleSheetLayoutView="85" zoomScalePageLayoutView="0" workbookViewId="0" topLeftCell="A1">
      <selection activeCell="F15" sqref="F15"/>
    </sheetView>
  </sheetViews>
  <sheetFormatPr defaultColWidth="9.00390625" defaultRowHeight="12.75"/>
  <cols>
    <col min="1" max="1" width="1.625" style="1222" customWidth="1"/>
    <col min="2" max="2" width="2.75390625" style="1221" customWidth="1"/>
    <col min="3" max="3" width="2.00390625" style="1221" customWidth="1"/>
    <col min="4" max="4" width="3.50390625" style="1221" customWidth="1"/>
    <col min="5" max="5" width="9.375" style="1221" customWidth="1"/>
    <col min="6" max="6" width="80.125" style="1221" customWidth="1"/>
    <col min="7" max="7" width="1.75390625" style="1221" customWidth="1"/>
    <col min="8" max="8" width="13.125" style="1221" customWidth="1"/>
    <col min="9" max="9" width="2.125" style="1221" customWidth="1"/>
    <col min="10" max="10" width="13.00390625" style="1221" customWidth="1"/>
    <col min="11" max="11" width="2.00390625" style="1221" customWidth="1"/>
    <col min="12" max="12" width="13.125" style="1221" customWidth="1"/>
    <col min="13" max="13" width="2.125" style="1221" customWidth="1"/>
    <col min="14" max="14" width="13.00390625" style="1221" customWidth="1"/>
    <col min="15" max="15" width="2.25390625" style="1221" customWidth="1"/>
    <col min="16" max="16" width="13.00390625" style="1221" customWidth="1"/>
    <col min="17" max="17" width="11.125" style="1221" customWidth="1"/>
    <col min="18" max="18" width="4.875" style="1221" customWidth="1"/>
    <col min="19" max="19" width="35.125" style="1221" customWidth="1"/>
    <col min="20" max="20" width="13.375" style="1221" customWidth="1"/>
    <col min="21" max="21" width="15.125" style="1221" hidden="1" customWidth="1"/>
    <col min="22" max="16384" width="9.00390625" style="1222" customWidth="1"/>
  </cols>
  <sheetData>
    <row r="1" ht="13.5" thickBot="1"/>
    <row r="2" spans="2:19" ht="12.75">
      <c r="B2" s="1223"/>
      <c r="C2" s="1224"/>
      <c r="D2" s="1224"/>
      <c r="E2" s="1224"/>
      <c r="F2" s="1224"/>
      <c r="G2" s="1224"/>
      <c r="H2" s="1224"/>
      <c r="I2" s="1224"/>
      <c r="J2" s="1224"/>
      <c r="K2" s="1224"/>
      <c r="L2" s="1224"/>
      <c r="M2" s="1224"/>
      <c r="N2" s="1224"/>
      <c r="O2" s="1224"/>
      <c r="P2" s="1224"/>
      <c r="Q2" s="1224"/>
      <c r="R2" s="1224"/>
      <c r="S2" s="1225"/>
    </row>
    <row r="3" spans="2:21" s="1236" customFormat="1" ht="24" customHeight="1">
      <c r="B3" s="1226"/>
      <c r="C3" s="1227"/>
      <c r="D3" s="1228" t="s">
        <v>107</v>
      </c>
      <c r="E3" s="1229"/>
      <c r="F3" s="1230"/>
      <c r="G3" s="1230"/>
      <c r="H3" s="1231" t="s">
        <v>198</v>
      </c>
      <c r="I3" s="1232"/>
      <c r="J3" s="1233">
        <f>'Preliminary Information'!G6</f>
        <v>0</v>
      </c>
      <c r="K3" s="1227"/>
      <c r="L3" s="1227"/>
      <c r="M3" s="1227"/>
      <c r="N3" s="1227"/>
      <c r="O3" s="1227"/>
      <c r="P3" s="1227"/>
      <c r="Q3" s="1227"/>
      <c r="R3" s="1227"/>
      <c r="S3" s="1234"/>
      <c r="T3" s="1235"/>
      <c r="U3" s="1235"/>
    </row>
    <row r="4" spans="2:19" ht="6.75" customHeight="1">
      <c r="B4" s="1237"/>
      <c r="C4" s="1238"/>
      <c r="D4" s="1227"/>
      <c r="E4" s="1239"/>
      <c r="F4" s="1227"/>
      <c r="G4" s="1227"/>
      <c r="H4" s="1227"/>
      <c r="I4" s="1227"/>
      <c r="J4" s="1227"/>
      <c r="K4" s="1227"/>
      <c r="L4" s="1227"/>
      <c r="M4" s="1227"/>
      <c r="N4" s="1227"/>
      <c r="O4" s="1227"/>
      <c r="P4" s="1227"/>
      <c r="Q4" s="1227"/>
      <c r="R4" s="1227"/>
      <c r="S4" s="1234"/>
    </row>
    <row r="5" spans="2:19" ht="15" customHeight="1">
      <c r="B5" s="1237"/>
      <c r="C5" s="1238"/>
      <c r="D5" s="1240" t="s">
        <v>23</v>
      </c>
      <c r="E5" s="1646" t="s">
        <v>157</v>
      </c>
      <c r="F5" s="1647"/>
      <c r="G5" s="1647"/>
      <c r="H5" s="1647"/>
      <c r="I5" s="1647"/>
      <c r="J5" s="1647"/>
      <c r="K5" s="1647"/>
      <c r="L5" s="1647"/>
      <c r="M5" s="1647"/>
      <c r="N5" s="1647"/>
      <c r="O5" s="1647"/>
      <c r="P5" s="1647"/>
      <c r="Q5" s="1647"/>
      <c r="R5" s="1227"/>
      <c r="S5" s="1234"/>
    </row>
    <row r="6" spans="2:19" ht="6.75" customHeight="1">
      <c r="B6" s="1237"/>
      <c r="C6" s="1238"/>
      <c r="D6" s="1227"/>
      <c r="E6" s="1239"/>
      <c r="F6" s="1227"/>
      <c r="G6" s="1227"/>
      <c r="H6" s="1227"/>
      <c r="I6" s="1227"/>
      <c r="J6" s="1227"/>
      <c r="K6" s="1227"/>
      <c r="L6" s="1227"/>
      <c r="M6" s="1227"/>
      <c r="N6" s="1227"/>
      <c r="O6" s="1227"/>
      <c r="P6" s="1227"/>
      <c r="Q6" s="1227"/>
      <c r="R6" s="1227"/>
      <c r="S6" s="1234"/>
    </row>
    <row r="7" spans="2:19" ht="15" customHeight="1">
      <c r="B7" s="1237"/>
      <c r="C7" s="1238"/>
      <c r="D7" s="1240" t="s">
        <v>24</v>
      </c>
      <c r="E7" s="1646" t="s">
        <v>171</v>
      </c>
      <c r="F7" s="1647"/>
      <c r="G7" s="1647"/>
      <c r="H7" s="1647"/>
      <c r="I7" s="1647"/>
      <c r="J7" s="1647"/>
      <c r="K7" s="1647"/>
      <c r="L7" s="1647"/>
      <c r="M7" s="1647"/>
      <c r="N7" s="1647"/>
      <c r="O7" s="1647"/>
      <c r="P7" s="1647"/>
      <c r="Q7" s="1647"/>
      <c r="R7" s="1227"/>
      <c r="S7" s="1234"/>
    </row>
    <row r="8" spans="2:19" ht="6.75" customHeight="1">
      <c r="B8" s="1237"/>
      <c r="C8" s="1238"/>
      <c r="D8" s="1227"/>
      <c r="E8" s="1239"/>
      <c r="F8" s="1227"/>
      <c r="G8" s="1227"/>
      <c r="H8" s="1227"/>
      <c r="I8" s="1227"/>
      <c r="J8" s="1227"/>
      <c r="K8" s="1227"/>
      <c r="L8" s="1227"/>
      <c r="M8" s="1227"/>
      <c r="N8" s="1227"/>
      <c r="O8" s="1227"/>
      <c r="P8" s="1227"/>
      <c r="Q8" s="1227"/>
      <c r="R8" s="1227"/>
      <c r="S8" s="1234"/>
    </row>
    <row r="9" spans="2:19" ht="9.75" customHeight="1">
      <c r="B9" s="1237"/>
      <c r="C9" s="1238"/>
      <c r="D9" s="1227"/>
      <c r="E9" s="1227"/>
      <c r="F9" s="1241"/>
      <c r="G9" s="1241"/>
      <c r="H9" s="1242"/>
      <c r="I9" s="1242"/>
      <c r="J9" s="1242"/>
      <c r="K9" s="1242"/>
      <c r="L9" s="1242"/>
      <c r="M9" s="1242"/>
      <c r="N9" s="1242"/>
      <c r="O9" s="1242"/>
      <c r="P9" s="1242"/>
      <c r="Q9" s="1243"/>
      <c r="R9" s="1238"/>
      <c r="S9" s="1244"/>
    </row>
    <row r="10" spans="2:19" ht="9.75" customHeight="1">
      <c r="B10" s="1237"/>
      <c r="C10" s="1245"/>
      <c r="D10" s="1246"/>
      <c r="E10" s="1246"/>
      <c r="F10" s="1247"/>
      <c r="G10" s="1247"/>
      <c r="H10" s="1248"/>
      <c r="I10" s="1248"/>
      <c r="J10" s="1248"/>
      <c r="K10" s="1248"/>
      <c r="L10" s="1248"/>
      <c r="M10" s="1248"/>
      <c r="N10" s="1248"/>
      <c r="O10" s="1249"/>
      <c r="P10" s="1242"/>
      <c r="Q10" s="1243"/>
      <c r="R10" s="1238"/>
      <c r="S10" s="1244"/>
    </row>
    <row r="11" spans="2:19" ht="19.5" customHeight="1">
      <c r="B11" s="1237"/>
      <c r="C11" s="1250"/>
      <c r="D11" s="1251" t="s">
        <v>149</v>
      </c>
      <c r="E11" s="1252"/>
      <c r="F11" s="1253"/>
      <c r="G11" s="1253"/>
      <c r="H11" s="1254"/>
      <c r="I11" s="1254"/>
      <c r="J11" s="1254"/>
      <c r="K11" s="1254"/>
      <c r="L11" s="1254"/>
      <c r="M11" s="1254"/>
      <c r="N11" s="1254"/>
      <c r="O11" s="1255"/>
      <c r="P11" s="1242"/>
      <c r="Q11" s="1243"/>
      <c r="R11" s="1238"/>
      <c r="S11" s="1244"/>
    </row>
    <row r="12" spans="2:19" ht="19.5" customHeight="1">
      <c r="B12" s="1237"/>
      <c r="C12" s="1250"/>
      <c r="D12" s="1256"/>
      <c r="E12" s="1252"/>
      <c r="F12" s="1256"/>
      <c r="G12" s="1257">
        <v>1</v>
      </c>
      <c r="H12" s="1258" t="s">
        <v>59</v>
      </c>
      <c r="I12" s="1259">
        <v>1</v>
      </c>
      <c r="J12" s="1258" t="s">
        <v>128</v>
      </c>
      <c r="K12" s="1259">
        <v>1</v>
      </c>
      <c r="L12" s="1258" t="s">
        <v>60</v>
      </c>
      <c r="M12" s="1260">
        <v>1</v>
      </c>
      <c r="N12" s="1258" t="s">
        <v>18</v>
      </c>
      <c r="O12" s="1261"/>
      <c r="P12" s="1227"/>
      <c r="Q12" s="1243"/>
      <c r="R12" s="1227"/>
      <c r="S12" s="1234"/>
    </row>
    <row r="13" spans="2:19" ht="26.25" customHeight="1">
      <c r="B13" s="1237"/>
      <c r="C13" s="1250"/>
      <c r="D13" s="1262" t="s">
        <v>23</v>
      </c>
      <c r="E13" s="1263" t="s">
        <v>151</v>
      </c>
      <c r="F13" s="1252"/>
      <c r="G13" s="1256"/>
      <c r="H13" s="1264" t="s">
        <v>131</v>
      </c>
      <c r="I13" s="1265"/>
      <c r="J13" s="1264" t="s">
        <v>129</v>
      </c>
      <c r="K13" s="1266"/>
      <c r="L13" s="1264" t="s">
        <v>135</v>
      </c>
      <c r="M13" s="1267"/>
      <c r="N13" s="1264" t="s">
        <v>135</v>
      </c>
      <c r="O13" s="1268"/>
      <c r="P13" s="1227"/>
      <c r="Q13" s="1243"/>
      <c r="R13" s="1227"/>
      <c r="S13" s="1234"/>
    </row>
    <row r="14" spans="2:19" ht="18" customHeight="1">
      <c r="B14" s="1237"/>
      <c r="C14" s="1250"/>
      <c r="D14" s="1269"/>
      <c r="E14" s="1252"/>
      <c r="F14" s="1252"/>
      <c r="G14" s="1252"/>
      <c r="H14" s="525" t="s">
        <v>134</v>
      </c>
      <c r="I14" s="1270"/>
      <c r="J14" s="525" t="s">
        <v>132</v>
      </c>
      <c r="K14" s="1271"/>
      <c r="L14" s="525" t="s">
        <v>132</v>
      </c>
      <c r="M14" s="1270"/>
      <c r="N14" s="525" t="s">
        <v>132</v>
      </c>
      <c r="O14" s="1272"/>
      <c r="P14" s="1273"/>
      <c r="Q14" s="1243"/>
      <c r="R14" s="1227"/>
      <c r="S14" s="1234"/>
    </row>
    <row r="15" spans="2:19" ht="68.25" customHeight="1">
      <c r="B15" s="1237"/>
      <c r="C15" s="1250"/>
      <c r="D15" s="1252"/>
      <c r="E15" s="1252"/>
      <c r="F15" s="1253"/>
      <c r="G15" s="1253"/>
      <c r="H15" s="1274" t="str">
        <f>IF(G12=2,"STOP! Do NOT Complete Sections II - V for Ambulatory Service",IF(G12=1,"Go to Section II for Ambulatory Service",""))</f>
        <v>Go to Section II for Ambulatory Service</v>
      </c>
      <c r="I15" s="1275"/>
      <c r="J15" s="1274" t="str">
        <f>IF(I12=2,"STOP! Do NOT Complete Sections II - V for Wheelchair Service",IF(I12=1,"Go to Section II for Wheelchair Service",""))</f>
        <v>Go to Section II for Wheelchair Service</v>
      </c>
      <c r="K15" s="1275"/>
      <c r="L15" s="1274" t="str">
        <f>IF(K12=2,"STOP! Do NOT Complete Sections II - V for Stretcher Service",IF(K12=1,"Go to Section II for Stretcher Service",""))</f>
        <v>Go to Section II for Stretcher Service</v>
      </c>
      <c r="M15" s="1275"/>
      <c r="N15" s="1274" t="str">
        <f>IF(M12=2,"STOP! Do NOT Complete Sections II - V for Group Service",IF(M12=1,"Go to Section II for Group Service",""))</f>
        <v>Go to Section II for Group Service</v>
      </c>
      <c r="O15" s="1255"/>
      <c r="P15" s="1242"/>
      <c r="Q15" s="1243"/>
      <c r="R15" s="1238"/>
      <c r="S15" s="1244"/>
    </row>
    <row r="16" spans="2:19" ht="9.75" customHeight="1" thickBot="1">
      <c r="B16" s="1237"/>
      <c r="C16" s="1276"/>
      <c r="D16" s="1277"/>
      <c r="E16" s="1277"/>
      <c r="F16" s="1278"/>
      <c r="G16" s="1278"/>
      <c r="H16" s="1279"/>
      <c r="I16" s="1279"/>
      <c r="J16" s="1279"/>
      <c r="K16" s="1279"/>
      <c r="L16" s="1279"/>
      <c r="M16" s="1279"/>
      <c r="N16" s="1279"/>
      <c r="O16" s="1280"/>
      <c r="P16" s="1242"/>
      <c r="Q16" s="1243"/>
      <c r="R16" s="1238"/>
      <c r="S16" s="1244"/>
    </row>
    <row r="17" spans="2:19" ht="9.75" customHeight="1">
      <c r="B17" s="1237"/>
      <c r="C17" s="1238"/>
      <c r="D17" s="1227"/>
      <c r="E17" s="1227"/>
      <c r="F17" s="1241"/>
      <c r="G17" s="1241"/>
      <c r="H17" s="1242"/>
      <c r="I17" s="1242"/>
      <c r="J17" s="1242"/>
      <c r="K17" s="1242"/>
      <c r="L17" s="1242"/>
      <c r="M17" s="1242"/>
      <c r="N17" s="1242"/>
      <c r="O17" s="1242"/>
      <c r="P17" s="1242"/>
      <c r="Q17" s="1243"/>
      <c r="R17" s="1238"/>
      <c r="S17" s="1244"/>
    </row>
    <row r="18" spans="2:19" ht="12.75">
      <c r="B18" s="1237"/>
      <c r="C18" s="1245"/>
      <c r="D18" s="1246"/>
      <c r="E18" s="1246"/>
      <c r="F18" s="1246"/>
      <c r="G18" s="1246"/>
      <c r="H18" s="1246"/>
      <c r="I18" s="1246"/>
      <c r="J18" s="1246"/>
      <c r="K18" s="1246"/>
      <c r="L18" s="1246"/>
      <c r="M18" s="1246"/>
      <c r="N18" s="1246"/>
      <c r="O18" s="1281"/>
      <c r="P18" s="1227"/>
      <c r="Q18" s="1243"/>
      <c r="R18" s="1227"/>
      <c r="S18" s="1234"/>
    </row>
    <row r="19" spans="2:19" ht="18">
      <c r="B19" s="1237"/>
      <c r="C19" s="1250"/>
      <c r="D19" s="1282" t="s">
        <v>150</v>
      </c>
      <c r="E19" s="1252"/>
      <c r="F19" s="1252"/>
      <c r="G19" s="1252"/>
      <c r="H19" s="1252"/>
      <c r="I19" s="1252"/>
      <c r="J19" s="1252"/>
      <c r="K19" s="1252"/>
      <c r="L19" s="1252"/>
      <c r="M19" s="1283"/>
      <c r="N19" s="1252"/>
      <c r="O19" s="1284"/>
      <c r="P19" s="1227"/>
      <c r="Q19" s="1243"/>
      <c r="R19" s="1227"/>
      <c r="S19" s="1234"/>
    </row>
    <row r="20" spans="2:19" ht="19.5" customHeight="1">
      <c r="B20" s="1237"/>
      <c r="C20" s="1250"/>
      <c r="D20" s="1256"/>
      <c r="E20" s="1252"/>
      <c r="F20" s="1256"/>
      <c r="G20" s="1257">
        <v>2</v>
      </c>
      <c r="H20" s="1258" t="s">
        <v>59</v>
      </c>
      <c r="I20" s="1259">
        <v>2</v>
      </c>
      <c r="J20" s="1258" t="s">
        <v>128</v>
      </c>
      <c r="K20" s="1259">
        <v>2</v>
      </c>
      <c r="L20" s="1258" t="s">
        <v>60</v>
      </c>
      <c r="M20" s="1260">
        <v>2</v>
      </c>
      <c r="N20" s="1258" t="s">
        <v>18</v>
      </c>
      <c r="O20" s="1261"/>
      <c r="P20" s="1227"/>
      <c r="Q20" s="1243"/>
      <c r="R20" s="1227"/>
      <c r="S20" s="1234"/>
    </row>
    <row r="21" spans="2:19" ht="26.25" customHeight="1">
      <c r="B21" s="1237"/>
      <c r="C21" s="1250"/>
      <c r="D21" s="1262" t="s">
        <v>23</v>
      </c>
      <c r="E21" s="1263" t="s">
        <v>162</v>
      </c>
      <c r="F21" s="1252"/>
      <c r="G21" s="1256"/>
      <c r="H21" s="1264" t="s">
        <v>131</v>
      </c>
      <c r="I21" s="1265"/>
      <c r="J21" s="1264" t="s">
        <v>129</v>
      </c>
      <c r="K21" s="1266"/>
      <c r="L21" s="1264" t="s">
        <v>135</v>
      </c>
      <c r="M21" s="1267"/>
      <c r="N21" s="1264" t="s">
        <v>135</v>
      </c>
      <c r="O21" s="1268"/>
      <c r="P21" s="1227"/>
      <c r="Q21" s="1243"/>
      <c r="R21" s="1227"/>
      <c r="S21" s="1234"/>
    </row>
    <row r="22" spans="2:19" ht="18" customHeight="1">
      <c r="B22" s="1237"/>
      <c r="C22" s="1250"/>
      <c r="D22" s="1269"/>
      <c r="E22" s="1252"/>
      <c r="F22" s="1252"/>
      <c r="G22" s="1252"/>
      <c r="H22" s="525" t="s">
        <v>134</v>
      </c>
      <c r="I22" s="1270"/>
      <c r="J22" s="525" t="s">
        <v>132</v>
      </c>
      <c r="K22" s="1271"/>
      <c r="L22" s="525" t="s">
        <v>132</v>
      </c>
      <c r="M22" s="1270"/>
      <c r="N22" s="525" t="s">
        <v>132</v>
      </c>
      <c r="O22" s="1272"/>
      <c r="P22" s="1285"/>
      <c r="Q22" s="1243"/>
      <c r="R22" s="1227"/>
      <c r="S22" s="1234"/>
    </row>
    <row r="23" spans="2:21" ht="64.5" customHeight="1">
      <c r="B23" s="1237"/>
      <c r="C23" s="1250"/>
      <c r="D23" s="1269"/>
      <c r="E23" s="1252"/>
      <c r="F23" s="1252"/>
      <c r="G23" s="1252"/>
      <c r="H23" s="1274" t="str">
        <f>IF(G12=2,"Do Not Complete Section II for Ambulatory Service",IF(G20=2,"Skip # 2, 3 &amp;  4 and Go to Section III for Ambulatory Service",IF(G20=1,"Answer # 2 for Ambulatory Service","")))</f>
        <v>Skip # 2, 3 &amp;  4 and Go to Section III for Ambulatory Service</v>
      </c>
      <c r="I23" s="1274"/>
      <c r="J23" s="1274" t="str">
        <f>IF(I12=2,"Do Not Complete Section II for Wheelchair Service",IF(I20=2,"Skip # 2, 3 &amp;  4 and Go to Section III for Wheelchair Service",IF(I20=1,"Answer # 2 for Wheelchair Service","")))</f>
        <v>Skip # 2, 3 &amp;  4 and Go to Section III for Wheelchair Service</v>
      </c>
      <c r="K23" s="1286"/>
      <c r="L23" s="1274" t="str">
        <f>IF(K12=2,"Do Not Complete Section II for Stretcher Service",IF(K20=2,"Skip # 2, 3 &amp;  4 and Go to Section III for Stretcher Service",IF(K20=1,"Answer # 2 for Stretcher Service","")))</f>
        <v>Skip # 2, 3 &amp;  4 and Go to Section III for Stretcher Service</v>
      </c>
      <c r="M23" s="1274"/>
      <c r="N23" s="1274" t="str">
        <f>IF(M12=2,"Do Not Complete Section II for Group Service",IF(M20=2,"Skip # 2, 3 &amp;  4 and Go to Section III for Group Service",IF(M20=1,"Answer # 2 for Group Service","")))</f>
        <v>Skip # 2, 3 &amp;  4 and Go to Section III for Group Service</v>
      </c>
      <c r="O23" s="1272"/>
      <c r="P23" s="1285"/>
      <c r="Q23" s="1243"/>
      <c r="R23" s="1227"/>
      <c r="S23" s="1234"/>
      <c r="T23" s="1222"/>
      <c r="U23" s="1222"/>
    </row>
    <row r="24" spans="2:19" ht="9" customHeight="1">
      <c r="B24" s="1237"/>
      <c r="C24" s="1250"/>
      <c r="D24" s="1269"/>
      <c r="E24" s="1252"/>
      <c r="F24" s="1283"/>
      <c r="G24" s="1287"/>
      <c r="H24" s="1283"/>
      <c r="I24" s="1283"/>
      <c r="J24" s="1257"/>
      <c r="K24" s="1257"/>
      <c r="L24" s="1283"/>
      <c r="M24" s="1283"/>
      <c r="N24" s="1283"/>
      <c r="O24" s="1284"/>
      <c r="P24" s="1227"/>
      <c r="Q24" s="1243"/>
      <c r="R24" s="1227"/>
      <c r="S24" s="1234"/>
    </row>
    <row r="25" spans="2:19" ht="30.75" customHeight="1">
      <c r="B25" s="1237"/>
      <c r="C25" s="1250"/>
      <c r="D25" s="1288" t="s">
        <v>24</v>
      </c>
      <c r="E25" s="1648" t="s">
        <v>163</v>
      </c>
      <c r="F25" s="1648"/>
      <c r="G25" s="1289">
        <v>2</v>
      </c>
      <c r="H25" s="1264" t="s">
        <v>135</v>
      </c>
      <c r="I25" s="1290">
        <v>2</v>
      </c>
      <c r="J25" s="1264" t="s">
        <v>135</v>
      </c>
      <c r="K25" s="1267">
        <v>2</v>
      </c>
      <c r="L25" s="1264" t="s">
        <v>135</v>
      </c>
      <c r="M25" s="1290">
        <v>1</v>
      </c>
      <c r="N25" s="1264" t="s">
        <v>135</v>
      </c>
      <c r="O25" s="1272"/>
      <c r="P25" s="1291"/>
      <c r="Q25" s="1243"/>
      <c r="R25" s="1227"/>
      <c r="S25" s="1234"/>
    </row>
    <row r="26" spans="2:19" ht="16.5" customHeight="1">
      <c r="B26" s="1237"/>
      <c r="C26" s="1250"/>
      <c r="D26" s="1269"/>
      <c r="E26" s="1292"/>
      <c r="F26" s="1292"/>
      <c r="G26" s="1292"/>
      <c r="H26" s="525" t="s">
        <v>132</v>
      </c>
      <c r="I26" s="1270"/>
      <c r="J26" s="525" t="s">
        <v>132</v>
      </c>
      <c r="K26" s="1293"/>
      <c r="L26" s="525" t="s">
        <v>132</v>
      </c>
      <c r="M26" s="1270"/>
      <c r="N26" s="525" t="s">
        <v>132</v>
      </c>
      <c r="O26" s="1268"/>
      <c r="P26" s="1294"/>
      <c r="Q26" s="1243"/>
      <c r="R26" s="1227"/>
      <c r="S26" s="1234"/>
    </row>
    <row r="27" spans="2:19" ht="10.5" customHeight="1">
      <c r="B27" s="1237"/>
      <c r="C27" s="1250"/>
      <c r="D27" s="1269"/>
      <c r="E27" s="1256"/>
      <c r="F27" s="1252"/>
      <c r="G27" s="1252"/>
      <c r="H27" s="1252"/>
      <c r="I27" s="1295"/>
      <c r="J27" s="1252"/>
      <c r="K27" s="1252"/>
      <c r="L27" s="1252"/>
      <c r="M27" s="1283"/>
      <c r="N27" s="1252"/>
      <c r="O27" s="1284"/>
      <c r="P27" s="1227"/>
      <c r="Q27" s="1243"/>
      <c r="R27" s="1227"/>
      <c r="S27" s="1234"/>
    </row>
    <row r="28" spans="2:19" ht="63" customHeight="1">
      <c r="B28" s="1237"/>
      <c r="C28" s="1250"/>
      <c r="D28" s="1269"/>
      <c r="E28" s="1252"/>
      <c r="F28" s="1252"/>
      <c r="G28" s="1252"/>
      <c r="H28" s="1296" t="str">
        <f>IF(G12=2,"Do NOT Complete Section II for Ambulatory Service",IF(OR(G20=2,G25=2),"Leave Blank",IF(G25=1,"Complete Cells Below","")))</f>
        <v>Leave Blank</v>
      </c>
      <c r="I28" s="1297"/>
      <c r="J28" s="1296" t="str">
        <f>IF(I12=2,"Do NOT Complete Section II for Wheelchair Service",IF(OR(I20=2,I25=2),"Leave Blank",IF(I25=1,"Complete Cells Below","")))</f>
        <v>Leave Blank</v>
      </c>
      <c r="K28" s="1298"/>
      <c r="L28" s="1296" t="str">
        <f>IF(K12=2,"Do NOT Complete Section II for Stretcher Service",IF(OR(K20=2,K25=2),"Leave Blank",IF(K25=1,"Complete Cells Below","")))</f>
        <v>Leave Blank</v>
      </c>
      <c r="M28" s="1299"/>
      <c r="N28" s="1296" t="str">
        <f>IF(M12=2,"Do NOT Complete Section II for Group Service",IF(OR(M20=2,M25=2),"Leave Blank",IF(M25=1,"Complete Cells Below","")))</f>
        <v>Leave Blank</v>
      </c>
      <c r="O28" s="1300"/>
      <c r="P28" s="1238"/>
      <c r="Q28" s="1301"/>
      <c r="R28" s="1227"/>
      <c r="S28" s="1234"/>
    </row>
    <row r="29" spans="2:19" ht="15.75" customHeight="1">
      <c r="B29" s="1237"/>
      <c r="C29" s="1250"/>
      <c r="D29" s="1262" t="s">
        <v>25</v>
      </c>
      <c r="E29" s="1302" t="s">
        <v>158</v>
      </c>
      <c r="F29" s="1303"/>
      <c r="G29" s="1304"/>
      <c r="H29" s="1305"/>
      <c r="I29" s="1304"/>
      <c r="J29" s="1305"/>
      <c r="K29" s="1303"/>
      <c r="L29" s="1305"/>
      <c r="M29" s="1306"/>
      <c r="N29" s="1305"/>
      <c r="O29" s="1272"/>
      <c r="P29" s="1307">
        <f>SUM(IF(H27="Leave Blank",0,H29),IF(J27="Leave Blank",0,J29),IF(L27="Leave Blank,0,L30),IF(N28=""LeaveBlank",0,N29))</f>
        <v>0</v>
      </c>
      <c r="Q29" s="1308"/>
      <c r="R29" s="1227"/>
      <c r="S29" s="1234"/>
    </row>
    <row r="30" spans="2:19" ht="15.75" customHeight="1">
      <c r="B30" s="1237"/>
      <c r="C30" s="1250"/>
      <c r="D30" s="1269"/>
      <c r="E30" s="1252"/>
      <c r="F30" s="1309" t="s">
        <v>182</v>
      </c>
      <c r="G30" s="1304"/>
      <c r="H30" s="1310"/>
      <c r="I30" s="1304"/>
      <c r="J30" s="1310"/>
      <c r="K30" s="1303"/>
      <c r="L30" s="1310"/>
      <c r="M30" s="1311"/>
      <c r="N30" s="1310"/>
      <c r="O30" s="1272"/>
      <c r="P30" s="1312">
        <f>SUM(IF(H28="Leave Blank",0,H30),IF(J28="Leave Blank",0,J30),IF(L28="Leave Blank,0,L30),IF(N28=""LeaveBlank",0,N30))</f>
        <v>0</v>
      </c>
      <c r="Q30" s="1238"/>
      <c r="R30" s="1227"/>
      <c r="S30" s="1313"/>
    </row>
    <row r="31" spans="2:19" ht="15.75" customHeight="1" thickBot="1">
      <c r="B31" s="1237"/>
      <c r="C31" s="1250"/>
      <c r="D31" s="1252"/>
      <c r="E31" s="1256"/>
      <c r="F31" s="1309" t="s">
        <v>183</v>
      </c>
      <c r="G31" s="1304"/>
      <c r="H31" s="1314"/>
      <c r="I31" s="1304"/>
      <c r="J31" s="1314"/>
      <c r="K31" s="1303"/>
      <c r="L31" s="1314"/>
      <c r="M31" s="1311"/>
      <c r="N31" s="1314"/>
      <c r="O31" s="1272"/>
      <c r="P31" s="1312">
        <f>SUM(IF(H29="Leave Blank",0,H31),IF(J29="Leave Blank",0,J31),IF(L29="Leave Blank,0,L30),IF(N28=""LeaveBlank",0,N31))</f>
        <v>0</v>
      </c>
      <c r="Q31" s="1308"/>
      <c r="R31" s="1227"/>
      <c r="S31" s="1313"/>
    </row>
    <row r="32" spans="2:19" ht="18" customHeight="1">
      <c r="B32" s="1237"/>
      <c r="C32" s="1250"/>
      <c r="D32" s="1252"/>
      <c r="E32" s="1256"/>
      <c r="F32" s="1252"/>
      <c r="G32" s="1252"/>
      <c r="H32" s="1315"/>
      <c r="I32" s="1316"/>
      <c r="J32" s="1315"/>
      <c r="K32" s="1316"/>
      <c r="L32" s="1315"/>
      <c r="M32" s="1316"/>
      <c r="N32" s="1315"/>
      <c r="O32" s="1284"/>
      <c r="P32" s="1227"/>
      <c r="Q32" s="1243"/>
      <c r="R32" s="1227"/>
      <c r="S32" s="1234"/>
    </row>
    <row r="33" spans="2:19" ht="15" customHeight="1">
      <c r="B33" s="1237"/>
      <c r="C33" s="1250"/>
      <c r="D33" s="1252"/>
      <c r="E33" s="1256"/>
      <c r="F33" s="1317" t="s">
        <v>159</v>
      </c>
      <c r="G33" s="1252"/>
      <c r="H33" s="1258" t="s">
        <v>59</v>
      </c>
      <c r="I33" s="1252"/>
      <c r="J33" s="1258" t="s">
        <v>128</v>
      </c>
      <c r="K33" s="1295"/>
      <c r="L33" s="1258" t="s">
        <v>60</v>
      </c>
      <c r="M33" s="1318"/>
      <c r="N33" s="1258" t="s">
        <v>18</v>
      </c>
      <c r="O33" s="1284"/>
      <c r="P33" s="1227"/>
      <c r="Q33" s="1301"/>
      <c r="R33" s="1238"/>
      <c r="S33" s="1234"/>
    </row>
    <row r="34" spans="2:19" ht="18.75" customHeight="1">
      <c r="B34" s="1237"/>
      <c r="C34" s="1250"/>
      <c r="D34" s="1252"/>
      <c r="E34" s="1256"/>
      <c r="F34" s="1319" t="s">
        <v>152</v>
      </c>
      <c r="G34" s="1304" t="s">
        <v>95</v>
      </c>
      <c r="H34" s="1320">
        <f>IF(H30&lt;1,"",H29/H30)</f>
      </c>
      <c r="I34" s="1321"/>
      <c r="J34" s="1320">
        <f>IF(J30&lt;1,"",J29/J30)</f>
      </c>
      <c r="K34" s="1322"/>
      <c r="L34" s="1320">
        <f>IF(L30&lt;1,"",L29/L30)</f>
      </c>
      <c r="M34" s="1323"/>
      <c r="N34" s="1320">
        <f>IF(N30&lt;1,"",N29/N30)</f>
      </c>
      <c r="O34" s="1324"/>
      <c r="P34" s="1227"/>
      <c r="Q34" s="1301"/>
      <c r="R34" s="1238"/>
      <c r="S34" s="1234"/>
    </row>
    <row r="35" spans="2:19" ht="18.75" customHeight="1">
      <c r="B35" s="1237"/>
      <c r="C35" s="1250"/>
      <c r="D35" s="1252"/>
      <c r="E35" s="1256"/>
      <c r="F35" s="1319" t="s">
        <v>153</v>
      </c>
      <c r="G35" s="1304" t="s">
        <v>95</v>
      </c>
      <c r="H35" s="1325">
        <f>IF(H31&lt;1,"",H29/H31)</f>
      </c>
      <c r="I35" s="1321"/>
      <c r="J35" s="1325">
        <f>IF(J31&lt;1,"",J29/J31)</f>
      </c>
      <c r="K35" s="1322"/>
      <c r="L35" s="1325">
        <f>IF(L31&lt;1,"",L29/L31)</f>
      </c>
      <c r="M35" s="1323"/>
      <c r="N35" s="1325">
        <f>IF(N31&lt;1,"",N29/N31)</f>
      </c>
      <c r="O35" s="1324"/>
      <c r="P35" s="1227"/>
      <c r="Q35" s="1243"/>
      <c r="R35" s="1227"/>
      <c r="S35" s="1234"/>
    </row>
    <row r="36" spans="2:19" ht="64.5" customHeight="1">
      <c r="B36" s="1237"/>
      <c r="C36" s="1250"/>
      <c r="D36" s="1252"/>
      <c r="E36" s="1256"/>
      <c r="F36" s="1326"/>
      <c r="G36" s="1304"/>
      <c r="H36" s="1274" t="str">
        <f>IF(G12=2,"Do NOT Complete Section II for Ambulatory Service",IF(G25=2,"Go to Section III for Ambulatory Service",IF(H29&gt;0,"Go to # 4 below for Ambulatory Service","Go to Section III for Ambulatory Service")))</f>
        <v>Go to Section III for Ambulatory Service</v>
      </c>
      <c r="I36" s="1327"/>
      <c r="J36" s="1274" t="str">
        <f>IF(I12=2,"Do NOT Complete Section II for Wheelchair Service",IF(I25=2,"Go to Section III for Wheelchair Service",IF(J29&gt;0,"Go to # 4 below for Wheelchair Service","Go to Section III for Wheelchair Service")))</f>
        <v>Go to Section III for Wheelchair Service</v>
      </c>
      <c r="K36" s="1328"/>
      <c r="L36" s="1274" t="str">
        <f>IF(K12=2,"Do NOT Complete Section II for Stretcher Service",IF(K25=2,"Go to Section III for Stretcher Service",IF(L29&gt;0,"Go to # 4 below for Stretcher Service","Go to Section III for Stretcher Service")))</f>
        <v>Go to Section III for Stretcher Service</v>
      </c>
      <c r="M36" s="1329"/>
      <c r="N36" s="1274" t="str">
        <f>IF(M12=2,"Do NOT Complete Section II for Group Service",IF(M25=2,"Go to Section III for Group Service",IF(N29&gt;0,"Go to # 4 below for Group Service","Go to Section III for Group Service")))</f>
        <v>Go to Section III for Group Service</v>
      </c>
      <c r="O36" s="1330"/>
      <c r="P36" s="1227"/>
      <c r="Q36" s="1243"/>
      <c r="R36" s="1227"/>
      <c r="S36" s="1234"/>
    </row>
    <row r="37" spans="2:19" ht="9.75" customHeight="1">
      <c r="B37" s="1237"/>
      <c r="C37" s="1250"/>
      <c r="D37" s="1252"/>
      <c r="E37" s="1256"/>
      <c r="F37" s="1326"/>
      <c r="G37" s="1304"/>
      <c r="H37" s="1256"/>
      <c r="I37" s="1327"/>
      <c r="J37" s="1256"/>
      <c r="K37" s="1328"/>
      <c r="L37" s="1329"/>
      <c r="M37" s="1329"/>
      <c r="N37" s="1327"/>
      <c r="O37" s="1330"/>
      <c r="P37" s="1227"/>
      <c r="Q37" s="1243"/>
      <c r="R37" s="1227"/>
      <c r="S37" s="1234"/>
    </row>
    <row r="38" spans="2:19" ht="24.75" customHeight="1">
      <c r="B38" s="1237"/>
      <c r="C38" s="1250"/>
      <c r="D38" s="1262" t="s">
        <v>26</v>
      </c>
      <c r="E38" s="1302" t="s">
        <v>194</v>
      </c>
      <c r="F38" s="1326"/>
      <c r="G38" s="1304"/>
      <c r="H38" s="1331" t="s">
        <v>130</v>
      </c>
      <c r="I38" s="1332"/>
      <c r="J38" s="1333"/>
      <c r="K38" s="1333"/>
      <c r="L38" s="1331"/>
      <c r="M38" s="1331"/>
      <c r="N38" s="1332"/>
      <c r="O38" s="1330"/>
      <c r="P38" s="1227"/>
      <c r="Q38" s="1243"/>
      <c r="R38" s="1227"/>
      <c r="S38" s="1234"/>
    </row>
    <row r="39" spans="2:19" ht="15.75" customHeight="1" thickBot="1">
      <c r="B39" s="1237"/>
      <c r="C39" s="1250"/>
      <c r="D39" s="1252"/>
      <c r="E39" s="1256"/>
      <c r="F39" s="1309" t="s">
        <v>195</v>
      </c>
      <c r="G39" s="1304" t="s">
        <v>95</v>
      </c>
      <c r="H39" s="1334">
        <v>0</v>
      </c>
      <c r="I39" s="1335"/>
      <c r="J39" s="1334">
        <v>0</v>
      </c>
      <c r="K39" s="1336"/>
      <c r="L39" s="1334">
        <v>0</v>
      </c>
      <c r="M39" s="1337"/>
      <c r="N39" s="1334">
        <v>0</v>
      </c>
      <c r="O39" s="1338"/>
      <c r="P39" s="1227"/>
      <c r="Q39" s="1243"/>
      <c r="R39" s="1227"/>
      <c r="S39" s="1234"/>
    </row>
    <row r="40" spans="2:19" ht="18.75" customHeight="1">
      <c r="B40" s="1237"/>
      <c r="C40" s="1250"/>
      <c r="D40" s="1252"/>
      <c r="E40" s="1256"/>
      <c r="F40" s="1339" t="s">
        <v>192</v>
      </c>
      <c r="G40" s="1304" t="s">
        <v>95</v>
      </c>
      <c r="H40" s="1340">
        <f>IF(H30=0,"",((H34*H30)-(H39*H31))/(H30))</f>
      </c>
      <c r="I40" s="1323"/>
      <c r="J40" s="1340">
        <f>IF(J30=0,"",((J34*J30)-(J39*J31))/(J30))</f>
      </c>
      <c r="K40" s="1336"/>
      <c r="L40" s="1340">
        <f>IF(L30=0,"",((L34*L30)-(L39*L31))/(L30))</f>
      </c>
      <c r="M40" s="1341"/>
      <c r="N40" s="1340">
        <f>IF(N30=0,"",((N34*N30)-(N39*N31))/(N30))</f>
      </c>
      <c r="O40" s="1338"/>
      <c r="P40" s="1227"/>
      <c r="Q40" s="1243"/>
      <c r="R40" s="1227"/>
      <c r="S40" s="1234"/>
    </row>
    <row r="41" spans="2:19" ht="73.5" customHeight="1" thickBot="1">
      <c r="B41" s="1237"/>
      <c r="C41" s="1276"/>
      <c r="D41" s="1277"/>
      <c r="E41" s="1342"/>
      <c r="F41" s="1343"/>
      <c r="G41" s="1344"/>
      <c r="H41" s="1345" t="str">
        <f>IF(G12=2,"Do NOT Complete Section II for Ambulatory Service",IF(H29&gt;0,"STOP! Do NOT Complete Sections III - V for Ambulatory Service","Leave Blank and Go to Section III for Ambulatory Service"))</f>
        <v>Leave Blank and Go to Section III for Ambulatory Service</v>
      </c>
      <c r="I41" s="1346"/>
      <c r="J41" s="1345" t="str">
        <f>IF(I12=2,"Do NOT Complete Section II for Wheelchair Service",IF(J29&gt;0,"STOP! Do NOT Complete Sections III - V for Wheelchair Service","Leave Blank and Go to Section III for Wheelchair Service"))</f>
        <v>Leave Blank and Go to Section III for Wheelchair Service</v>
      </c>
      <c r="K41" s="1347"/>
      <c r="L41" s="1345" t="str">
        <f>IF(K12=2,"Do NOT Complete Section II for Stretcher Service",IF(L29&gt;0,"STOP! Do NOT Complete Sections III - V for Stretcher Service","Leave Blank and Go to Section III for Stretcher Service"))</f>
        <v>Leave Blank and Go to Section III for Stretcher Service</v>
      </c>
      <c r="M41" s="1348"/>
      <c r="N41" s="1345" t="str">
        <f>IF(M12=2,"Do NOT Complete Section II for Group Service",IF(N29&gt;0,"STOP! Do NOT Complete Sections III - V for Group Service","Leave Blank and Go to Section III for Group Service"))</f>
        <v>Leave Blank and Go to Section III for Group Service</v>
      </c>
      <c r="O41" s="1349"/>
      <c r="P41" s="1227"/>
      <c r="Q41" s="1243"/>
      <c r="R41" s="1227"/>
      <c r="S41" s="1234"/>
    </row>
    <row r="42" spans="2:19" ht="15.75" customHeight="1">
      <c r="B42" s="1237"/>
      <c r="C42" s="1238"/>
      <c r="D42" s="1227"/>
      <c r="E42" s="1238"/>
      <c r="F42" s="1350"/>
      <c r="G42" s="1227"/>
      <c r="H42" s="1351"/>
      <c r="I42" s="1227"/>
      <c r="J42" s="1351"/>
      <c r="K42" s="1352"/>
      <c r="L42" s="1351"/>
      <c r="M42" s="1351"/>
      <c r="N42" s="1351"/>
      <c r="O42" s="1351"/>
      <c r="P42" s="1227"/>
      <c r="Q42" s="1227"/>
      <c r="R42" s="1227"/>
      <c r="S42" s="1234"/>
    </row>
    <row r="43" spans="2:19" ht="12" customHeight="1">
      <c r="B43" s="1237"/>
      <c r="C43" s="1245"/>
      <c r="D43" s="1246"/>
      <c r="E43" s="1353"/>
      <c r="F43" s="1246"/>
      <c r="G43" s="1246"/>
      <c r="H43" s="1246"/>
      <c r="I43" s="1246"/>
      <c r="J43" s="1354"/>
      <c r="K43" s="1354"/>
      <c r="L43" s="1355"/>
      <c r="M43" s="1356"/>
      <c r="N43" s="1356"/>
      <c r="O43" s="1227"/>
      <c r="P43" s="1227"/>
      <c r="Q43" s="1227"/>
      <c r="R43" s="1227"/>
      <c r="S43" s="1234"/>
    </row>
    <row r="44" spans="2:19" ht="22.5" customHeight="1">
      <c r="B44" s="1237"/>
      <c r="C44" s="1250"/>
      <c r="D44" s="1357" t="s">
        <v>154</v>
      </c>
      <c r="E44" s="1358"/>
      <c r="F44" s="1252"/>
      <c r="G44" s="1283">
        <v>1</v>
      </c>
      <c r="H44" s="1252"/>
      <c r="I44" s="1252"/>
      <c r="J44" s="1359"/>
      <c r="K44" s="1359"/>
      <c r="L44" s="1360"/>
      <c r="M44" s="1356"/>
      <c r="N44" s="1356"/>
      <c r="O44" s="1227"/>
      <c r="P44" s="1227"/>
      <c r="Q44" s="1227"/>
      <c r="R44" s="1227"/>
      <c r="S44" s="1234"/>
    </row>
    <row r="45" spans="2:19" ht="19.5" customHeight="1">
      <c r="B45" s="1237"/>
      <c r="C45" s="1250"/>
      <c r="D45" s="1361" t="s">
        <v>23</v>
      </c>
      <c r="E45" s="1362" t="s">
        <v>176</v>
      </c>
      <c r="F45" s="1256"/>
      <c r="G45" s="1252"/>
      <c r="H45" s="1264" t="s">
        <v>136</v>
      </c>
      <c r="I45" s="1252"/>
      <c r="J45" s="1359"/>
      <c r="K45" s="1359"/>
      <c r="L45" s="1360"/>
      <c r="M45" s="1356"/>
      <c r="N45" s="1356"/>
      <c r="O45" s="1227"/>
      <c r="P45" s="1227"/>
      <c r="Q45" s="1227"/>
      <c r="R45" s="1227"/>
      <c r="S45" s="1234"/>
    </row>
    <row r="46" spans="2:19" ht="25.5" customHeight="1">
      <c r="B46" s="1237"/>
      <c r="C46" s="1250"/>
      <c r="D46" s="1252"/>
      <c r="E46" s="1358"/>
      <c r="F46" s="1252"/>
      <c r="G46" s="1252"/>
      <c r="H46" s="1264" t="s">
        <v>133</v>
      </c>
      <c r="I46" s="1363"/>
      <c r="J46" s="1364"/>
      <c r="K46" s="1359"/>
      <c r="L46" s="1360"/>
      <c r="M46" s="1356"/>
      <c r="N46" s="1356"/>
      <c r="O46" s="1227"/>
      <c r="P46" s="1227"/>
      <c r="Q46" s="1227"/>
      <c r="R46" s="1227"/>
      <c r="S46" s="1234"/>
    </row>
    <row r="47" spans="2:19" ht="46.5" customHeight="1">
      <c r="B47" s="1237"/>
      <c r="C47" s="1250"/>
      <c r="D47" s="1252"/>
      <c r="E47" s="1358"/>
      <c r="F47" s="1252"/>
      <c r="G47" s="1252"/>
      <c r="H47" s="1274" t="str">
        <f>IF(G44=1,"Answer # 2, # 3 &amp; # 4",IF(M12=2,"Skip #2 - #4 and Section IV and Go to Section V",IF(G44=2,"Skip # 2 - # 4 and Go to Section IV","")))</f>
        <v>Answer # 2, # 3 &amp; # 4</v>
      </c>
      <c r="I47" s="1363"/>
      <c r="J47" s="1364"/>
      <c r="K47" s="1359"/>
      <c r="L47" s="1360"/>
      <c r="M47" s="1356"/>
      <c r="N47" s="1356"/>
      <c r="O47" s="1227"/>
      <c r="P47" s="1227"/>
      <c r="Q47" s="1227"/>
      <c r="R47" s="1227"/>
      <c r="S47" s="1234"/>
    </row>
    <row r="48" spans="2:19" ht="18" customHeight="1">
      <c r="B48" s="1237"/>
      <c r="C48" s="1250"/>
      <c r="D48" s="1361" t="s">
        <v>24</v>
      </c>
      <c r="E48" s="1362" t="s">
        <v>173</v>
      </c>
      <c r="F48" s="1256"/>
      <c r="G48" s="1252"/>
      <c r="H48" s="1365" t="s">
        <v>160</v>
      </c>
      <c r="I48" s="1366">
        <v>2</v>
      </c>
      <c r="J48" s="1367">
        <f>IF(G44=2,"Leave Blank","")</f>
      </c>
      <c r="K48" s="1359"/>
      <c r="L48" s="1360"/>
      <c r="M48" s="1356"/>
      <c r="N48" s="1356"/>
      <c r="O48" s="1227"/>
      <c r="P48" s="1227"/>
      <c r="Q48" s="1227"/>
      <c r="R48" s="1227"/>
      <c r="S48" s="1234"/>
    </row>
    <row r="49" spans="2:19" ht="21.75" customHeight="1">
      <c r="B49" s="1237"/>
      <c r="C49" s="1250"/>
      <c r="D49" s="1368"/>
      <c r="E49" s="1358"/>
      <c r="F49" s="1252"/>
      <c r="G49" s="1252"/>
      <c r="H49" s="1365" t="s">
        <v>161</v>
      </c>
      <c r="I49" s="1256"/>
      <c r="J49" s="1364"/>
      <c r="K49" s="1359"/>
      <c r="L49" s="1369"/>
      <c r="M49" s="1356"/>
      <c r="N49" s="1356"/>
      <c r="O49" s="1227"/>
      <c r="P49" s="1227"/>
      <c r="Q49" s="1227"/>
      <c r="R49" s="1227"/>
      <c r="S49" s="1234"/>
    </row>
    <row r="50" spans="2:19" ht="9" customHeight="1">
      <c r="B50" s="1237"/>
      <c r="C50" s="1250"/>
      <c r="D50" s="1368"/>
      <c r="E50" s="1358"/>
      <c r="F50" s="1252"/>
      <c r="G50" s="1252"/>
      <c r="H50" s="1370"/>
      <c r="I50" s="1256"/>
      <c r="J50" s="1364"/>
      <c r="K50" s="1359"/>
      <c r="L50" s="1369"/>
      <c r="M50" s="1356"/>
      <c r="N50" s="1356"/>
      <c r="O50" s="1227"/>
      <c r="P50" s="1227"/>
      <c r="Q50" s="1227"/>
      <c r="R50" s="1227"/>
      <c r="S50" s="1234"/>
    </row>
    <row r="51" spans="2:19" ht="15" customHeight="1">
      <c r="B51" s="1237"/>
      <c r="C51" s="1250"/>
      <c r="D51" s="1361" t="s">
        <v>25</v>
      </c>
      <c r="E51" s="1371" t="s">
        <v>177</v>
      </c>
      <c r="F51" s="1252"/>
      <c r="G51" s="1252"/>
      <c r="H51" s="1252"/>
      <c r="I51" s="1252"/>
      <c r="J51" s="1252"/>
      <c r="K51" s="1252"/>
      <c r="L51" s="1284"/>
      <c r="M51" s="1356"/>
      <c r="N51" s="1356"/>
      <c r="O51" s="1227"/>
      <c r="P51" s="1227"/>
      <c r="Q51" s="1227"/>
      <c r="R51" s="1227"/>
      <c r="S51" s="1234"/>
    </row>
    <row r="52" spans="2:19" ht="17.25" customHeight="1" thickBot="1">
      <c r="B52" s="1237"/>
      <c r="C52" s="1250"/>
      <c r="D52" s="1361"/>
      <c r="E52" s="1649" t="s">
        <v>175</v>
      </c>
      <c r="F52" s="1650"/>
      <c r="G52" s="1304"/>
      <c r="H52" s="1372"/>
      <c r="I52" s="1252"/>
      <c r="J52" s="1373" t="str">
        <f>IF(G$44=2,"Leave Blank",IF(I48=1,"per  Passenger Trip",IF(I48=2,"per Revenue Mile","")))</f>
        <v>per Revenue Mile</v>
      </c>
      <c r="K52" s="1374"/>
      <c r="L52" s="1284"/>
      <c r="M52" s="1356"/>
      <c r="N52" s="1356"/>
      <c r="O52" s="1227"/>
      <c r="P52" s="1227"/>
      <c r="Q52" s="1227"/>
      <c r="R52" s="1227"/>
      <c r="S52" s="1234"/>
    </row>
    <row r="53" spans="2:19" ht="6.75" customHeight="1">
      <c r="B53" s="1237"/>
      <c r="C53" s="1250"/>
      <c r="D53" s="1375"/>
      <c r="E53" s="1376"/>
      <c r="F53" s="1377"/>
      <c r="G53" s="1252"/>
      <c r="H53" s="1252"/>
      <c r="I53" s="1252"/>
      <c r="J53" s="1252"/>
      <c r="K53" s="1252"/>
      <c r="L53" s="1284"/>
      <c r="M53" s="1356"/>
      <c r="N53" s="1356"/>
      <c r="O53" s="1227"/>
      <c r="P53" s="1227"/>
      <c r="Q53" s="1227"/>
      <c r="R53" s="1227"/>
      <c r="S53" s="1234"/>
    </row>
    <row r="54" spans="2:19" ht="9.75" customHeight="1">
      <c r="B54" s="1237"/>
      <c r="C54" s="1250"/>
      <c r="D54" s="1375"/>
      <c r="E54" s="1376"/>
      <c r="F54" s="1377"/>
      <c r="G54" s="1252"/>
      <c r="H54" s="1252"/>
      <c r="I54" s="1252"/>
      <c r="J54" s="1378">
        <f>IF(G44=1,H52*H55,0)</f>
        <v>0</v>
      </c>
      <c r="K54" s="1252"/>
      <c r="L54" s="1284"/>
      <c r="M54" s="1356"/>
      <c r="N54" s="1356"/>
      <c r="O54" s="1227"/>
      <c r="P54" s="1227"/>
      <c r="Q54" s="1227"/>
      <c r="R54" s="1227"/>
      <c r="S54" s="1234"/>
    </row>
    <row r="55" spans="2:19" ht="17.25" customHeight="1" thickBot="1">
      <c r="B55" s="1237"/>
      <c r="C55" s="1250"/>
      <c r="D55" s="1361" t="s">
        <v>26</v>
      </c>
      <c r="E55" s="1649" t="s">
        <v>172</v>
      </c>
      <c r="F55" s="1650"/>
      <c r="G55" s="1304"/>
      <c r="H55" s="1379"/>
      <c r="I55" s="1252"/>
      <c r="J55" s="1373" t="str">
        <f>IF(G$44=2,"Leave Blank",IF(I48=1,"per  Passenger Trip",IF(I48=2,"per Revenue Mile","")))</f>
        <v>per Revenue Mile</v>
      </c>
      <c r="K55" s="1252"/>
      <c r="L55" s="1380"/>
      <c r="M55" s="1356"/>
      <c r="N55" s="1356"/>
      <c r="O55" s="1227"/>
      <c r="P55" s="1227"/>
      <c r="Q55" s="1227"/>
      <c r="R55" s="1227"/>
      <c r="S55" s="1234"/>
    </row>
    <row r="56" spans="2:19" ht="21.75" customHeight="1" thickBot="1">
      <c r="B56" s="1237"/>
      <c r="C56" s="1276"/>
      <c r="D56" s="1381"/>
      <c r="E56" s="1382"/>
      <c r="F56" s="1383"/>
      <c r="G56" s="1277"/>
      <c r="H56" s="1384"/>
      <c r="I56" s="1277"/>
      <c r="J56" s="1385"/>
      <c r="K56" s="1385"/>
      <c r="L56" s="1386"/>
      <c r="M56" s="1356"/>
      <c r="N56" s="1356"/>
      <c r="O56" s="1227"/>
      <c r="P56" s="1227"/>
      <c r="Q56" s="1227"/>
      <c r="R56" s="1227"/>
      <c r="S56" s="1234"/>
    </row>
    <row r="57" spans="2:19" ht="21.75" customHeight="1">
      <c r="B57" s="1237"/>
      <c r="C57" s="1238"/>
      <c r="D57" s="1387"/>
      <c r="E57" s="1388"/>
      <c r="F57" s="1389"/>
      <c r="G57" s="1227"/>
      <c r="H57" s="1390"/>
      <c r="I57" s="1227"/>
      <c r="J57" s="1356"/>
      <c r="K57" s="1356"/>
      <c r="L57" s="1356"/>
      <c r="M57" s="1356"/>
      <c r="N57" s="1356"/>
      <c r="O57" s="1227"/>
      <c r="P57" s="1227"/>
      <c r="Q57" s="1227"/>
      <c r="R57" s="1227"/>
      <c r="S57" s="1234"/>
    </row>
    <row r="58" spans="2:19" ht="12" customHeight="1">
      <c r="B58" s="1237"/>
      <c r="C58" s="1245"/>
      <c r="D58" s="1391"/>
      <c r="E58" s="1392"/>
      <c r="F58" s="1393"/>
      <c r="G58" s="1246"/>
      <c r="H58" s="1394"/>
      <c r="I58" s="1246"/>
      <c r="J58" s="1354"/>
      <c r="K58" s="1354"/>
      <c r="L58" s="1355"/>
      <c r="M58" s="1356"/>
      <c r="N58" s="1356"/>
      <c r="O58" s="1227"/>
      <c r="P58" s="1227"/>
      <c r="Q58" s="1227"/>
      <c r="R58" s="1227"/>
      <c r="S58" s="1234"/>
    </row>
    <row r="59" spans="2:19" ht="24" customHeight="1">
      <c r="B59" s="1237"/>
      <c r="C59" s="1250"/>
      <c r="D59" s="1357" t="s">
        <v>155</v>
      </c>
      <c r="E59" s="1358"/>
      <c r="F59" s="1252"/>
      <c r="G59" s="1252"/>
      <c r="H59" s="1642" t="str">
        <f>IF(M12=1,"You Must Complete This Section!",IF(M12=2,"Do NOT Complete Section IV",""))</f>
        <v>You Must Complete This Section!</v>
      </c>
      <c r="I59" s="1252"/>
      <c r="J59" s="1359"/>
      <c r="K59" s="1359"/>
      <c r="L59" s="1360"/>
      <c r="M59" s="1356"/>
      <c r="N59" s="1356"/>
      <c r="O59" s="1227"/>
      <c r="P59" s="1227"/>
      <c r="Q59" s="1227"/>
      <c r="R59" s="1227"/>
      <c r="S59" s="1234"/>
    </row>
    <row r="60" spans="2:19" ht="15" customHeight="1">
      <c r="B60" s="1237"/>
      <c r="C60" s="1250"/>
      <c r="D60" s="1395" t="s">
        <v>23</v>
      </c>
      <c r="E60" s="1649" t="s">
        <v>174</v>
      </c>
      <c r="F60" s="1650"/>
      <c r="G60" s="1252"/>
      <c r="H60" s="1643"/>
      <c r="I60" s="1252"/>
      <c r="J60" s="1359"/>
      <c r="K60" s="1359"/>
      <c r="L60" s="1360"/>
      <c r="M60" s="1356"/>
      <c r="N60" s="1356"/>
      <c r="O60" s="1227"/>
      <c r="P60" s="1227"/>
      <c r="Q60" s="1227"/>
      <c r="R60" s="1227"/>
      <c r="S60" s="1234"/>
    </row>
    <row r="61" spans="2:19" ht="15" customHeight="1" thickBot="1">
      <c r="B61" s="1237"/>
      <c r="C61" s="1250"/>
      <c r="D61" s="1396"/>
      <c r="E61" s="1397" t="s">
        <v>180</v>
      </c>
      <c r="F61" s="1398"/>
      <c r="G61" s="1304"/>
      <c r="H61" s="1399"/>
      <c r="I61" s="1252"/>
      <c r="J61" s="1359"/>
      <c r="K61" s="1359"/>
      <c r="L61" s="1360"/>
      <c r="M61" s="1356"/>
      <c r="N61" s="1356"/>
      <c r="O61" s="1227"/>
      <c r="P61" s="1227"/>
      <c r="Q61" s="1227"/>
      <c r="R61" s="1227"/>
      <c r="S61" s="1234"/>
    </row>
    <row r="62" spans="2:19" ht="17.25" customHeight="1">
      <c r="B62" s="1237"/>
      <c r="C62" s="1250"/>
      <c r="D62" s="1400"/>
      <c r="E62" s="1376"/>
      <c r="F62" s="1401"/>
      <c r="G62" s="1252"/>
      <c r="H62" s="1402"/>
      <c r="I62" s="1252"/>
      <c r="J62" s="1359"/>
      <c r="K62" s="1359"/>
      <c r="L62" s="1360"/>
      <c r="M62" s="1356"/>
      <c r="N62" s="1356"/>
      <c r="O62" s="1227"/>
      <c r="P62" s="1227"/>
      <c r="Q62" s="1227"/>
      <c r="R62" s="1227"/>
      <c r="S62" s="1234"/>
    </row>
    <row r="63" spans="2:19" ht="15" customHeight="1" thickBot="1">
      <c r="B63" s="1237"/>
      <c r="C63" s="1250"/>
      <c r="D63" s="1400"/>
      <c r="E63" s="1376"/>
      <c r="F63" s="1403" t="s">
        <v>181</v>
      </c>
      <c r="G63" s="1304"/>
      <c r="H63" s="1399"/>
      <c r="I63" s="1252"/>
      <c r="J63" s="1359"/>
      <c r="K63" s="1359"/>
      <c r="L63" s="1360"/>
      <c r="M63" s="1356"/>
      <c r="N63" s="1356"/>
      <c r="O63" s="1227"/>
      <c r="P63" s="1227"/>
      <c r="Q63" s="1227"/>
      <c r="R63" s="1227"/>
      <c r="S63" s="1234"/>
    </row>
    <row r="64" spans="2:19" ht="15" customHeight="1" thickBot="1">
      <c r="B64" s="1237"/>
      <c r="C64" s="1276"/>
      <c r="D64" s="1381"/>
      <c r="E64" s="1382"/>
      <c r="F64" s="1383"/>
      <c r="G64" s="1277"/>
      <c r="H64" s="1277"/>
      <c r="I64" s="1277"/>
      <c r="J64" s="1277"/>
      <c r="K64" s="1277"/>
      <c r="L64" s="1404"/>
      <c r="M64" s="1227"/>
      <c r="N64" s="1227"/>
      <c r="O64" s="1227"/>
      <c r="P64" s="1227"/>
      <c r="Q64" s="1227"/>
      <c r="R64" s="1227"/>
      <c r="S64" s="1234"/>
    </row>
    <row r="65" spans="2:19" ht="15" customHeight="1">
      <c r="B65" s="1237"/>
      <c r="C65" s="1238"/>
      <c r="D65" s="1387"/>
      <c r="E65" s="1388"/>
      <c r="F65" s="1389"/>
      <c r="G65" s="1227"/>
      <c r="H65" s="1227"/>
      <c r="I65" s="1227"/>
      <c r="J65" s="1227"/>
      <c r="K65" s="1227"/>
      <c r="L65" s="1227"/>
      <c r="M65" s="1227"/>
      <c r="N65" s="1227"/>
      <c r="O65" s="1227"/>
      <c r="P65" s="1227"/>
      <c r="Q65" s="1227"/>
      <c r="R65" s="1227"/>
      <c r="S65" s="1234"/>
    </row>
    <row r="66" spans="2:19" ht="15" customHeight="1" hidden="1">
      <c r="B66" s="1237"/>
      <c r="C66" s="1238"/>
      <c r="D66" s="1387"/>
      <c r="E66" s="1388"/>
      <c r="F66" s="1389"/>
      <c r="G66" s="1227"/>
      <c r="H66" s="1227"/>
      <c r="I66" s="1227"/>
      <c r="J66" s="1227"/>
      <c r="K66" s="1227"/>
      <c r="L66" s="1227"/>
      <c r="M66" s="1227"/>
      <c r="N66" s="1227"/>
      <c r="O66" s="1227"/>
      <c r="P66" s="1227"/>
      <c r="Q66" s="1227"/>
      <c r="R66" s="1227"/>
      <c r="S66" s="1234"/>
    </row>
    <row r="67" spans="2:19" ht="18" hidden="1">
      <c r="B67" s="1237"/>
      <c r="C67" s="1238"/>
      <c r="D67" s="1405" t="s">
        <v>29</v>
      </c>
      <c r="E67" s="1227"/>
      <c r="F67" s="1238"/>
      <c r="G67" s="1227"/>
      <c r="H67" s="1227"/>
      <c r="I67" s="1227"/>
      <c r="J67" s="1227"/>
      <c r="K67" s="1227"/>
      <c r="L67" s="1227"/>
      <c r="M67" s="1227"/>
      <c r="N67" s="1227"/>
      <c r="O67" s="1227"/>
      <c r="P67" s="1227"/>
      <c r="Q67" s="1227"/>
      <c r="R67" s="1227"/>
      <c r="S67" s="1406"/>
    </row>
    <row r="68" spans="2:19" ht="12.75" hidden="1">
      <c r="B68" s="1237"/>
      <c r="C68" s="1238"/>
      <c r="D68" s="1227"/>
      <c r="E68" s="1227"/>
      <c r="F68" s="1350"/>
      <c r="G68" s="1350"/>
      <c r="H68" s="1407"/>
      <c r="I68" s="1407"/>
      <c r="J68" s="1227"/>
      <c r="K68" s="1227"/>
      <c r="L68" s="1227"/>
      <c r="M68" s="1227"/>
      <c r="N68" s="1227"/>
      <c r="O68" s="1227"/>
      <c r="P68" s="1227"/>
      <c r="Q68" s="1227"/>
      <c r="R68" s="1227"/>
      <c r="S68" s="1234"/>
    </row>
    <row r="69" spans="2:19" ht="12.75" hidden="1">
      <c r="B69" s="1237"/>
      <c r="C69" s="1238"/>
      <c r="D69" s="1408"/>
      <c r="E69" s="1409"/>
      <c r="F69" s="1410"/>
      <c r="G69" s="1410"/>
      <c r="H69" s="1411"/>
      <c r="I69" s="1411"/>
      <c r="J69" s="1409"/>
      <c r="K69" s="1409"/>
      <c r="L69" s="1409"/>
      <c r="M69" s="1409"/>
      <c r="N69" s="1409"/>
      <c r="O69" s="1409"/>
      <c r="P69" s="1409"/>
      <c r="Q69" s="1412"/>
      <c r="R69" s="1227"/>
      <c r="S69" s="1234"/>
    </row>
    <row r="70" spans="2:19" ht="15.75" hidden="1">
      <c r="B70" s="1237"/>
      <c r="C70" s="1238"/>
      <c r="D70" s="1413"/>
      <c r="E70" s="1414" t="s">
        <v>76</v>
      </c>
      <c r="F70" s="1227"/>
      <c r="G70" s="1227"/>
      <c r="H70" s="1227"/>
      <c r="I70" s="1227"/>
      <c r="J70" s="1227"/>
      <c r="K70" s="1227"/>
      <c r="L70" s="1227"/>
      <c r="M70" s="1227"/>
      <c r="N70" s="1227"/>
      <c r="O70" s="1227"/>
      <c r="P70" s="1227"/>
      <c r="Q70" s="1415"/>
      <c r="R70" s="1227"/>
      <c r="S70" s="1234"/>
    </row>
    <row r="71" spans="2:19" ht="9" customHeight="1" hidden="1">
      <c r="B71" s="1237"/>
      <c r="C71" s="1238"/>
      <c r="D71" s="1413"/>
      <c r="E71" s="1414"/>
      <c r="F71" s="1227"/>
      <c r="G71" s="1227"/>
      <c r="H71" s="1227"/>
      <c r="I71" s="1227"/>
      <c r="J71" s="1227"/>
      <c r="K71" s="1227"/>
      <c r="L71" s="1227"/>
      <c r="M71" s="1227"/>
      <c r="N71" s="1227"/>
      <c r="O71" s="1227"/>
      <c r="P71" s="1227"/>
      <c r="Q71" s="1415"/>
      <c r="R71" s="1227"/>
      <c r="S71" s="1234"/>
    </row>
    <row r="72" spans="2:19" ht="47.25" hidden="1">
      <c r="B72" s="1237"/>
      <c r="C72" s="1238"/>
      <c r="D72" s="1416"/>
      <c r="E72" s="1417" t="s">
        <v>22</v>
      </c>
      <c r="F72" s="1227"/>
      <c r="G72" s="1227"/>
      <c r="H72" s="1418"/>
      <c r="I72" s="1418"/>
      <c r="J72" s="1418"/>
      <c r="K72" s="1418"/>
      <c r="L72" s="1419"/>
      <c r="M72" s="1238"/>
      <c r="N72" s="1418"/>
      <c r="O72" s="1418"/>
      <c r="P72" s="1238"/>
      <c r="Q72" s="1415"/>
      <c r="R72" s="1227"/>
      <c r="S72" s="1234"/>
    </row>
    <row r="73" spans="2:19" ht="18.75" customHeight="1" hidden="1" thickBot="1">
      <c r="B73" s="1237"/>
      <c r="C73" s="1238"/>
      <c r="D73" s="1416"/>
      <c r="E73" s="1420">
        <v>0.3</v>
      </c>
      <c r="F73" s="1421" t="s">
        <v>138</v>
      </c>
      <c r="G73" s="1389"/>
      <c r="H73" s="1418" t="s">
        <v>59</v>
      </c>
      <c r="I73" s="1418"/>
      <c r="J73" s="1418" t="s">
        <v>56</v>
      </c>
      <c r="K73" s="1418"/>
      <c r="L73" s="1419" t="s">
        <v>60</v>
      </c>
      <c r="M73" s="1238"/>
      <c r="N73" s="1418" t="s">
        <v>18</v>
      </c>
      <c r="O73" s="1422"/>
      <c r="P73" s="1238"/>
      <c r="Q73" s="1415"/>
      <c r="R73" s="1227"/>
      <c r="S73" s="1234"/>
    </row>
    <row r="74" spans="2:19" ht="13.5" hidden="1" thickBot="1">
      <c r="B74" s="1237"/>
      <c r="C74" s="1238"/>
      <c r="D74" s="1416"/>
      <c r="E74" s="1423"/>
      <c r="F74" s="1389" t="s">
        <v>20</v>
      </c>
      <c r="G74" s="1238"/>
      <c r="H74" s="1424">
        <v>7</v>
      </c>
      <c r="I74" s="1425"/>
      <c r="J74" s="1424">
        <v>12</v>
      </c>
      <c r="K74" s="1425"/>
      <c r="L74" s="1424">
        <v>25</v>
      </c>
      <c r="M74" s="1238"/>
      <c r="N74" s="1424">
        <v>10</v>
      </c>
      <c r="O74" s="1425"/>
      <c r="P74" s="1238"/>
      <c r="Q74" s="1415"/>
      <c r="R74" s="1227"/>
      <c r="S74" s="1234"/>
    </row>
    <row r="75" spans="2:19" ht="13.5" hidden="1" thickBot="1">
      <c r="B75" s="1237"/>
      <c r="C75" s="1238"/>
      <c r="D75" s="1416"/>
      <c r="E75" s="1423"/>
      <c r="F75" s="1389" t="s">
        <v>21</v>
      </c>
      <c r="G75" s="1238"/>
      <c r="H75" s="1426">
        <f>H74</f>
        <v>7</v>
      </c>
      <c r="I75" s="1425"/>
      <c r="J75" s="1426">
        <f>J74</f>
        <v>12</v>
      </c>
      <c r="K75" s="1425"/>
      <c r="L75" s="1426">
        <f>L74</f>
        <v>25</v>
      </c>
      <c r="M75" s="1238"/>
      <c r="N75" s="1426"/>
      <c r="O75" s="1425"/>
      <c r="P75" s="1238"/>
      <c r="Q75" s="1415"/>
      <c r="R75" s="1227"/>
      <c r="S75" s="1234"/>
    </row>
    <row r="76" spans="2:19" ht="13.5" hidden="1" thickTop="1">
      <c r="B76" s="1237"/>
      <c r="C76" s="1238"/>
      <c r="D76" s="1416"/>
      <c r="E76" s="1423"/>
      <c r="F76" s="1389" t="s">
        <v>19</v>
      </c>
      <c r="G76" s="1238"/>
      <c r="H76" s="1427">
        <f>SUM(H74:H75)/60</f>
        <v>0.23333333333333334</v>
      </c>
      <c r="I76" s="1422"/>
      <c r="J76" s="1427">
        <f>SUM(J74:J75)/60</f>
        <v>0.4</v>
      </c>
      <c r="K76" s="1422"/>
      <c r="L76" s="1427">
        <f>SUM(L74:L75)/60</f>
        <v>0.8333333333333334</v>
      </c>
      <c r="M76" s="1238"/>
      <c r="N76" s="1428">
        <f>IF(OR(H61="",H63=""),0,(H74*(H61/H63)+N74)/60)</f>
        <v>0</v>
      </c>
      <c r="O76" s="1422"/>
      <c r="P76" s="1238"/>
      <c r="Q76" s="1415"/>
      <c r="R76" s="1227"/>
      <c r="S76" s="1234"/>
    </row>
    <row r="77" spans="2:19" ht="12.75" hidden="1">
      <c r="B77" s="1237"/>
      <c r="C77" s="1238"/>
      <c r="D77" s="1416"/>
      <c r="E77" s="1423"/>
      <c r="F77" s="1389" t="s">
        <v>2</v>
      </c>
      <c r="G77" s="1238"/>
      <c r="H77" s="1422">
        <v>1</v>
      </c>
      <c r="I77" s="1422"/>
      <c r="J77" s="1422">
        <f>IF($H$76=0,0,J76/$H$76)</f>
        <v>1.7142857142857144</v>
      </c>
      <c r="K77" s="1422"/>
      <c r="L77" s="1422">
        <f>IF($H$76=0,0,L76/$H$76)</f>
        <v>3.5714285714285716</v>
      </c>
      <c r="M77" s="1238"/>
      <c r="N77" s="1422">
        <f>IF($H$76=0,0,N76/$H$76)</f>
        <v>0</v>
      </c>
      <c r="O77" s="1422"/>
      <c r="P77" s="1238"/>
      <c r="Q77" s="1415"/>
      <c r="R77" s="1227"/>
      <c r="S77" s="1234"/>
    </row>
    <row r="78" spans="2:19" ht="12.75" hidden="1">
      <c r="B78" s="1237"/>
      <c r="C78" s="1238"/>
      <c r="D78" s="1416"/>
      <c r="E78" s="1423"/>
      <c r="F78" s="1227"/>
      <c r="G78" s="1389"/>
      <c r="H78" s="1422"/>
      <c r="I78" s="1422"/>
      <c r="J78" s="1422"/>
      <c r="K78" s="1422"/>
      <c r="L78" s="1422"/>
      <c r="M78" s="1238"/>
      <c r="N78" s="1422"/>
      <c r="O78" s="1422"/>
      <c r="P78" s="1238"/>
      <c r="Q78" s="1415"/>
      <c r="R78" s="1227"/>
      <c r="S78" s="1234"/>
    </row>
    <row r="79" spans="1:19" ht="19.5" customHeight="1" hidden="1" thickBot="1">
      <c r="A79" s="1429"/>
      <c r="B79" s="1430"/>
      <c r="C79" s="1431"/>
      <c r="D79" s="1432"/>
      <c r="E79" s="1420">
        <v>0.7</v>
      </c>
      <c r="F79" s="1421" t="s">
        <v>139</v>
      </c>
      <c r="G79" s="1389"/>
      <c r="H79" s="1422"/>
      <c r="I79" s="1422"/>
      <c r="J79" s="1422"/>
      <c r="K79" s="1422"/>
      <c r="L79" s="1422"/>
      <c r="M79" s="1238"/>
      <c r="N79" s="1422"/>
      <c r="O79" s="1422"/>
      <c r="P79" s="1238"/>
      <c r="Q79" s="1415"/>
      <c r="R79" s="1227"/>
      <c r="S79" s="1234"/>
    </row>
    <row r="80" spans="1:19" ht="12.75" hidden="1">
      <c r="A80" s="1429"/>
      <c r="B80" s="1430"/>
      <c r="C80" s="1431"/>
      <c r="D80" s="1432"/>
      <c r="E80" s="1433"/>
      <c r="F80" s="1389" t="s">
        <v>68</v>
      </c>
      <c r="G80" s="1238"/>
      <c r="H80" s="1425"/>
      <c r="I80" s="1425"/>
      <c r="J80" s="1425"/>
      <c r="K80" s="1425"/>
      <c r="L80" s="1434"/>
      <c r="M80" s="1238"/>
      <c r="N80" s="1435">
        <f>H61</f>
        <v>0</v>
      </c>
      <c r="O80" s="1425"/>
      <c r="P80" s="1238"/>
      <c r="Q80" s="1415"/>
      <c r="R80" s="1227"/>
      <c r="S80" s="1234"/>
    </row>
    <row r="81" spans="1:19" ht="13.5" hidden="1" thickBot="1">
      <c r="A81" s="1429"/>
      <c r="B81" s="1430"/>
      <c r="C81" s="1431"/>
      <c r="D81" s="1432"/>
      <c r="E81" s="1238"/>
      <c r="F81" s="1389" t="s">
        <v>74</v>
      </c>
      <c r="G81" s="1238"/>
      <c r="H81" s="1425"/>
      <c r="I81" s="1425"/>
      <c r="J81" s="1425"/>
      <c r="K81" s="1425"/>
      <c r="L81" s="1425"/>
      <c r="M81" s="1238"/>
      <c r="N81" s="1436">
        <f>H63</f>
        <v>0</v>
      </c>
      <c r="O81" s="1425"/>
      <c r="P81" s="1238"/>
      <c r="Q81" s="1415"/>
      <c r="R81" s="1227"/>
      <c r="S81" s="1234"/>
    </row>
    <row r="82" spans="1:21" ht="13.5" hidden="1" thickBot="1">
      <c r="A82" s="1429"/>
      <c r="B82" s="1430"/>
      <c r="C82" s="1431"/>
      <c r="D82" s="1432"/>
      <c r="E82" s="1437"/>
      <c r="F82" s="1389" t="s">
        <v>75</v>
      </c>
      <c r="G82" s="1238"/>
      <c r="H82" s="1422"/>
      <c r="I82" s="1422"/>
      <c r="J82" s="1422"/>
      <c r="K82" s="1422"/>
      <c r="L82" s="1422"/>
      <c r="M82" s="1238"/>
      <c r="N82" s="1422">
        <f>IF(N81=0,0,N80/N81)</f>
        <v>0</v>
      </c>
      <c r="O82" s="1422"/>
      <c r="P82" s="1238"/>
      <c r="Q82" s="1415"/>
      <c r="R82" s="1227"/>
      <c r="S82" s="1234"/>
      <c r="T82" s="1222"/>
      <c r="U82" s="1222"/>
    </row>
    <row r="83" spans="1:19" ht="15.75" customHeight="1" hidden="1" thickTop="1">
      <c r="A83" s="1429"/>
      <c r="B83" s="1430"/>
      <c r="C83" s="1431"/>
      <c r="D83" s="1432"/>
      <c r="E83" s="1423">
        <f>SUM(E73,E79)</f>
        <v>1</v>
      </c>
      <c r="F83" s="1389" t="s">
        <v>4</v>
      </c>
      <c r="G83" s="1238"/>
      <c r="H83" s="1422">
        <v>1</v>
      </c>
      <c r="I83" s="1422"/>
      <c r="J83" s="1422">
        <f>IF(J77=0,0,1)</f>
        <v>1</v>
      </c>
      <c r="K83" s="1422"/>
      <c r="L83" s="1422">
        <f>IF(L77=0,0,1)</f>
        <v>1</v>
      </c>
      <c r="M83" s="1238"/>
      <c r="N83" s="1422">
        <f>IF(N80=0,0,N81/N80)</f>
        <v>0</v>
      </c>
      <c r="O83" s="1422"/>
      <c r="P83" s="1238"/>
      <c r="Q83" s="1415"/>
      <c r="R83" s="1238"/>
      <c r="S83" s="1244"/>
    </row>
    <row r="84" spans="1:19" ht="13.5" customHeight="1" hidden="1">
      <c r="A84" s="1429"/>
      <c r="B84" s="1430"/>
      <c r="C84" s="1431"/>
      <c r="D84" s="1432"/>
      <c r="E84" s="1438">
        <f>IF(E83=1,"","Factor Weight Must Total 100%")</f>
      </c>
      <c r="F84" s="1227"/>
      <c r="G84" s="1238"/>
      <c r="H84" s="1389"/>
      <c r="I84" s="1439"/>
      <c r="J84" s="1439"/>
      <c r="K84" s="1439"/>
      <c r="L84" s="1439"/>
      <c r="M84" s="1439"/>
      <c r="N84" s="1439"/>
      <c r="O84" s="1439"/>
      <c r="P84" s="1439"/>
      <c r="Q84" s="1415"/>
      <c r="R84" s="1238"/>
      <c r="S84" s="1244"/>
    </row>
    <row r="85" spans="1:19" ht="12.75" hidden="1">
      <c r="A85" s="1429"/>
      <c r="B85" s="1430"/>
      <c r="C85" s="1431"/>
      <c r="D85" s="1432"/>
      <c r="E85" s="1227"/>
      <c r="F85" s="1227"/>
      <c r="G85" s="1238"/>
      <c r="H85" s="1389" t="s">
        <v>3</v>
      </c>
      <c r="I85" s="1440"/>
      <c r="J85" s="1440">
        <f>(H77*$E$73)+(H83*$E$79)</f>
        <v>1</v>
      </c>
      <c r="K85" s="1440"/>
      <c r="L85" s="1440">
        <f>(J77*$E$73)+(J83*$E$79)</f>
        <v>1.2142857142857144</v>
      </c>
      <c r="M85" s="1440"/>
      <c r="N85" s="1440">
        <f>(L77*$E$73)+(L83*$E$79)</f>
        <v>1.7714285714285714</v>
      </c>
      <c r="O85" s="1440"/>
      <c r="P85" s="1440">
        <f>(N77*$E$73)+(N83*$E$79)</f>
        <v>0</v>
      </c>
      <c r="Q85" s="1415"/>
      <c r="R85" s="1238"/>
      <c r="S85" s="1244"/>
    </row>
    <row r="86" spans="1:19" ht="12.75" hidden="1">
      <c r="A86" s="1429"/>
      <c r="B86" s="1430"/>
      <c r="C86" s="1431"/>
      <c r="D86" s="1441"/>
      <c r="E86" s="1442"/>
      <c r="F86" s="1443"/>
      <c r="G86" s="1444"/>
      <c r="H86" s="1442"/>
      <c r="I86" s="1442"/>
      <c r="J86" s="1442"/>
      <c r="K86" s="1442"/>
      <c r="L86" s="1442"/>
      <c r="M86" s="1442"/>
      <c r="N86" s="1442"/>
      <c r="O86" s="1442"/>
      <c r="P86" s="1442"/>
      <c r="Q86" s="1445"/>
      <c r="R86" s="1238"/>
      <c r="S86" s="1244"/>
    </row>
    <row r="87" spans="1:19" ht="12.75" hidden="1">
      <c r="A87" s="1429"/>
      <c r="B87" s="1430"/>
      <c r="C87" s="1431"/>
      <c r="D87" s="1446"/>
      <c r="E87" s="1227"/>
      <c r="F87" s="1418"/>
      <c r="G87" s="1418"/>
      <c r="H87" s="1227"/>
      <c r="I87" s="1227"/>
      <c r="J87" s="1227"/>
      <c r="K87" s="1227"/>
      <c r="L87" s="1227"/>
      <c r="M87" s="1227"/>
      <c r="N87" s="1227"/>
      <c r="O87" s="1227"/>
      <c r="P87" s="1227"/>
      <c r="Q87" s="1227"/>
      <c r="R87" s="1238"/>
      <c r="S87" s="1244"/>
    </row>
    <row r="88" spans="1:19" ht="18" hidden="1">
      <c r="A88" s="1429"/>
      <c r="B88" s="1430"/>
      <c r="C88" s="1431"/>
      <c r="D88" s="1447" t="s">
        <v>137</v>
      </c>
      <c r="E88" s="1448"/>
      <c r="F88" s="1449"/>
      <c r="G88" s="1227"/>
      <c r="H88" s="1227"/>
      <c r="I88" s="1227"/>
      <c r="J88" s="1227"/>
      <c r="K88" s="1227"/>
      <c r="L88" s="1227"/>
      <c r="M88" s="1227"/>
      <c r="N88" s="1227"/>
      <c r="O88" s="1227"/>
      <c r="P88" s="1227"/>
      <c r="Q88" s="1227"/>
      <c r="R88" s="1227"/>
      <c r="S88" s="1234"/>
    </row>
    <row r="89" spans="1:19" ht="16.5" customHeight="1" hidden="1">
      <c r="A89" s="1429"/>
      <c r="B89" s="1430"/>
      <c r="C89" s="1431"/>
      <c r="D89" s="1446"/>
      <c r="E89" s="1227"/>
      <c r="F89" s="1421"/>
      <c r="G89" s="1421"/>
      <c r="H89" s="1417" t="s">
        <v>59</v>
      </c>
      <c r="I89" s="1417"/>
      <c r="J89" s="1450" t="s">
        <v>56</v>
      </c>
      <c r="K89" s="1450"/>
      <c r="L89" s="1450" t="s">
        <v>60</v>
      </c>
      <c r="M89" s="1450"/>
      <c r="N89" s="1417" t="s">
        <v>18</v>
      </c>
      <c r="O89" s="1417"/>
      <c r="P89" s="1451" t="s">
        <v>55</v>
      </c>
      <c r="Q89" s="1227"/>
      <c r="R89" s="1227"/>
      <c r="S89" s="1234"/>
    </row>
    <row r="90" spans="1:19" ht="19.5" customHeight="1" hidden="1">
      <c r="A90" s="1429"/>
      <c r="B90" s="1430"/>
      <c r="C90" s="1431"/>
      <c r="D90" s="1446"/>
      <c r="E90" s="1227"/>
      <c r="F90" s="1452" t="s">
        <v>7</v>
      </c>
      <c r="G90" s="1452"/>
      <c r="H90" s="1453">
        <f>IF(OR($N$82=0),H77,J85)</f>
        <v>1</v>
      </c>
      <c r="I90" s="1453"/>
      <c r="J90" s="1453">
        <f>IF(OR($N$82=0),J77,L85)</f>
        <v>1.7142857142857144</v>
      </c>
      <c r="K90" s="1453"/>
      <c r="L90" s="1453">
        <f>IF(OR($N$82=0),L77,N85)</f>
        <v>3.5714285714285716</v>
      </c>
      <c r="M90" s="1453"/>
      <c r="N90" s="1453">
        <f>IF(OR($N$82=0),N77,P85)</f>
        <v>0</v>
      </c>
      <c r="O90" s="1453"/>
      <c r="P90" s="1454">
        <f>SUM(H90:N90)</f>
        <v>6.2857142857142865</v>
      </c>
      <c r="Q90" s="1227"/>
      <c r="R90" s="1238"/>
      <c r="S90" s="1244"/>
    </row>
    <row r="91" spans="1:19" ht="15" hidden="1">
      <c r="A91" s="1429"/>
      <c r="B91" s="1430"/>
      <c r="C91" s="1431"/>
      <c r="D91" s="1446"/>
      <c r="E91" s="1227"/>
      <c r="F91" s="1455" t="s">
        <v>57</v>
      </c>
      <c r="G91" s="1241"/>
      <c r="H91" s="1242"/>
      <c r="I91" s="1242"/>
      <c r="J91" s="1242"/>
      <c r="K91" s="1242"/>
      <c r="L91" s="1242"/>
      <c r="M91" s="1242"/>
      <c r="N91" s="1242"/>
      <c r="O91" s="1242"/>
      <c r="P91" s="1242"/>
      <c r="Q91" s="1227"/>
      <c r="R91" s="1238"/>
      <c r="S91" s="1244"/>
    </row>
    <row r="92" spans="1:19" ht="12.75" customHeight="1" hidden="1" thickBot="1">
      <c r="A92" s="1429"/>
      <c r="B92" s="1430"/>
      <c r="C92" s="1431"/>
      <c r="D92" s="1456"/>
      <c r="E92" s="1457"/>
      <c r="F92" s="1457"/>
      <c r="G92" s="1457"/>
      <c r="H92" s="1457"/>
      <c r="I92" s="1457"/>
      <c r="J92" s="1457"/>
      <c r="K92" s="1457"/>
      <c r="L92" s="1457"/>
      <c r="M92" s="1457"/>
      <c r="N92" s="1457"/>
      <c r="O92" s="1457"/>
      <c r="P92" s="1458"/>
      <c r="Q92" s="1458"/>
      <c r="R92" s="1238"/>
      <c r="S92" s="1244"/>
    </row>
    <row r="93" spans="1:19" ht="12.75" hidden="1">
      <c r="A93" s="1429"/>
      <c r="B93" s="1430"/>
      <c r="C93" s="1431"/>
      <c r="D93" s="1446"/>
      <c r="E93" s="1227"/>
      <c r="F93" s="1227"/>
      <c r="G93" s="1227"/>
      <c r="H93" s="1227"/>
      <c r="I93" s="1227"/>
      <c r="J93" s="1350"/>
      <c r="K93" s="1350"/>
      <c r="L93" s="1459"/>
      <c r="M93" s="1459"/>
      <c r="N93" s="1460"/>
      <c r="O93" s="1460"/>
      <c r="P93" s="1460"/>
      <c r="Q93" s="1460"/>
      <c r="R93" s="1460"/>
      <c r="S93" s="1461"/>
    </row>
    <row r="94" spans="1:19" ht="12.75">
      <c r="A94" s="1429"/>
      <c r="B94" s="1430"/>
      <c r="C94" s="1431"/>
      <c r="D94" s="1446"/>
      <c r="E94" s="1227"/>
      <c r="F94" s="1227"/>
      <c r="G94" s="1227"/>
      <c r="H94" s="1227"/>
      <c r="I94" s="1227"/>
      <c r="J94" s="1350"/>
      <c r="K94" s="1350"/>
      <c r="L94" s="1459"/>
      <c r="M94" s="1459"/>
      <c r="N94" s="1460"/>
      <c r="O94" s="1460"/>
      <c r="P94" s="1460"/>
      <c r="Q94" s="1460"/>
      <c r="R94" s="1460"/>
      <c r="S94" s="1461"/>
    </row>
    <row r="95" spans="2:19" ht="9.75" customHeight="1">
      <c r="B95" s="1237"/>
      <c r="C95" s="1245"/>
      <c r="D95" s="1246"/>
      <c r="E95" s="1246"/>
      <c r="F95" s="1246"/>
      <c r="G95" s="1246"/>
      <c r="H95" s="1246"/>
      <c r="I95" s="1246"/>
      <c r="J95" s="1462"/>
      <c r="K95" s="1462"/>
      <c r="L95" s="1463"/>
      <c r="M95" s="1463"/>
      <c r="N95" s="1464"/>
      <c r="O95" s="1464"/>
      <c r="P95" s="1465"/>
      <c r="Q95" s="1465"/>
      <c r="R95" s="1466"/>
      <c r="S95" s="1461"/>
    </row>
    <row r="96" spans="2:21" ht="24.75" customHeight="1">
      <c r="B96" s="1237"/>
      <c r="C96" s="1250"/>
      <c r="D96" s="1357" t="s">
        <v>156</v>
      </c>
      <c r="E96" s="1252"/>
      <c r="F96" s="1256"/>
      <c r="G96" s="1252"/>
      <c r="H96" s="1252"/>
      <c r="I96" s="1252"/>
      <c r="J96" s="1252"/>
      <c r="K96" s="1252"/>
      <c r="L96" s="1252"/>
      <c r="M96" s="1252"/>
      <c r="N96" s="1252"/>
      <c r="O96" s="1252"/>
      <c r="P96" s="1252"/>
      <c r="Q96" s="1252"/>
      <c r="R96" s="1284"/>
      <c r="S96" s="1234"/>
      <c r="U96" s="1467">
        <f>'Budgeted Rate Base'!$F$185-$P$29-$J$54</f>
        <v>0</v>
      </c>
    </row>
    <row r="97" spans="2:19" ht="15.75" customHeight="1">
      <c r="B97" s="1237"/>
      <c r="C97" s="1250"/>
      <c r="D97" s="1361" t="s">
        <v>23</v>
      </c>
      <c r="E97" s="1651" t="s">
        <v>185</v>
      </c>
      <c r="F97" s="1652"/>
      <c r="G97" s="1652"/>
      <c r="H97" s="1652"/>
      <c r="I97" s="1652"/>
      <c r="J97" s="1652"/>
      <c r="K97" s="1652"/>
      <c r="L97" s="1652"/>
      <c r="M97" s="1652"/>
      <c r="N97" s="1652"/>
      <c r="O97" s="1652"/>
      <c r="P97" s="1652"/>
      <c r="Q97" s="1652"/>
      <c r="R97" s="1284"/>
      <c r="S97" s="1234"/>
    </row>
    <row r="98" spans="2:21" s="1474" customFormat="1" ht="16.5" customHeight="1">
      <c r="B98" s="1468"/>
      <c r="C98" s="1469"/>
      <c r="D98" s="1303"/>
      <c r="E98" s="1470" t="s">
        <v>186</v>
      </c>
      <c r="F98" s="1303"/>
      <c r="G98" s="1303"/>
      <c r="H98" s="1303"/>
      <c r="I98" s="1303"/>
      <c r="J98" s="1303"/>
      <c r="K98" s="1303"/>
      <c r="L98" s="1303"/>
      <c r="M98" s="1303"/>
      <c r="N98" s="1303"/>
      <c r="O98" s="1303"/>
      <c r="P98" s="1303"/>
      <c r="Q98" s="1303"/>
      <c r="R98" s="1471"/>
      <c r="S98" s="1472"/>
      <c r="T98" s="1473"/>
      <c r="U98" s="1473"/>
    </row>
    <row r="99" spans="2:21" s="1474" customFormat="1" ht="16.5" customHeight="1">
      <c r="B99" s="1468"/>
      <c r="C99" s="1469"/>
      <c r="D99" s="1303"/>
      <c r="E99" s="1475" t="s">
        <v>188</v>
      </c>
      <c r="F99" s="1303"/>
      <c r="G99" s="1303"/>
      <c r="H99" s="1303"/>
      <c r="I99" s="1303"/>
      <c r="J99" s="1303"/>
      <c r="K99" s="1303"/>
      <c r="L99" s="1303"/>
      <c r="M99" s="1303"/>
      <c r="N99" s="1303"/>
      <c r="O99" s="1303"/>
      <c r="P99" s="1303"/>
      <c r="Q99" s="1303"/>
      <c r="R99" s="1471"/>
      <c r="S99" s="1472"/>
      <c r="T99" s="1473"/>
      <c r="U99" s="1476">
        <f>J104*J103+L104*L103+N104*N103+P104*P103</f>
        <v>0</v>
      </c>
    </row>
    <row r="100" spans="2:19" ht="16.5" customHeight="1">
      <c r="B100" s="1237"/>
      <c r="C100" s="1250"/>
      <c r="D100" s="1477"/>
      <c r="E100" s="1252"/>
      <c r="F100" s="1256"/>
      <c r="G100" s="1252"/>
      <c r="H100" s="1252"/>
      <c r="I100" s="1252"/>
      <c r="J100" s="1478"/>
      <c r="K100" s="1479"/>
      <c r="L100" s="1480"/>
      <c r="M100" s="1481" t="s">
        <v>187</v>
      </c>
      <c r="N100" s="1481">
        <f>'Program-wide Rates'!N19</f>
        <v>2024</v>
      </c>
      <c r="O100" s="1482" t="str">
        <f>'Program-wide Rates'!O19</f>
        <v>-</v>
      </c>
      <c r="P100" s="1483">
        <f>'Program-wide Rates'!P19</f>
        <v>2025</v>
      </c>
      <c r="Q100" s="1484"/>
      <c r="R100" s="1284"/>
      <c r="S100" s="1234"/>
    </row>
    <row r="101" spans="2:21" ht="18.75" customHeight="1">
      <c r="B101" s="1237"/>
      <c r="C101" s="1250"/>
      <c r="D101" s="1252"/>
      <c r="E101" s="1252"/>
      <c r="F101" s="1252"/>
      <c r="G101" s="1252"/>
      <c r="H101" s="1485"/>
      <c r="I101" s="1252"/>
      <c r="J101" s="1486" t="s">
        <v>58</v>
      </c>
      <c r="K101" s="1486"/>
      <c r="L101" s="1486" t="s">
        <v>56</v>
      </c>
      <c r="M101" s="1486"/>
      <c r="N101" s="1486" t="s">
        <v>60</v>
      </c>
      <c r="O101" s="1486"/>
      <c r="P101" s="1487" t="s">
        <v>18</v>
      </c>
      <c r="Q101" s="1487"/>
      <c r="R101" s="1488"/>
      <c r="S101" s="1234"/>
      <c r="U101" s="1489"/>
    </row>
    <row r="102" spans="2:19" ht="12.75" customHeight="1">
      <c r="B102" s="1237"/>
      <c r="C102" s="1250"/>
      <c r="D102" s="1252"/>
      <c r="E102" s="1252"/>
      <c r="F102" s="1252"/>
      <c r="G102" s="1252"/>
      <c r="H102" s="1485"/>
      <c r="I102" s="1252"/>
      <c r="J102" s="1490">
        <f>IF(OR(G$12=2,AND(G$20=1,G$25=1)),"Leave Blank","")</f>
      </c>
      <c r="K102" s="1491"/>
      <c r="L102" s="1490">
        <f>IF(OR(I$12=2,AND(I$20=1,I$25=1)),"Leave Blank","")</f>
      </c>
      <c r="M102" s="1491"/>
      <c r="N102" s="1492">
        <f>IF(OR(K$12=2,AND(K$20=1,K$25=1)),"Leave Blank","")</f>
      </c>
      <c r="O102" s="1493"/>
      <c r="P102" s="1490">
        <f>IF(OR(M$12=2,AND(M$20=1,M$25=1)),"Leave Blank","")</f>
      </c>
      <c r="Q102" s="1494"/>
      <c r="R102" s="1488"/>
      <c r="S102" s="1653" t="str">
        <f>IF(SUM(J103:P103)&lt;H103-1,"Does Not = Total Projected Revenue Miles, with adjmt. for contracted services",(IF(SUM(J103:P103)&gt;H103+1,"Does Not = Total Projected Revenue Miles, with adjmt for contracted services"," ")))</f>
        <v> </v>
      </c>
    </row>
    <row r="103" spans="2:20" ht="18" customHeight="1" thickBot="1">
      <c r="B103" s="1237"/>
      <c r="C103" s="1250"/>
      <c r="D103" s="1252"/>
      <c r="E103" s="1252"/>
      <c r="F103" s="1256"/>
      <c r="G103" s="1495" t="s">
        <v>196</v>
      </c>
      <c r="H103" s="1496">
        <f>'Program-wide Rates'!K17-P30</f>
        <v>0</v>
      </c>
      <c r="I103" s="1497"/>
      <c r="J103" s="1498"/>
      <c r="K103" s="1499"/>
      <c r="L103" s="1498"/>
      <c r="M103" s="1499"/>
      <c r="N103" s="1498"/>
      <c r="O103" s="1499"/>
      <c r="P103" s="1498"/>
      <c r="Q103" s="1500"/>
      <c r="R103" s="1272"/>
      <c r="S103" s="1654"/>
      <c r="T103" s="1501"/>
    </row>
    <row r="104" spans="2:21" ht="15.75">
      <c r="B104" s="1237"/>
      <c r="C104" s="1250"/>
      <c r="D104" s="1252"/>
      <c r="E104" s="1252"/>
      <c r="F104" s="1502"/>
      <c r="G104" s="1502"/>
      <c r="H104" s="1503" t="s">
        <v>178</v>
      </c>
      <c r="I104" s="1256"/>
      <c r="J104" s="1504">
        <f>IF(AND(G$12=1,G$20=1,G$25=1),H34,IF(G$12=2,0,IF(J103=0,0,((('Budgeted Rate Base'!$F$185-$P$29-$J$54)/($J$103*$H$90+$L$103*$J$90+$N$103*$L$90+$P$103*$N$90)*H$90)))))</f>
        <v>0</v>
      </c>
      <c r="K104" s="1504"/>
      <c r="L104" s="1504">
        <f>IF(AND(I$12=1,I$20=1,I$25=1),J34,IF(I$12=2,0,IF(L103=0,0,((('Budgeted Rate Base'!$F$185-$P$29-$J$54)/($J$103*$H$90+$L$103*$J$90+$N$103*$L$90+$P$103*$N$90)*J$90)))))</f>
        <v>0</v>
      </c>
      <c r="M104" s="1504"/>
      <c r="N104" s="1504">
        <f>IF(AND(K$12=1,K$20=1,K$25=1),L34,IF(K$12=2,0,IF(N103=0,0,((('Budgeted Rate Base'!$F$185-$P$29-$J$54)/($J$103*$H$90+$L$103*$J$90+$N$103*$L$90+$P$103*$N$90)*L$90)))))</f>
        <v>0</v>
      </c>
      <c r="O104" s="1504"/>
      <c r="P104" s="1504">
        <f>IF(AND(M$12=1,M$20=1,M$25=1),N34,IF(M$12=2,0,IF(P103=0,0,((('Budgeted Rate Base'!$F$185-$P$29-$J$54)/($J$103*$H$90+$L$103*$J$90+$N$103*$L$90+$P$103*$N$90)*N$90)))))</f>
        <v>0</v>
      </c>
      <c r="Q104" s="1505">
        <f>IF($N$83=0,"",P104/$N$83)</f>
      </c>
      <c r="R104" s="1506"/>
      <c r="S104" s="1507"/>
      <c r="U104" s="1476"/>
    </row>
    <row r="105" spans="2:21" ht="15.75">
      <c r="B105" s="1237"/>
      <c r="C105" s="1250"/>
      <c r="D105" s="1252"/>
      <c r="E105" s="1252"/>
      <c r="F105" s="1502"/>
      <c r="G105" s="1502"/>
      <c r="H105" s="1503"/>
      <c r="I105" s="1256"/>
      <c r="J105" s="1504"/>
      <c r="K105" s="1504"/>
      <c r="L105" s="1504"/>
      <c r="M105" s="1504"/>
      <c r="N105" s="1508"/>
      <c r="O105" s="1508"/>
      <c r="P105" s="1509" t="s">
        <v>5</v>
      </c>
      <c r="Q105" s="1509" t="s">
        <v>6</v>
      </c>
      <c r="R105" s="1488"/>
      <c r="S105" s="1507"/>
      <c r="U105" s="1476">
        <f>J110*J109+L110*L109+N110*N109+P110*P109</f>
        <v>0</v>
      </c>
    </row>
    <row r="106" spans="2:19" ht="12" customHeight="1">
      <c r="B106" s="1237"/>
      <c r="C106" s="1250"/>
      <c r="D106" s="1252"/>
      <c r="E106" s="1252"/>
      <c r="F106" s="1502"/>
      <c r="G106" s="1502"/>
      <c r="H106" s="1485"/>
      <c r="I106" s="1497"/>
      <c r="J106" s="1497"/>
      <c r="K106" s="1497"/>
      <c r="L106" s="1497"/>
      <c r="M106" s="1497"/>
      <c r="N106" s="1497"/>
      <c r="O106" s="1497"/>
      <c r="P106" s="1510"/>
      <c r="Q106" s="1485"/>
      <c r="R106" s="1511"/>
      <c r="S106" s="1507"/>
    </row>
    <row r="107" spans="2:19" ht="17.25" customHeight="1">
      <c r="B107" s="1237"/>
      <c r="C107" s="1250"/>
      <c r="D107" s="1252"/>
      <c r="E107" s="1252"/>
      <c r="F107" s="1502"/>
      <c r="G107" s="1502"/>
      <c r="H107" s="1512"/>
      <c r="I107" s="1497"/>
      <c r="J107" s="1318" t="s">
        <v>58</v>
      </c>
      <c r="K107" s="1318"/>
      <c r="L107" s="1318" t="s">
        <v>56</v>
      </c>
      <c r="M107" s="1318"/>
      <c r="N107" s="1318" t="s">
        <v>60</v>
      </c>
      <c r="O107" s="1318"/>
      <c r="P107" s="1513" t="s">
        <v>54</v>
      </c>
      <c r="Q107" s="1513"/>
      <c r="R107" s="1511"/>
      <c r="S107" s="1234"/>
    </row>
    <row r="108" spans="2:21" ht="12" customHeight="1">
      <c r="B108" s="1237"/>
      <c r="C108" s="1250"/>
      <c r="D108" s="1252"/>
      <c r="E108" s="1252"/>
      <c r="F108" s="1502"/>
      <c r="G108" s="1502"/>
      <c r="H108" s="1512"/>
      <c r="I108" s="1497"/>
      <c r="J108" s="1514">
        <f>IF(OR(G$12=2,AND(G$20=1,G$25=1)),"Leave Blank","")</f>
      </c>
      <c r="K108" s="1515"/>
      <c r="L108" s="1514">
        <f>IF(OR(I$12=2,AND(I$20=1,I$25=1)),"Leave Blank","")</f>
      </c>
      <c r="M108" s="1516"/>
      <c r="N108" s="1492">
        <f>IF(OR(K$12=2,AND(K$20=1,K$25=1)),"Leave Blank","")</f>
      </c>
      <c r="O108" s="1493"/>
      <c r="P108" s="1514">
        <f>IF(OR(M20=1,M12=2),"Leave Blank","")</f>
      </c>
      <c r="Q108" s="1517"/>
      <c r="R108" s="1511"/>
      <c r="S108" s="1644" t="str">
        <f>IF(SUM(J109:P109)&lt;H109-1,"Does Not = Total Projected Passenger Trips, with adjmt. for contracted services",(IF(SUM(J109:P109)&gt;H109+1,"Does Not = Total Projected Passenger Trips, with adjmt. for contracted services"," ")))</f>
        <v> </v>
      </c>
      <c r="U108" s="1489"/>
    </row>
    <row r="109" spans="2:19" ht="18" customHeight="1" thickBot="1">
      <c r="B109" s="1237"/>
      <c r="C109" s="1250"/>
      <c r="D109" s="1252"/>
      <c r="E109" s="1252"/>
      <c r="F109" s="1256"/>
      <c r="G109" s="1495" t="s">
        <v>197</v>
      </c>
      <c r="H109" s="1496">
        <f>'Program-wide Rates'!K21-P31</f>
        <v>0</v>
      </c>
      <c r="I109" s="1500"/>
      <c r="J109" s="1498"/>
      <c r="K109" s="1499"/>
      <c r="L109" s="1498"/>
      <c r="M109" s="1499"/>
      <c r="N109" s="1498"/>
      <c r="O109" s="1499"/>
      <c r="P109" s="1518">
        <f>IF(OR(M12=2,M21=1),0,H61)</f>
        <v>0</v>
      </c>
      <c r="Q109" s="1485"/>
      <c r="R109" s="1272"/>
      <c r="S109" s="1645"/>
    </row>
    <row r="110" spans="2:21" ht="15.75">
      <c r="B110" s="1237"/>
      <c r="C110" s="1250"/>
      <c r="D110" s="1252"/>
      <c r="E110" s="1252"/>
      <c r="F110" s="1252"/>
      <c r="G110" s="1252"/>
      <c r="H110" s="1503" t="s">
        <v>179</v>
      </c>
      <c r="I110" s="1256"/>
      <c r="J110" s="1504">
        <f>IF(AND(G$12=1,G$20=1,G$25=1),H35,IF(G$12=2,0,IF(J109=0,0,((('Budgeted Rate Base'!$F$185-$P$29-$J$54)/($J$109*$H$90+$L$109*$J$90+$N$109*$L$90+$P$109*$N$90)*H$90)))))</f>
        <v>0</v>
      </c>
      <c r="K110" s="1504"/>
      <c r="L110" s="1504">
        <f>IF(AND(I$12=1,I$20=1,I$25=1),J35,IF(I$12=2,0,IF(L109=0,0,((('Budgeted Rate Base'!$F$185-$P$29-$J$54)/($J$109*$H$90+$L$109*$J$90+$N$109*$L$90+$P$109*$N$90)*J$90)))))</f>
        <v>0</v>
      </c>
      <c r="M110" s="1504"/>
      <c r="N110" s="1504">
        <f>IF(AND(K$12=1,K$20=1,K$25=1),L35,IF(K$12=2,0,IF(N109=0,0,((('Budgeted Rate Base'!$F$185-$P$29-$J$54)/($J$109*$H$90+$L$109*$J$90+$N$109*$L$90+$P$109*$N$90)*L$90)))))</f>
        <v>0</v>
      </c>
      <c r="O110" s="1504"/>
      <c r="P110" s="1504">
        <f>IF(AND(M$12=1,M$20=1,M$25=1),N35,IF(M$12=2,0,IF(P109=0,0,((('Budgeted Rate Base'!$F$185-$P$29-$J$54)/($J$109*$H$90+$L$109*$J$90+$N$109*$L$90+$P$109*$N$90)*N$90)))))</f>
        <v>0</v>
      </c>
      <c r="Q110" s="1505">
        <f>IF($N$83=0,"",P110/$N$83)</f>
      </c>
      <c r="R110" s="1506"/>
      <c r="S110" s="1234"/>
      <c r="U110" s="1476"/>
    </row>
    <row r="111" spans="2:21" ht="15.75">
      <c r="B111" s="1237"/>
      <c r="C111" s="1250"/>
      <c r="D111" s="1252"/>
      <c r="E111" s="1252"/>
      <c r="F111" s="1502"/>
      <c r="G111" s="1502"/>
      <c r="H111" s="1503"/>
      <c r="I111" s="1256"/>
      <c r="J111" s="1504"/>
      <c r="K111" s="1504"/>
      <c r="L111" s="1504"/>
      <c r="M111" s="1504"/>
      <c r="N111" s="1519"/>
      <c r="O111" s="1519"/>
      <c r="P111" s="1509" t="s">
        <v>5</v>
      </c>
      <c r="Q111" s="1509" t="s">
        <v>6</v>
      </c>
      <c r="R111" s="1506"/>
      <c r="S111" s="1507"/>
      <c r="U111" s="1476"/>
    </row>
    <row r="112" spans="2:21" ht="21.75" customHeight="1">
      <c r="B112" s="1237"/>
      <c r="C112" s="1250"/>
      <c r="D112" s="1252"/>
      <c r="E112" s="1252"/>
      <c r="F112" s="1252"/>
      <c r="G112" s="1252"/>
      <c r="H112" s="1252"/>
      <c r="I112" s="1252"/>
      <c r="J112" s="1252"/>
      <c r="K112" s="1252"/>
      <c r="L112" s="1252"/>
      <c r="M112" s="1252"/>
      <c r="N112" s="1252"/>
      <c r="O112" s="1252"/>
      <c r="P112" s="1520"/>
      <c r="Q112" s="1485"/>
      <c r="R112" s="1284"/>
      <c r="S112" s="1234"/>
      <c r="U112" s="1476">
        <f>J109*J116+L109*L116+N109*N116+P109*P116+J117*J103+L117*L103+N117*N103+P117*P103</f>
        <v>0</v>
      </c>
    </row>
    <row r="113" spans="2:19" ht="16.5" customHeight="1">
      <c r="B113" s="1237"/>
      <c r="C113" s="1250"/>
      <c r="D113" s="1361" t="s">
        <v>189</v>
      </c>
      <c r="E113" s="1470" t="s">
        <v>193</v>
      </c>
      <c r="F113" s="1521"/>
      <c r="G113" s="1522"/>
      <c r="H113" s="1522"/>
      <c r="I113" s="1522"/>
      <c r="J113" s="1523" t="s">
        <v>1</v>
      </c>
      <c r="K113" s="1523"/>
      <c r="L113" s="1523"/>
      <c r="M113" s="1523"/>
      <c r="N113" s="1523"/>
      <c r="O113" s="1523"/>
      <c r="P113" s="1523"/>
      <c r="Q113" s="1523"/>
      <c r="R113" s="1284"/>
      <c r="S113" s="1234"/>
    </row>
    <row r="114" spans="2:19" ht="18" customHeight="1">
      <c r="B114" s="1237"/>
      <c r="C114" s="1250"/>
      <c r="D114" s="1252"/>
      <c r="E114" s="1252"/>
      <c r="F114" s="1256"/>
      <c r="G114" s="1252"/>
      <c r="H114" s="1503"/>
      <c r="I114" s="1252"/>
      <c r="J114" s="1318" t="s">
        <v>58</v>
      </c>
      <c r="K114" s="1318"/>
      <c r="L114" s="1318" t="s">
        <v>56</v>
      </c>
      <c r="M114" s="1318"/>
      <c r="N114" s="1318" t="s">
        <v>60</v>
      </c>
      <c r="O114" s="1318"/>
      <c r="P114" s="1487" t="s">
        <v>18</v>
      </c>
      <c r="Q114" s="1524"/>
      <c r="R114" s="1284"/>
      <c r="S114" s="1234"/>
    </row>
    <row r="115" spans="2:19" ht="12" customHeight="1">
      <c r="B115" s="1237"/>
      <c r="C115" s="1250"/>
      <c r="D115" s="1252"/>
      <c r="E115" s="1252"/>
      <c r="F115" s="1525"/>
      <c r="G115" s="1252"/>
      <c r="H115" s="1252"/>
      <c r="I115" s="1252"/>
      <c r="J115" s="1490">
        <f>IF(OR(G$12=2,AND(G$20=1,G$25=1)),"Leave Blank","")</f>
      </c>
      <c r="K115" s="1526"/>
      <c r="L115" s="1490">
        <f>IF(OR(I$12=2,AND(I$20=1,I$25=1)),"Leave Blank","")</f>
      </c>
      <c r="M115" s="1526"/>
      <c r="N115" s="1492">
        <f>IF(OR(K$12=2,AND(K$20=1,K$25=1)),"Leave Blank","")</f>
      </c>
      <c r="O115" s="1493"/>
      <c r="P115" s="1490">
        <f>IF(OR(M$12=2,AND(M$20=1,M$25=1)),"Leave Blank","")</f>
      </c>
      <c r="Q115" s="1524"/>
      <c r="R115" s="1284"/>
      <c r="S115" s="1234"/>
    </row>
    <row r="116" spans="2:21" s="1236" customFormat="1" ht="17.25" customHeight="1" thickBot="1">
      <c r="B116" s="1226"/>
      <c r="C116" s="1527"/>
      <c r="D116" s="1252"/>
      <c r="E116" s="1528"/>
      <c r="F116" s="1252"/>
      <c r="G116" s="1252"/>
      <c r="H116" s="1529" t="s">
        <v>190</v>
      </c>
      <c r="I116" s="1252"/>
      <c r="J116" s="1530"/>
      <c r="K116" s="1531"/>
      <c r="L116" s="1530"/>
      <c r="M116" s="1531"/>
      <c r="N116" s="1530"/>
      <c r="O116" s="1531"/>
      <c r="P116" s="1530"/>
      <c r="Q116" s="1531" t="e">
        <f>P116/$N$83</f>
        <v>#DIV/0!</v>
      </c>
      <c r="R116" s="1284"/>
      <c r="S116" s="1234"/>
      <c r="T116" s="1532"/>
      <c r="U116" s="1235"/>
    </row>
    <row r="117" spans="2:21" s="1236" customFormat="1" ht="15.75">
      <c r="B117" s="1226"/>
      <c r="C117" s="1527"/>
      <c r="D117" s="1252"/>
      <c r="E117" s="1528"/>
      <c r="F117" s="1252"/>
      <c r="G117" s="1252"/>
      <c r="H117" s="1529" t="s">
        <v>191</v>
      </c>
      <c r="I117" s="1252"/>
      <c r="J117" s="1533">
        <f>IF(G12=2,0,IF(AND(G20=1,G25=1,H29&gt;0),"See Sect. II",IF(J103=0,0,((J103*J104)-(J116*J109))/(J103))))</f>
        <v>0</v>
      </c>
      <c r="K117" s="1533"/>
      <c r="L117" s="1533">
        <f>IF(I12=2,0,IF(AND(I20=1,I25=1,J29&gt;0),"See Sect. II",IF(L103=0,0,((L103*L104)-(L116*L109))/(L103))))</f>
        <v>0</v>
      </c>
      <c r="M117" s="1533"/>
      <c r="N117" s="1534">
        <f>IF(K12=2,0,IF(AND(K20=1,K25=1,L29&gt;0),"See Sect. II",IF(N103=0,0,((N103*N104)-(N116*N109))/(N103))))</f>
        <v>0</v>
      </c>
      <c r="O117" s="1533"/>
      <c r="P117" s="1533">
        <f>IF(M12=2,0,IF(AND(M20=1,M25=1,N29&gt;0),"See Sect. II",IF(P103=0,0,((P103*P104)-(P116*P109))/(P103))))</f>
        <v>0</v>
      </c>
      <c r="Q117" s="1533">
        <f>IF($N$83=0,"",P117/$N$83)</f>
      </c>
      <c r="R117" s="1535"/>
      <c r="S117" s="1234"/>
      <c r="T117" s="1235"/>
      <c r="U117" s="1235"/>
    </row>
    <row r="118" spans="2:21" s="1236" customFormat="1" ht="15">
      <c r="B118" s="1226"/>
      <c r="C118" s="1527"/>
      <c r="D118" s="1252"/>
      <c r="E118" s="1528"/>
      <c r="F118" s="1252"/>
      <c r="G118" s="1252"/>
      <c r="H118" s="1502"/>
      <c r="I118" s="1252"/>
      <c r="J118" s="1531"/>
      <c r="K118" s="1531"/>
      <c r="L118" s="1531"/>
      <c r="M118" s="1531"/>
      <c r="N118" s="1531"/>
      <c r="O118" s="1531"/>
      <c r="P118" s="1536" t="s">
        <v>5</v>
      </c>
      <c r="Q118" s="1536" t="s">
        <v>6</v>
      </c>
      <c r="R118" s="1284"/>
      <c r="S118" s="1234"/>
      <c r="T118" s="1235"/>
      <c r="U118" s="1235"/>
    </row>
    <row r="119" spans="2:21" s="1236" customFormat="1" ht="66.75" customHeight="1">
      <c r="B119" s="1226"/>
      <c r="C119" s="1527"/>
      <c r="D119" s="1252"/>
      <c r="E119" s="1528"/>
      <c r="F119" s="1252"/>
      <c r="G119" s="1252"/>
      <c r="H119" s="1502"/>
      <c r="I119" s="1252"/>
      <c r="J119" s="1537">
        <f>IF(AND(J116&lt;&gt;"",J117="See Section II"),"Should Have Left Rate per Trip Blank",IF(J116&gt;J110+0.01,"Combined Trip Rate Must be Less than Regular Trip Rate",""))</f>
      </c>
      <c r="K119" s="1531"/>
      <c r="L119" s="1537">
        <f>IF(AND(L116&lt;&gt;"",L117="See Section II"),"Should Have Left Rate per Trip Blank",IF(L116&gt;L110+0.01,"Combined Trip Rate Must be Less than Regular Trip Rate",""))</f>
      </c>
      <c r="M119" s="1531"/>
      <c r="N119" s="1537">
        <f>IF(AND(N116&lt;&gt;"",N117="See Section II"),"Should Have Left Rate per Trip Blank","")</f>
      </c>
      <c r="O119" s="1531"/>
      <c r="P119" s="1537">
        <f>IF(AND(P116&lt;&gt;"",P117="See Section II"),"Should Have Left Rate per Trip Blank",IF(P116&gt;P110+0.01,"Combined Trip Rate Must be Less than Regular Trip Rate",""))</f>
      </c>
      <c r="Q119" s="1536"/>
      <c r="R119" s="1284"/>
      <c r="S119" s="1234"/>
      <c r="T119" s="1235"/>
      <c r="U119" s="1235"/>
    </row>
    <row r="120" spans="2:19" ht="12.75">
      <c r="B120" s="1237"/>
      <c r="C120" s="1250"/>
      <c r="D120" s="1256"/>
      <c r="E120" s="1252"/>
      <c r="F120" s="1252"/>
      <c r="G120" s="1252"/>
      <c r="H120" s="1252"/>
      <c r="I120" s="1252"/>
      <c r="J120" s="1252"/>
      <c r="K120" s="1252"/>
      <c r="L120" s="1252"/>
      <c r="M120" s="1252"/>
      <c r="N120" s="1252"/>
      <c r="O120" s="1252"/>
      <c r="P120" s="1256"/>
      <c r="Q120" s="1252"/>
      <c r="R120" s="1272"/>
      <c r="S120" s="1244"/>
    </row>
    <row r="121" spans="2:19" ht="16.5" customHeight="1">
      <c r="B121" s="1237"/>
      <c r="C121" s="1250"/>
      <c r="D121" s="1256"/>
      <c r="E121" s="1252"/>
      <c r="F121" s="1252"/>
      <c r="G121" s="1252"/>
      <c r="H121" s="1252"/>
      <c r="I121" s="1252"/>
      <c r="J121" s="1538" t="s">
        <v>184</v>
      </c>
      <c r="K121" s="1538"/>
      <c r="L121" s="1538"/>
      <c r="M121" s="1538"/>
      <c r="N121" s="1538"/>
      <c r="O121" s="1538"/>
      <c r="P121" s="1539"/>
      <c r="Q121" s="1539"/>
      <c r="R121" s="1272"/>
      <c r="S121" s="1244"/>
    </row>
    <row r="122" spans="2:19" ht="28.5" customHeight="1">
      <c r="B122" s="1237"/>
      <c r="C122" s="1250"/>
      <c r="D122" s="1256"/>
      <c r="E122" s="1256"/>
      <c r="F122" s="1252"/>
      <c r="G122" s="1252"/>
      <c r="H122" s="1485"/>
      <c r="I122" s="1252"/>
      <c r="J122" s="1540" t="s">
        <v>58</v>
      </c>
      <c r="K122" s="1540"/>
      <c r="L122" s="1541" t="s">
        <v>56</v>
      </c>
      <c r="M122" s="1541"/>
      <c r="N122" s="1541" t="s">
        <v>60</v>
      </c>
      <c r="O122" s="1541"/>
      <c r="P122" s="1540" t="s">
        <v>18</v>
      </c>
      <c r="Q122" s="1540"/>
      <c r="R122" s="1272"/>
      <c r="S122" s="1244"/>
    </row>
    <row r="123" spans="2:19" ht="15.75">
      <c r="B123" s="1237"/>
      <c r="C123" s="1250"/>
      <c r="D123" s="1256"/>
      <c r="E123" s="1256"/>
      <c r="F123" s="1502"/>
      <c r="G123" s="1502"/>
      <c r="H123" s="1503" t="s">
        <v>178</v>
      </c>
      <c r="I123" s="1256"/>
      <c r="J123" s="1542">
        <f>IF(G12=2,0,IF(AND(G20=1,G25=1),H34,IF(J104=0,0,((('Budgeted Rate Base'!$F$185+'Budgeted Rate Base'!$K$146-$J$54)/($J$103*$H$90+$L$103*$J$90+$N$103*$L$90+$P$103*$N$90)*H$90)))))</f>
        <v>0</v>
      </c>
      <c r="K123" s="1542"/>
      <c r="L123" s="1542">
        <f>IF(I12=2,0,IF(AND(I20=1,I25=1),J34,IF(L104=0,0,((('Budgeted Rate Base'!$F$185+'Budgeted Rate Base'!$K$146-$J$54)/($J$103*$H$90+$L$103*$J$90+$N$103*$L$90+$P$103*$N$90)*J$90)))))</f>
        <v>0</v>
      </c>
      <c r="M123" s="1542"/>
      <c r="N123" s="1542">
        <f>IF(K12=2,0,IF(AND(K20=1,K25=1),L34,IF(N104=0,0,((('Budgeted Rate Base'!$F$185+'Budgeted Rate Base'!$K$146-$J$54)/($J$103*$H$90+$L$103*$J$90+$N$103*$L$90+$P$103*$N$90)*L$90)))))</f>
        <v>0</v>
      </c>
      <c r="O123" s="1542"/>
      <c r="P123" s="1542">
        <f>IF(M12=2,0,IF(AND(M20=1,M25=1),N34,IF(P104=0,0,((('Budgeted Rate Base'!$F$185+'Budgeted Rate Base'!$K$146-$J$54)/($J$103*$H$90+$L$103*$J$90+$N$103*$L$90+$P$103*$N$90)*N$90)))))</f>
        <v>0</v>
      </c>
      <c r="Q123" s="1542">
        <f>IF($P$123="NA","NA",IF($N$83=0,"",P123/$N$83))</f>
      </c>
      <c r="R123" s="1272"/>
      <c r="S123" s="1244"/>
    </row>
    <row r="124" spans="2:19" ht="15.75">
      <c r="B124" s="1237"/>
      <c r="C124" s="1250"/>
      <c r="D124" s="1256"/>
      <c r="E124" s="1256"/>
      <c r="F124" s="1502"/>
      <c r="G124" s="1502"/>
      <c r="H124" s="1503"/>
      <c r="I124" s="1256"/>
      <c r="J124" s="1543"/>
      <c r="K124" s="1543"/>
      <c r="L124" s="1543"/>
      <c r="M124" s="1543"/>
      <c r="N124" s="1544"/>
      <c r="O124" s="1543"/>
      <c r="P124" s="1545" t="s">
        <v>5</v>
      </c>
      <c r="Q124" s="1545" t="s">
        <v>6</v>
      </c>
      <c r="R124" s="1272"/>
      <c r="S124" s="1244"/>
    </row>
    <row r="125" spans="2:19" ht="12.75">
      <c r="B125" s="1237"/>
      <c r="C125" s="1250"/>
      <c r="D125" s="1256"/>
      <c r="E125" s="1256"/>
      <c r="F125" s="1502"/>
      <c r="G125" s="1502"/>
      <c r="H125" s="1497"/>
      <c r="I125" s="1497"/>
      <c r="J125" s="1546"/>
      <c r="K125" s="1546"/>
      <c r="L125" s="1546"/>
      <c r="M125" s="1546"/>
      <c r="N125" s="1546"/>
      <c r="O125" s="1546"/>
      <c r="P125" s="1546"/>
      <c r="Q125" s="1547"/>
      <c r="R125" s="1272"/>
      <c r="S125" s="1244"/>
    </row>
    <row r="126" spans="2:19" ht="28.5" customHeight="1">
      <c r="B126" s="1237"/>
      <c r="C126" s="1250"/>
      <c r="D126" s="1256"/>
      <c r="E126" s="1256"/>
      <c r="F126" s="1502"/>
      <c r="G126" s="1502"/>
      <c r="H126" s="1485"/>
      <c r="I126" s="1497"/>
      <c r="J126" s="1541" t="s">
        <v>58</v>
      </c>
      <c r="K126" s="1541"/>
      <c r="L126" s="1541" t="s">
        <v>56</v>
      </c>
      <c r="M126" s="1541"/>
      <c r="N126" s="1541" t="s">
        <v>60</v>
      </c>
      <c r="O126" s="1541"/>
      <c r="P126" s="1540" t="s">
        <v>18</v>
      </c>
      <c r="Q126" s="1540"/>
      <c r="R126" s="1272"/>
      <c r="S126" s="1244"/>
    </row>
    <row r="127" spans="2:19" ht="15.75">
      <c r="B127" s="1237"/>
      <c r="C127" s="1250"/>
      <c r="D127" s="1256"/>
      <c r="E127" s="1256"/>
      <c r="F127" s="1252"/>
      <c r="G127" s="1252"/>
      <c r="H127" s="1503" t="s">
        <v>179</v>
      </c>
      <c r="I127" s="1256"/>
      <c r="J127" s="1542">
        <f>IF(G12=2,0,IF(AND(G20=1,G25=1),H35,IF(J110=0,0,((('Budgeted Rate Base'!$F$185+'Budgeted Rate Base'!$K$146-$J$54)/($J$109*$H$90+$L$109*$J$90+$N$109*$L$90+$P$109*$N$90)*H$90)))))</f>
        <v>0</v>
      </c>
      <c r="K127" s="1542"/>
      <c r="L127" s="1542">
        <f>IF(I12=2,0,IF(AND(I20=1,I25=1),J35,IF(L110=0,0,((('Budgeted Rate Base'!$F$185+'Budgeted Rate Base'!$K$146-$J$54)/($J$109*$H$90+$L$109*$J$90+$N$109*$L$90+$P$109*$N$90)*J$90)))))</f>
        <v>0</v>
      </c>
      <c r="M127" s="1542"/>
      <c r="N127" s="1542">
        <f>IF(K12=2,0,IF(AND(K20=1,K25=1),L35,IF(N110=0,0,((('Budgeted Rate Base'!$F$185+'Budgeted Rate Base'!$K$146-$J$54)/($J$109*$H$90+$L$109*$J$90+$N$109*$L$90+$P$109*$N$90)*L$90)))))</f>
        <v>0</v>
      </c>
      <c r="O127" s="1542"/>
      <c r="P127" s="1542">
        <f>IF(M12=2,0,IF(AND(M20=1,M25=1),N35,IF(P110=0,0,((('Budgeted Rate Base'!$F$185+'Budgeted Rate Base'!$K$146-$J$54)/($J$109*$H$90+$L$109*$J$90+$N$109*$L$90+$P$109*$N$90)*N$90)))))</f>
        <v>0</v>
      </c>
      <c r="Q127" s="1542">
        <f>IF(P127="NA","NA",IF($N$83=0,"",P127/$N$83))</f>
      </c>
      <c r="R127" s="1272"/>
      <c r="S127" s="1244"/>
    </row>
    <row r="128" spans="2:19" ht="12.75">
      <c r="B128" s="1237"/>
      <c r="C128" s="1250"/>
      <c r="D128" s="1256"/>
      <c r="E128" s="1256"/>
      <c r="F128" s="1256"/>
      <c r="G128" s="1256"/>
      <c r="H128" s="1256"/>
      <c r="I128" s="1256"/>
      <c r="J128" s="1548"/>
      <c r="K128" s="1548"/>
      <c r="L128" s="1548"/>
      <c r="M128" s="1548"/>
      <c r="N128" s="1548"/>
      <c r="O128" s="1548"/>
      <c r="P128" s="1545" t="s">
        <v>5</v>
      </c>
      <c r="Q128" s="1545" t="s">
        <v>6</v>
      </c>
      <c r="R128" s="1272"/>
      <c r="S128" s="1244"/>
    </row>
    <row r="129" spans="2:19" ht="12.75">
      <c r="B129" s="1237"/>
      <c r="C129" s="1250"/>
      <c r="D129" s="1256"/>
      <c r="E129" s="1256"/>
      <c r="F129" s="1256"/>
      <c r="G129" s="1256"/>
      <c r="H129" s="1256"/>
      <c r="I129" s="1256"/>
      <c r="J129" s="1548"/>
      <c r="K129" s="1548"/>
      <c r="L129" s="1548"/>
      <c r="M129" s="1548"/>
      <c r="N129" s="1548"/>
      <c r="O129" s="1548"/>
      <c r="P129" s="1545"/>
      <c r="Q129" s="1545"/>
      <c r="R129" s="1272"/>
      <c r="S129" s="1244"/>
    </row>
    <row r="130" spans="2:19" ht="27" customHeight="1" thickBot="1">
      <c r="B130" s="1237"/>
      <c r="C130" s="1276"/>
      <c r="D130" s="1342"/>
      <c r="E130" s="1342"/>
      <c r="F130" s="1342"/>
      <c r="G130" s="1342"/>
      <c r="H130" s="1342"/>
      <c r="I130" s="1342"/>
      <c r="J130" s="1342"/>
      <c r="K130" s="1342"/>
      <c r="L130" s="1342"/>
      <c r="M130" s="1342"/>
      <c r="N130" s="1342"/>
      <c r="O130" s="1342"/>
      <c r="P130" s="1342"/>
      <c r="Q130" s="1342"/>
      <c r="R130" s="1549"/>
      <c r="S130" s="1244"/>
    </row>
    <row r="131" spans="2:19" ht="15">
      <c r="B131" s="1237"/>
      <c r="C131" s="1238"/>
      <c r="D131" s="1421"/>
      <c r="E131" s="1238"/>
      <c r="F131" s="1238"/>
      <c r="G131" s="1238"/>
      <c r="H131" s="1238"/>
      <c r="I131" s="1238"/>
      <c r="J131" s="1238"/>
      <c r="K131" s="1238"/>
      <c r="L131" s="1238"/>
      <c r="M131" s="1238"/>
      <c r="N131" s="1238"/>
      <c r="O131" s="1238"/>
      <c r="P131" s="1238"/>
      <c r="Q131" s="1238"/>
      <c r="R131" s="1238"/>
      <c r="S131" s="1244"/>
    </row>
    <row r="132" spans="2:19" ht="13.5" thickBot="1">
      <c r="B132" s="1550"/>
      <c r="C132" s="1551"/>
      <c r="D132" s="1551"/>
      <c r="E132" s="1551"/>
      <c r="F132" s="1551"/>
      <c r="G132" s="1551"/>
      <c r="H132" s="1551"/>
      <c r="I132" s="1551"/>
      <c r="J132" s="1551"/>
      <c r="K132" s="1551"/>
      <c r="L132" s="1551"/>
      <c r="M132" s="1551"/>
      <c r="N132" s="1551"/>
      <c r="O132" s="1551"/>
      <c r="P132" s="1551"/>
      <c r="Q132" s="1551"/>
      <c r="R132" s="1551"/>
      <c r="S132" s="1552"/>
    </row>
    <row r="133" ht="12.75">
      <c r="R133" s="1222"/>
    </row>
    <row r="134" ht="12.75">
      <c r="R134" s="1222"/>
    </row>
    <row r="135" ht="12.75">
      <c r="R135" s="1222"/>
    </row>
    <row r="136" ht="12.75">
      <c r="R136" s="1222"/>
    </row>
    <row r="137" ht="12.75">
      <c r="R137" s="1222"/>
    </row>
    <row r="138" ht="12.75">
      <c r="R138" s="1222"/>
    </row>
    <row r="139" ht="12.75">
      <c r="R139" s="1222"/>
    </row>
    <row r="140" ht="12.75">
      <c r="R140" s="1222"/>
    </row>
    <row r="141" ht="12.75">
      <c r="R141" s="1222"/>
    </row>
    <row r="142" ht="12.75">
      <c r="R142" s="1222"/>
    </row>
    <row r="143" ht="12.75">
      <c r="R143" s="1222"/>
    </row>
    <row r="144" ht="12.75">
      <c r="R144" s="1222"/>
    </row>
  </sheetData>
  <sheetProtection password="E09D" sheet="1" objects="1" scenarios="1" selectLockedCells="1"/>
  <mergeCells count="10">
    <mergeCell ref="H59:H60"/>
    <mergeCell ref="S108:S109"/>
    <mergeCell ref="E5:Q5"/>
    <mergeCell ref="E7:Q7"/>
    <mergeCell ref="E25:F25"/>
    <mergeCell ref="E52:F52"/>
    <mergeCell ref="E55:F55"/>
    <mergeCell ref="E60:F60"/>
    <mergeCell ref="E97:Q97"/>
    <mergeCell ref="S102:S103"/>
  </mergeCells>
  <conditionalFormatting sqref="H103">
    <cfRule type="cellIs" priority="1" dxfId="22" operator="lessThan" stopIfTrue="1">
      <formula>$J$103+$L$103+$N$103+$P$103-1</formula>
    </cfRule>
    <cfRule type="cellIs" priority="2" dxfId="22" operator="greaterThan" stopIfTrue="1">
      <formula>$J$103+$L$103+$N$103+$P$103+1</formula>
    </cfRule>
  </conditionalFormatting>
  <conditionalFormatting sqref="H109">
    <cfRule type="cellIs" priority="3" dxfId="22" operator="lessThan" stopIfTrue="1">
      <formula>$J$109+$L$109+$N$109+$P$109-1</formula>
    </cfRule>
    <cfRule type="cellIs" priority="4" dxfId="22" operator="greaterThan" stopIfTrue="1">
      <formula>$J$109+$L$109+$N$109+$P$109+1</formula>
    </cfRule>
  </conditionalFormatting>
  <conditionalFormatting sqref="J52">
    <cfRule type="cellIs" priority="5" dxfId="21" operator="equal" stopIfTrue="1">
      <formula>"""Leave Blank"""</formula>
    </cfRule>
  </conditionalFormatting>
  <printOptions horizontalCentered="1"/>
  <pageMargins left="0.26" right="0.2" top="0.34" bottom="0.44" header="0.21" footer="0.24"/>
  <pageSetup cellComments="asDisplayed" fitToHeight="2" horizontalDpi="1200" verticalDpi="1200" orientation="landscape" scale="47" r:id="rId2"/>
  <headerFooter alignWithMargins="0">
    <oddFooter>&amp;L&amp;"Arial,Regular"&amp;F:  &amp;A&amp;C&amp;R&amp;"Arial,Regular"Page &amp;P of &amp;N
</oddFooter>
  </headerFooter>
  <rowBreaks count="1" manualBreakCount="1">
    <brk id="42" max="255" man="1"/>
  </rowBreaks>
  <legacyDrawing r:id="rId1"/>
</worksheet>
</file>

<file path=xl/worksheets/sheet9.xml><?xml version="1.0" encoding="utf-8"?>
<worksheet xmlns="http://schemas.openxmlformats.org/spreadsheetml/2006/main" xmlns:r="http://schemas.openxmlformats.org/officeDocument/2006/relationships">
  <sheetPr codeName="Sheet6"/>
  <dimension ref="A5:D11"/>
  <sheetViews>
    <sheetView zoomScalePageLayoutView="0" workbookViewId="0" topLeftCell="A1">
      <selection activeCell="B6" sqref="B6"/>
    </sheetView>
  </sheetViews>
  <sheetFormatPr defaultColWidth="9.00390625" defaultRowHeight="12.75"/>
  <cols>
    <col min="1" max="1" width="8.75390625" style="0" customWidth="1"/>
    <col min="2" max="2" width="9.25390625" style="0" customWidth="1"/>
    <col min="3" max="3" width="10.25390625" style="0" customWidth="1"/>
  </cols>
  <sheetData>
    <row r="5" spans="1:4" ht="12.75">
      <c r="A5" s="5"/>
      <c r="B5" s="5"/>
      <c r="C5" s="5"/>
      <c r="D5" s="5"/>
    </row>
    <row r="6" spans="1:4" ht="12.75">
      <c r="A6" s="5"/>
      <c r="B6" s="15" t="s">
        <v>69</v>
      </c>
      <c r="C6" s="15" t="s">
        <v>27</v>
      </c>
      <c r="D6" s="5"/>
    </row>
    <row r="7" spans="1:4" ht="12.75">
      <c r="A7" s="5"/>
      <c r="B7" s="15" t="s">
        <v>70</v>
      </c>
      <c r="C7" s="15" t="s">
        <v>71</v>
      </c>
      <c r="D7" s="5"/>
    </row>
    <row r="8" spans="1:4" ht="12.75">
      <c r="A8" s="5"/>
      <c r="B8" s="15" t="s">
        <v>72</v>
      </c>
      <c r="C8" s="15" t="s">
        <v>73</v>
      </c>
      <c r="D8" s="5"/>
    </row>
    <row r="9" spans="1:4" ht="12.75">
      <c r="A9" s="5"/>
      <c r="B9" s="488"/>
      <c r="C9" s="5"/>
      <c r="D9" s="5"/>
    </row>
    <row r="10" spans="1:4" ht="12.75">
      <c r="A10" s="5"/>
      <c r="B10" s="5"/>
      <c r="C10" s="5"/>
      <c r="D10" s="5"/>
    </row>
    <row r="11" spans="1:4" ht="12.75">
      <c r="A11" s="5"/>
      <c r="B11" s="5"/>
      <c r="C11" s="5"/>
      <c r="D11" s="5"/>
    </row>
  </sheetData>
  <sheetProtection password="E09D" sheet="1" objects="1" scenarios="1" selectLockedCells="1"/>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Commission for the Transportation Disadvantaged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CTD Rate Calc Template v1.5</dc:title>
  <dc:subject/>
  <dc:creator>CTD</dc:creator>
  <cp:keywords/>
  <dc:description>On 1/29/2018 adjusted the year on the comprehensive budget worksheet to 2018, K.Hansen. On 1/17/2017 adjusted the year on the comprehensive budget worksheet, K.Hansen. On 2/2/2016 adjusted the year on the comprehensive budget worksheet, K.Hansen. v1.4 revisions by Floyd Webb.  For questions call 850-933-1908.  Corrections in approach to adjusting for prior year profits or losses confirmed by original authors on 9/2/2011.</dc:description>
  <cp:lastModifiedBy>Del Moral, Cecile</cp:lastModifiedBy>
  <cp:lastPrinted>2011-09-13T18:08:35Z</cp:lastPrinted>
  <dcterms:created xsi:type="dcterms:W3CDTF">2004-04-01T15:29:06Z</dcterms:created>
  <dcterms:modified xsi:type="dcterms:W3CDTF">2024-02-08T12:23:30Z</dcterms:modified>
  <cp:category/>
  <cp:version/>
  <cp:contentType/>
  <cp:contentStatus/>
</cp:coreProperties>
</file>