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t986ch\AAAdata\Temp\"/>
    </mc:Choice>
  </mc:AlternateContent>
  <bookViews>
    <workbookView xWindow="0" yWindow="0" windowWidth="28800" windowHeight="13020" tabRatio="773" activeTab="1"/>
  </bookViews>
  <sheets>
    <sheet name="Directions" sheetId="5" r:id="rId1"/>
    <sheet name="Arm1Design" sheetId="1" r:id="rId2"/>
    <sheet name="Arm2Design" sheetId="6" r:id="rId3"/>
    <sheet name="TabulationSheet" sheetId="7" r:id="rId4"/>
    <sheet name="Dimensions" sheetId="2" r:id="rId5"/>
    <sheet name="GraphValues" sheetId="3" r:id="rId6"/>
    <sheet name="CFI&amp;Designation" sheetId="4" r:id="rId7"/>
  </sheets>
  <definedNames>
    <definedName name="Choices">Dimensions!$AC$3:$AC$11</definedName>
    <definedName name="_xlnm.Print_Area" localSheetId="1">Arm1Design!$A$1:$M$32</definedName>
    <definedName name="_xlnm.Print_Area" localSheetId="2">Arm2Design!$A$1:$M$31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7" l="1"/>
  <c r="T5" i="7"/>
  <c r="S5" i="7"/>
  <c r="R5" i="7"/>
  <c r="Q5" i="7"/>
  <c r="P5" i="7"/>
  <c r="O5" i="7"/>
  <c r="N5" i="7"/>
  <c r="M5" i="7"/>
  <c r="V4" i="7"/>
  <c r="U4" i="7"/>
  <c r="T4" i="7"/>
  <c r="S4" i="7"/>
  <c r="R4" i="7"/>
  <c r="Q4" i="7"/>
  <c r="P4" i="7"/>
  <c r="O4" i="7"/>
  <c r="N4" i="7"/>
  <c r="M4" i="7"/>
  <c r="V5" i="7"/>
  <c r="B8" i="6"/>
  <c r="J4" i="7" l="1"/>
  <c r="H4" i="7"/>
  <c r="I4" i="7"/>
  <c r="K23" i="6" l="1"/>
  <c r="K24" i="1"/>
  <c r="Q19" i="4" l="1"/>
  <c r="E44" i="4"/>
  <c r="C44" i="4"/>
  <c r="F39" i="4"/>
  <c r="B39" i="4"/>
  <c r="K5" i="7" l="1"/>
  <c r="D41" i="2" l="1"/>
  <c r="L5" i="7" s="1"/>
  <c r="Q17" i="4"/>
  <c r="G39" i="4"/>
  <c r="E39" i="4"/>
  <c r="B33" i="4"/>
  <c r="E33" i="4" s="1"/>
  <c r="E45" i="4" l="1"/>
  <c r="W67" i="2"/>
  <c r="W60" i="2"/>
  <c r="Y60" i="2" s="1"/>
  <c r="W53" i="2"/>
  <c r="Y53" i="2" s="1"/>
  <c r="W46" i="2"/>
  <c r="Y46" i="2" s="1"/>
  <c r="W39" i="2"/>
  <c r="Y39" i="2" s="1"/>
  <c r="W32" i="2"/>
  <c r="Y32" i="2" s="1"/>
  <c r="W25" i="2"/>
  <c r="Y25" i="2" s="1"/>
  <c r="W18" i="2"/>
  <c r="Y18" i="2" s="1"/>
  <c r="W11" i="2"/>
  <c r="Y11" i="2" s="1"/>
  <c r="W4" i="2"/>
  <c r="Y4" i="2" s="1"/>
  <c r="V67" i="2"/>
  <c r="X67" i="2" s="1"/>
  <c r="V60" i="2"/>
  <c r="V53" i="2"/>
  <c r="V46" i="2"/>
  <c r="V39" i="2"/>
  <c r="V32" i="2"/>
  <c r="V25" i="2"/>
  <c r="V18" i="2"/>
  <c r="V11" i="2"/>
  <c r="V4" i="2"/>
  <c r="N4" i="2"/>
  <c r="M4" i="2"/>
  <c r="N11" i="2"/>
  <c r="M11" i="2"/>
  <c r="N18" i="2"/>
  <c r="M18" i="2"/>
  <c r="N25" i="2"/>
  <c r="M25" i="2"/>
  <c r="N32" i="2"/>
  <c r="M32" i="2"/>
  <c r="N39" i="2"/>
  <c r="M39" i="2"/>
  <c r="N46" i="2"/>
  <c r="M46" i="2"/>
  <c r="N53" i="2"/>
  <c r="M53" i="2"/>
  <c r="N60" i="2"/>
  <c r="M60" i="2"/>
  <c r="N67" i="2"/>
  <c r="M67" i="2"/>
  <c r="AF4" i="2"/>
  <c r="AF5" i="2" s="1"/>
  <c r="AF6" i="2" s="1"/>
  <c r="AF7" i="2" s="1"/>
  <c r="AF8" i="2" s="1"/>
  <c r="AE12" i="2"/>
  <c r="AE13" i="2" s="1"/>
  <c r="AE26" i="2"/>
  <c r="F26" i="4"/>
  <c r="E26" i="4"/>
  <c r="D26" i="4"/>
  <c r="C26" i="4"/>
  <c r="B26" i="4"/>
  <c r="AA47" i="2" l="1"/>
  <c r="AA46" i="2"/>
  <c r="AA49" i="2"/>
  <c r="AA48" i="2"/>
  <c r="AA50" i="2"/>
  <c r="AB11" i="2"/>
  <c r="AC11" i="2" s="1"/>
  <c r="X11" i="2"/>
  <c r="AA55" i="2"/>
  <c r="AA53" i="2"/>
  <c r="AA57" i="2"/>
  <c r="AA54" i="2"/>
  <c r="AA56" i="2"/>
  <c r="X18" i="2"/>
  <c r="AB18" i="2"/>
  <c r="AC18" i="2" s="1"/>
  <c r="AA7" i="2"/>
  <c r="AA8" i="2"/>
  <c r="AA5" i="2"/>
  <c r="AA4" i="2"/>
  <c r="AA6" i="2"/>
  <c r="AA63" i="2"/>
  <c r="AA64" i="2"/>
  <c r="AA61" i="2"/>
  <c r="AA60" i="2"/>
  <c r="AA62" i="2"/>
  <c r="AA43" i="2"/>
  <c r="AA40" i="2"/>
  <c r="AA39" i="2"/>
  <c r="AA42" i="2"/>
  <c r="AA41" i="2"/>
  <c r="AB4" i="2"/>
  <c r="AC4" i="2" s="1"/>
  <c r="X4" i="2"/>
  <c r="AB60" i="2"/>
  <c r="X60" i="2"/>
  <c r="X25" i="2"/>
  <c r="AB25" i="2"/>
  <c r="AC25" i="2" s="1"/>
  <c r="AA15" i="2"/>
  <c r="AA13" i="2"/>
  <c r="AA11" i="2"/>
  <c r="AA14" i="2"/>
  <c r="AA12" i="2"/>
  <c r="AB53" i="2"/>
  <c r="X53" i="2"/>
  <c r="AB32" i="2"/>
  <c r="X32" i="2"/>
  <c r="AA19" i="2"/>
  <c r="AA21" i="2"/>
  <c r="AA18" i="2"/>
  <c r="AA20" i="2"/>
  <c r="AA22" i="2"/>
  <c r="X39" i="2"/>
  <c r="AB39" i="2"/>
  <c r="AC39" i="2" s="1"/>
  <c r="AA27" i="2"/>
  <c r="AA28" i="2"/>
  <c r="AA26" i="2"/>
  <c r="AA25" i="2"/>
  <c r="AA29" i="2"/>
  <c r="AB46" i="2"/>
  <c r="AC46" i="2" s="1"/>
  <c r="X46" i="2"/>
  <c r="AA35" i="2"/>
  <c r="AA36" i="2"/>
  <c r="AA33" i="2"/>
  <c r="AA32" i="2"/>
  <c r="AA34" i="2"/>
  <c r="Z68" i="2"/>
  <c r="Z69" i="2"/>
  <c r="Z67" i="2"/>
  <c r="Z71" i="2"/>
  <c r="Z70" i="2"/>
  <c r="AB67" i="2"/>
  <c r="M10" i="6" s="1"/>
  <c r="Y67" i="2"/>
  <c r="AB26" i="4"/>
  <c r="D23" i="6"/>
  <c r="A39" i="4" s="1"/>
  <c r="E37" i="2"/>
  <c r="N19" i="3"/>
  <c r="N23" i="3" s="1"/>
  <c r="AE14" i="2"/>
  <c r="AE15" i="2" s="1"/>
  <c r="AE16" i="2" s="1"/>
  <c r="AE17" i="2" s="1"/>
  <c r="AE18" i="2" s="1"/>
  <c r="AE19" i="2" s="1"/>
  <c r="AE20" i="2" s="1"/>
  <c r="AE21" i="2" s="1"/>
  <c r="AE22" i="2" s="1"/>
  <c r="AE23" i="2" s="1"/>
  <c r="F36" i="2"/>
  <c r="AC60" i="2" l="1"/>
  <c r="AC32" i="2"/>
  <c r="AC53" i="2"/>
  <c r="Z56" i="2"/>
  <c r="Z57" i="2"/>
  <c r="Z54" i="2"/>
  <c r="Z53" i="2"/>
  <c r="Z55" i="2"/>
  <c r="Z8" i="2"/>
  <c r="Z5" i="2"/>
  <c r="Z7" i="2"/>
  <c r="Z6" i="2"/>
  <c r="Z4" i="2"/>
  <c r="Z12" i="2"/>
  <c r="Z15" i="2"/>
  <c r="Z14" i="2"/>
  <c r="Z13" i="2"/>
  <c r="Z11" i="2"/>
  <c r="Z48" i="2"/>
  <c r="Z46" i="2"/>
  <c r="Z50" i="2"/>
  <c r="Z49" i="2"/>
  <c r="Z47" i="2"/>
  <c r="Z28" i="2"/>
  <c r="Z29" i="2"/>
  <c r="Z26" i="2"/>
  <c r="Z27" i="2"/>
  <c r="Z25" i="2"/>
  <c r="Z20" i="2"/>
  <c r="Z22" i="2"/>
  <c r="Z18" i="2"/>
  <c r="Z21" i="2"/>
  <c r="Z19" i="2"/>
  <c r="Z40" i="2"/>
  <c r="Z39" i="2"/>
  <c r="Z42" i="2"/>
  <c r="Z43" i="2"/>
  <c r="Z41" i="2"/>
  <c r="Z36" i="2"/>
  <c r="Z33" i="2"/>
  <c r="Z32" i="2"/>
  <c r="Z35" i="2"/>
  <c r="Z34" i="2"/>
  <c r="Z64" i="2"/>
  <c r="Z61" i="2"/>
  <c r="Z62" i="2"/>
  <c r="Z60" i="2"/>
  <c r="Z63" i="2"/>
  <c r="AC67" i="2"/>
  <c r="Q15" i="3"/>
  <c r="AA71" i="2"/>
  <c r="AA67" i="2"/>
  <c r="AA68" i="2"/>
  <c r="AA70" i="2"/>
  <c r="AA69" i="2"/>
  <c r="O19" i="3"/>
  <c r="O3" i="3"/>
  <c r="O20" i="3"/>
  <c r="O21" i="3" s="1"/>
  <c r="N22" i="3"/>
  <c r="AF26" i="2"/>
  <c r="O7" i="3" l="1"/>
  <c r="O6" i="3"/>
  <c r="O22" i="3"/>
  <c r="O23" i="3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O12" i="3" l="1"/>
  <c r="O13" i="3" s="1"/>
  <c r="F33" i="4"/>
  <c r="A7" i="4" l="1"/>
  <c r="A8" i="4" l="1"/>
  <c r="A9" i="4" s="1"/>
  <c r="D40" i="2"/>
  <c r="U28" i="4" l="1"/>
  <c r="L4" i="7"/>
  <c r="O17" i="4"/>
  <c r="A10" i="4"/>
  <c r="A11" i="4" s="1"/>
  <c r="E25" i="6"/>
  <c r="D27" i="6"/>
  <c r="E27" i="6"/>
  <c r="D26" i="6"/>
  <c r="E26" i="6"/>
  <c r="D25" i="6"/>
  <c r="M28" i="4"/>
  <c r="I24" i="6" s="1"/>
  <c r="L27" i="4"/>
  <c r="M27" i="4"/>
  <c r="I25" i="6" s="1"/>
  <c r="L28" i="4"/>
  <c r="H24" i="6" s="1"/>
  <c r="K26" i="6"/>
  <c r="L20" i="4"/>
  <c r="Z26" i="4"/>
  <c r="AA27" i="4" s="1"/>
  <c r="D39" i="4" s="1"/>
  <c r="M20" i="4"/>
  <c r="L19" i="4"/>
  <c r="M19" i="4"/>
  <c r="E36" i="2"/>
  <c r="C45" i="4"/>
  <c r="D24" i="1"/>
  <c r="A33" i="4" s="1"/>
  <c r="D27" i="1"/>
  <c r="E26" i="1"/>
  <c r="D26" i="1"/>
  <c r="E28" i="1"/>
  <c r="D28" i="1"/>
  <c r="E27" i="1"/>
  <c r="D33" i="4" l="1"/>
  <c r="H25" i="6"/>
  <c r="AC23" i="4"/>
  <c r="N3" i="3"/>
  <c r="O4" i="3"/>
  <c r="O5" i="3" s="1"/>
  <c r="D42" i="2"/>
  <c r="B7" i="6" s="1"/>
  <c r="N7" i="3" l="1"/>
  <c r="N6" i="3"/>
  <c r="B1" i="4"/>
  <c r="Z19" i="4" s="1"/>
  <c r="AB19" i="4" s="1"/>
  <c r="H1" i="4"/>
  <c r="P25" i="2"/>
  <c r="D25" i="2"/>
  <c r="C25" i="2"/>
  <c r="C26" i="2" s="1"/>
  <c r="E26" i="2" s="1"/>
  <c r="D21" i="2"/>
  <c r="F21" i="2" s="1"/>
  <c r="C21" i="2"/>
  <c r="E21" i="2" s="1"/>
  <c r="D19" i="2"/>
  <c r="F19" i="2" s="1"/>
  <c r="C19" i="2"/>
  <c r="E19" i="2" s="1"/>
  <c r="D14" i="2"/>
  <c r="F14" i="2" s="1"/>
  <c r="C14" i="2"/>
  <c r="E14" i="2" s="1"/>
  <c r="D12" i="2"/>
  <c r="D11" i="2" s="1"/>
  <c r="F11" i="2" s="1"/>
  <c r="C12" i="2"/>
  <c r="E12" i="2" s="1"/>
  <c r="D7" i="2"/>
  <c r="D6" i="2" s="1"/>
  <c r="F6" i="2" s="1"/>
  <c r="C7" i="2"/>
  <c r="C6" i="2" s="1"/>
  <c r="E6" i="2" s="1"/>
  <c r="D5" i="2"/>
  <c r="F5" i="2" s="1"/>
  <c r="C5" i="2"/>
  <c r="C4" i="2" s="1"/>
  <c r="E4" i="2" s="1"/>
  <c r="G7" i="2" s="1"/>
  <c r="D22" i="3" l="1"/>
  <c r="E22" i="3"/>
  <c r="F22" i="3"/>
  <c r="C22" i="3"/>
  <c r="L22" i="3"/>
  <c r="H22" i="3"/>
  <c r="K22" i="3"/>
  <c r="I22" i="3"/>
  <c r="J22" i="3"/>
  <c r="D20" i="2"/>
  <c r="F20" i="2" s="1"/>
  <c r="D18" i="2"/>
  <c r="F18" i="2" s="1"/>
  <c r="I6" i="3"/>
  <c r="H6" i="3"/>
  <c r="E5" i="2"/>
  <c r="I25" i="1"/>
  <c r="I26" i="1"/>
  <c r="C18" i="2"/>
  <c r="I18" i="2" s="1"/>
  <c r="F12" i="2"/>
  <c r="C11" i="2"/>
  <c r="I11" i="2" s="1"/>
  <c r="F25" i="2"/>
  <c r="H26" i="1"/>
  <c r="AA23" i="4"/>
  <c r="H25" i="1"/>
  <c r="H19" i="2"/>
  <c r="H18" i="2"/>
  <c r="H22" i="2"/>
  <c r="H20" i="2"/>
  <c r="H21" i="2"/>
  <c r="N11" i="3"/>
  <c r="D4" i="2"/>
  <c r="F4" i="2" s="1"/>
  <c r="H4" i="2" s="1"/>
  <c r="E7" i="2"/>
  <c r="C13" i="2"/>
  <c r="E13" i="2" s="1"/>
  <c r="F7" i="2"/>
  <c r="D13" i="2"/>
  <c r="F13" i="2" s="1"/>
  <c r="H14" i="2" s="1"/>
  <c r="I25" i="2"/>
  <c r="D26" i="2"/>
  <c r="F26" i="2" s="1"/>
  <c r="C20" i="2"/>
  <c r="E20" i="2" s="1"/>
  <c r="E25" i="2"/>
  <c r="H13" i="2"/>
  <c r="G4" i="2"/>
  <c r="G6" i="2"/>
  <c r="G5" i="2"/>
  <c r="G8" i="2"/>
  <c r="S39" i="2"/>
  <c r="T39" i="2" s="1"/>
  <c r="S67" i="2"/>
  <c r="S60" i="2"/>
  <c r="S46" i="2"/>
  <c r="S53" i="2"/>
  <c r="R28" i="2"/>
  <c r="R27" i="2"/>
  <c r="R26" i="2"/>
  <c r="R25" i="2"/>
  <c r="R29" i="2"/>
  <c r="S11" i="2"/>
  <c r="T11" i="2" s="1"/>
  <c r="C18" i="4" s="1"/>
  <c r="O25" i="2"/>
  <c r="S25" i="2"/>
  <c r="T25" i="2" s="1"/>
  <c r="E18" i="4" s="1"/>
  <c r="O18" i="2"/>
  <c r="S18" i="2"/>
  <c r="T18" i="2" s="1"/>
  <c r="D18" i="4" s="1"/>
  <c r="S4" i="2"/>
  <c r="S32" i="2"/>
  <c r="T32" i="2" s="1"/>
  <c r="F18" i="4" s="1"/>
  <c r="P11" i="2"/>
  <c r="P18" i="2"/>
  <c r="O4" i="2"/>
  <c r="P4" i="2"/>
  <c r="O11" i="2"/>
  <c r="P46" i="2"/>
  <c r="O46" i="2"/>
  <c r="P67" i="2"/>
  <c r="O67" i="2"/>
  <c r="P60" i="2"/>
  <c r="O60" i="2"/>
  <c r="P53" i="2"/>
  <c r="O53" i="2"/>
  <c r="O39" i="2"/>
  <c r="P39" i="2"/>
  <c r="P32" i="2"/>
  <c r="O32" i="2"/>
  <c r="T67" i="2" l="1"/>
  <c r="M10" i="1"/>
  <c r="T60" i="2"/>
  <c r="J18" i="4" s="1"/>
  <c r="E21" i="3"/>
  <c r="C21" i="3"/>
  <c r="F21" i="3"/>
  <c r="D21" i="3"/>
  <c r="L21" i="3"/>
  <c r="E26" i="3"/>
  <c r="F26" i="3"/>
  <c r="D26" i="3"/>
  <c r="C26" i="3"/>
  <c r="L26" i="3"/>
  <c r="C19" i="3"/>
  <c r="D19" i="3"/>
  <c r="E19" i="3"/>
  <c r="F19" i="3"/>
  <c r="L19" i="3"/>
  <c r="E20" i="3"/>
  <c r="C20" i="3"/>
  <c r="F20" i="3"/>
  <c r="D20" i="3"/>
  <c r="L20" i="3"/>
  <c r="F23" i="3"/>
  <c r="D23" i="3"/>
  <c r="E23" i="3"/>
  <c r="C23" i="3"/>
  <c r="L23" i="3"/>
  <c r="H26" i="3"/>
  <c r="J26" i="3"/>
  <c r="K26" i="3"/>
  <c r="I26" i="3"/>
  <c r="H23" i="3"/>
  <c r="J23" i="3"/>
  <c r="K23" i="3"/>
  <c r="I23" i="3"/>
  <c r="H20" i="3"/>
  <c r="K20" i="3"/>
  <c r="I20" i="3"/>
  <c r="J20" i="3"/>
  <c r="C10" i="3"/>
  <c r="G26" i="3"/>
  <c r="H19" i="3"/>
  <c r="I19" i="3"/>
  <c r="K19" i="3"/>
  <c r="J19" i="3"/>
  <c r="H21" i="3"/>
  <c r="I21" i="3"/>
  <c r="J21" i="3"/>
  <c r="K21" i="3"/>
  <c r="H11" i="2"/>
  <c r="J26" i="4"/>
  <c r="H12" i="2"/>
  <c r="H15" i="2"/>
  <c r="K18" i="4"/>
  <c r="K26" i="4"/>
  <c r="G18" i="4"/>
  <c r="G26" i="4"/>
  <c r="E11" i="2"/>
  <c r="E18" i="2"/>
  <c r="G21" i="2" s="1"/>
  <c r="I5" i="3"/>
  <c r="H5" i="3"/>
  <c r="J5" i="3"/>
  <c r="J3" i="3"/>
  <c r="I3" i="3"/>
  <c r="H3" i="3"/>
  <c r="H7" i="3"/>
  <c r="I7" i="3"/>
  <c r="J7" i="3"/>
  <c r="H10" i="3"/>
  <c r="F10" i="3"/>
  <c r="J10" i="3"/>
  <c r="I4" i="3"/>
  <c r="H4" i="3"/>
  <c r="K7" i="3"/>
  <c r="K10" i="3"/>
  <c r="H29" i="2"/>
  <c r="H33" i="2"/>
  <c r="H25" i="2"/>
  <c r="H30" i="2"/>
  <c r="H26" i="2"/>
  <c r="H27" i="2"/>
  <c r="H31" i="2"/>
  <c r="H6" i="2"/>
  <c r="C12" i="3" s="1"/>
  <c r="H32" i="2"/>
  <c r="H28" i="2"/>
  <c r="T4" i="2"/>
  <c r="B18" i="4" s="1"/>
  <c r="N12" i="3"/>
  <c r="G14" i="2"/>
  <c r="G12" i="2"/>
  <c r="G15" i="2"/>
  <c r="G13" i="2"/>
  <c r="G11" i="2"/>
  <c r="G19" i="2"/>
  <c r="G18" i="2"/>
  <c r="H8" i="2"/>
  <c r="C14" i="3" s="1"/>
  <c r="H5" i="2"/>
  <c r="C11" i="3" s="1"/>
  <c r="I4" i="2"/>
  <c r="L10" i="1" s="1"/>
  <c r="H7" i="2"/>
  <c r="G29" i="3" s="1"/>
  <c r="G33" i="2"/>
  <c r="G29" i="2"/>
  <c r="G32" i="2"/>
  <c r="G28" i="2"/>
  <c r="G26" i="2"/>
  <c r="G31" i="2"/>
  <c r="G27" i="2"/>
  <c r="G30" i="2"/>
  <c r="G25" i="2"/>
  <c r="T53" i="2"/>
  <c r="T46" i="2"/>
  <c r="R69" i="2"/>
  <c r="R68" i="2"/>
  <c r="R67" i="2"/>
  <c r="R71" i="2"/>
  <c r="R70" i="2"/>
  <c r="R64" i="2"/>
  <c r="R63" i="2"/>
  <c r="R62" i="2"/>
  <c r="R61" i="2"/>
  <c r="R60" i="2"/>
  <c r="R55" i="2"/>
  <c r="R54" i="2"/>
  <c r="R53" i="2"/>
  <c r="R57" i="2"/>
  <c r="R56" i="2"/>
  <c r="R46" i="2"/>
  <c r="I10" i="3" s="1"/>
  <c r="R50" i="2"/>
  <c r="R49" i="2"/>
  <c r="R48" i="2"/>
  <c r="R47" i="2"/>
  <c r="R43" i="2"/>
  <c r="R42" i="2"/>
  <c r="R41" i="2"/>
  <c r="R40" i="2"/>
  <c r="R39" i="2"/>
  <c r="R22" i="2"/>
  <c r="E14" i="3" s="1"/>
  <c r="R21" i="2"/>
  <c r="R20" i="2"/>
  <c r="R19" i="2"/>
  <c r="E11" i="3" s="1"/>
  <c r="R18" i="2"/>
  <c r="E10" i="3" s="1"/>
  <c r="R14" i="2"/>
  <c r="R13" i="2"/>
  <c r="R12" i="2"/>
  <c r="R11" i="2"/>
  <c r="D10" i="3" s="1"/>
  <c r="R15" i="2"/>
  <c r="D14" i="3" s="1"/>
  <c r="Q67" i="2"/>
  <c r="Q71" i="2"/>
  <c r="Q70" i="2"/>
  <c r="Q69" i="2"/>
  <c r="L5" i="3" s="1"/>
  <c r="Q68" i="2"/>
  <c r="Q64" i="2"/>
  <c r="Q63" i="2"/>
  <c r="K6" i="3" s="1"/>
  <c r="Q62" i="2"/>
  <c r="K5" i="3" s="1"/>
  <c r="Q61" i="2"/>
  <c r="K4" i="3" s="1"/>
  <c r="Q60" i="2"/>
  <c r="K3" i="3" s="1"/>
  <c r="Q57" i="2"/>
  <c r="Q56" i="2"/>
  <c r="J6" i="3" s="1"/>
  <c r="Q55" i="2"/>
  <c r="Q54" i="2"/>
  <c r="J4" i="3" s="1"/>
  <c r="Q53" i="2"/>
  <c r="Q48" i="2"/>
  <c r="Q47" i="2"/>
  <c r="Q46" i="2"/>
  <c r="Q50" i="2"/>
  <c r="Q49" i="2"/>
  <c r="Q43" i="2"/>
  <c r="Q42" i="2"/>
  <c r="Q41" i="2"/>
  <c r="Q40" i="2"/>
  <c r="Q39" i="2"/>
  <c r="Q27" i="2"/>
  <c r="F5" i="3" s="1"/>
  <c r="Q26" i="2"/>
  <c r="F4" i="3" s="1"/>
  <c r="Q25" i="2"/>
  <c r="F3" i="3" s="1"/>
  <c r="Q29" i="2"/>
  <c r="F7" i="3" s="1"/>
  <c r="Q28" i="2"/>
  <c r="F6" i="3" s="1"/>
  <c r="Q20" i="2"/>
  <c r="Q19" i="2"/>
  <c r="E4" i="3" s="1"/>
  <c r="Q18" i="2"/>
  <c r="E3" i="3" s="1"/>
  <c r="Q22" i="2"/>
  <c r="Q21" i="2"/>
  <c r="E6" i="3" s="1"/>
  <c r="Q15" i="2"/>
  <c r="D7" i="3" s="1"/>
  <c r="Q14" i="2"/>
  <c r="D6" i="3" s="1"/>
  <c r="Q13" i="2"/>
  <c r="D5" i="3" s="1"/>
  <c r="Q12" i="2"/>
  <c r="D4" i="3" s="1"/>
  <c r="Q11" i="2"/>
  <c r="D3" i="3" s="1"/>
  <c r="Q8" i="2"/>
  <c r="Q4" i="2"/>
  <c r="Q5" i="2"/>
  <c r="Q7" i="2"/>
  <c r="Q6" i="2"/>
  <c r="R8" i="2"/>
  <c r="R4" i="2"/>
  <c r="R5" i="2"/>
  <c r="R7" i="2"/>
  <c r="R6" i="2"/>
  <c r="R35" i="2"/>
  <c r="R34" i="2"/>
  <c r="R33" i="2"/>
  <c r="R36" i="2"/>
  <c r="R32" i="2"/>
  <c r="G10" i="3" s="1"/>
  <c r="Q35" i="2"/>
  <c r="G6" i="3" s="1"/>
  <c r="Q32" i="2"/>
  <c r="G3" i="3" s="1"/>
  <c r="Q34" i="2"/>
  <c r="G5" i="3" s="1"/>
  <c r="Q36" i="2"/>
  <c r="G7" i="3" s="1"/>
  <c r="Q33" i="2"/>
  <c r="G4" i="3" s="1"/>
  <c r="J10" i="6" l="1"/>
  <c r="L10" i="6"/>
  <c r="K10" i="6"/>
  <c r="J10" i="1"/>
  <c r="K10" i="1"/>
  <c r="I26" i="4"/>
  <c r="I18" i="4"/>
  <c r="E13" i="3"/>
  <c r="D13" i="3"/>
  <c r="E12" i="3"/>
  <c r="D11" i="3"/>
  <c r="D12" i="3"/>
  <c r="C13" i="3"/>
  <c r="D28" i="3"/>
  <c r="F28" i="3"/>
  <c r="C28" i="3"/>
  <c r="E28" i="3"/>
  <c r="L28" i="3"/>
  <c r="F29" i="3"/>
  <c r="E29" i="3"/>
  <c r="D29" i="3"/>
  <c r="C29" i="3"/>
  <c r="L29" i="3"/>
  <c r="F10" i="6"/>
  <c r="D25" i="4" s="1"/>
  <c r="F11" i="6" s="1"/>
  <c r="H10" i="6"/>
  <c r="G10" i="6"/>
  <c r="E25" i="4" s="1"/>
  <c r="G11" i="6" s="1"/>
  <c r="I10" i="6"/>
  <c r="G25" i="4" s="1"/>
  <c r="I11" i="6" s="1"/>
  <c r="D10" i="6"/>
  <c r="B25" i="4" s="1"/>
  <c r="D11" i="6" s="1"/>
  <c r="E10" i="6"/>
  <c r="C25" i="4" s="1"/>
  <c r="E11" i="6" s="1"/>
  <c r="K25" i="4"/>
  <c r="M11" i="6" s="1"/>
  <c r="G28" i="3"/>
  <c r="F27" i="3"/>
  <c r="E27" i="3"/>
  <c r="D27" i="3"/>
  <c r="C27" i="3"/>
  <c r="L27" i="3"/>
  <c r="D30" i="3"/>
  <c r="E30" i="3"/>
  <c r="C30" i="3"/>
  <c r="F30" i="3"/>
  <c r="L30" i="3"/>
  <c r="G30" i="3"/>
  <c r="G27" i="3"/>
  <c r="L4" i="3"/>
  <c r="I25" i="4"/>
  <c r="K11" i="6" s="1"/>
  <c r="H25" i="4"/>
  <c r="J11" i="6" s="1"/>
  <c r="J25" i="4"/>
  <c r="L11" i="6" s="1"/>
  <c r="G10" i="1"/>
  <c r="E17" i="4" s="1"/>
  <c r="C4" i="3"/>
  <c r="G20" i="3"/>
  <c r="H28" i="3"/>
  <c r="J28" i="3"/>
  <c r="I28" i="3"/>
  <c r="K28" i="3"/>
  <c r="H29" i="3"/>
  <c r="K29" i="3"/>
  <c r="J29" i="3"/>
  <c r="I29" i="3"/>
  <c r="H27" i="3"/>
  <c r="I27" i="3"/>
  <c r="J27" i="3"/>
  <c r="K27" i="3"/>
  <c r="H30" i="3"/>
  <c r="K30" i="3"/>
  <c r="I30" i="3"/>
  <c r="J30" i="3"/>
  <c r="C3" i="3"/>
  <c r="G19" i="3"/>
  <c r="C6" i="3"/>
  <c r="G22" i="3"/>
  <c r="L6" i="3"/>
  <c r="L7" i="3"/>
  <c r="L3" i="3"/>
  <c r="K17" i="4"/>
  <c r="M11" i="1" s="1"/>
  <c r="J17" i="4"/>
  <c r="L11" i="1" s="1"/>
  <c r="I17" i="4"/>
  <c r="K11" i="1" s="1"/>
  <c r="H18" i="4"/>
  <c r="L18" i="4" s="1"/>
  <c r="H26" i="4"/>
  <c r="L26" i="4" s="1"/>
  <c r="L10" i="3"/>
  <c r="G20" i="2"/>
  <c r="E5" i="3" s="1"/>
  <c r="G22" i="2"/>
  <c r="E7" i="3" s="1"/>
  <c r="F10" i="1"/>
  <c r="D17" i="4" s="1"/>
  <c r="J13" i="3"/>
  <c r="I13" i="3"/>
  <c r="G13" i="3"/>
  <c r="F13" i="3"/>
  <c r="H13" i="3"/>
  <c r="L13" i="3"/>
  <c r="L11" i="3"/>
  <c r="J11" i="3"/>
  <c r="I11" i="3"/>
  <c r="G11" i="3"/>
  <c r="F11" i="3"/>
  <c r="H11" i="3"/>
  <c r="L12" i="3"/>
  <c r="G12" i="3"/>
  <c r="F12" i="3"/>
  <c r="J12" i="3"/>
  <c r="I12" i="3"/>
  <c r="H12" i="3"/>
  <c r="J14" i="3"/>
  <c r="I14" i="3"/>
  <c r="F14" i="3"/>
  <c r="H14" i="3"/>
  <c r="L14" i="3"/>
  <c r="G14" i="3"/>
  <c r="K13" i="3"/>
  <c r="K12" i="3"/>
  <c r="K11" i="3"/>
  <c r="K14" i="3"/>
  <c r="E10" i="1"/>
  <c r="C17" i="4" s="1"/>
  <c r="D10" i="1"/>
  <c r="B17" i="4" s="1"/>
  <c r="I10" i="1"/>
  <c r="H10" i="1"/>
  <c r="F17" i="4" s="1"/>
  <c r="AB20" i="4" l="1"/>
  <c r="AC20" i="4" s="1"/>
  <c r="C7" i="3"/>
  <c r="G23" i="3"/>
  <c r="C5" i="3"/>
  <c r="G21" i="3"/>
  <c r="AC17" i="4"/>
  <c r="H26" i="6"/>
  <c r="F25" i="4"/>
  <c r="F11" i="1"/>
  <c r="E11" i="1"/>
  <c r="H11" i="1"/>
  <c r="D11" i="1"/>
  <c r="AA17" i="4"/>
  <c r="H27" i="1"/>
  <c r="Z20" i="4"/>
  <c r="G17" i="4"/>
  <c r="H17" i="4"/>
  <c r="J11" i="1" s="1"/>
  <c r="G11" i="1"/>
  <c r="L25" i="4" l="1"/>
  <c r="H11" i="6"/>
  <c r="I11" i="1"/>
  <c r="AA20" i="4"/>
  <c r="L17" i="4"/>
  <c r="H27" i="6" l="1"/>
  <c r="AC22" i="4"/>
  <c r="L29" i="4"/>
  <c r="M29" i="4"/>
  <c r="AA22" i="4"/>
  <c r="T26" i="4" s="1"/>
  <c r="L21" i="4"/>
  <c r="C47" i="4" s="1"/>
  <c r="M21" i="4"/>
  <c r="C48" i="4" s="1"/>
  <c r="H28" i="1"/>
  <c r="U26" i="4" l="1"/>
  <c r="AC6" i="4" s="1"/>
  <c r="E48" i="4"/>
  <c r="I28" i="6"/>
  <c r="E47" i="4"/>
  <c r="H28" i="6"/>
  <c r="X6" i="4"/>
  <c r="I29" i="1"/>
  <c r="H29" i="1"/>
  <c r="AE13" i="4" l="1"/>
  <c r="AE8" i="4"/>
  <c r="AE7" i="4"/>
  <c r="AE12" i="4"/>
  <c r="AE10" i="4"/>
  <c r="AE9" i="4"/>
  <c r="AE11" i="4"/>
  <c r="AE6" i="4"/>
  <c r="C31" i="4"/>
  <c r="Z11" i="4"/>
  <c r="Z8" i="4"/>
  <c r="Z13" i="4"/>
  <c r="Z12" i="4"/>
  <c r="Z10" i="4"/>
  <c r="Z7" i="4"/>
  <c r="Z6" i="4"/>
  <c r="Z9" i="4"/>
  <c r="C37" i="4"/>
  <c r="V18" i="4" l="1"/>
  <c r="W18" i="4"/>
  <c r="D34" i="4"/>
  <c r="D40" i="4"/>
  <c r="AC18" i="4"/>
  <c r="AA19" i="4"/>
  <c r="AC19" i="4" s="1"/>
  <c r="C33" i="4"/>
  <c r="A34" i="4" s="1"/>
  <c r="AA18" i="4"/>
  <c r="T23" i="4" s="1"/>
  <c r="C39" i="4"/>
  <c r="A40" i="4" s="1"/>
  <c r="AB21" i="4" l="1"/>
  <c r="Z21" i="4"/>
  <c r="T27" i="4" s="1"/>
  <c r="AC21" i="4" l="1"/>
  <c r="U27" i="4"/>
  <c r="AA21" i="4"/>
  <c r="T24" i="4" s="1"/>
  <c r="T25" i="4" s="1"/>
  <c r="U25" i="4" s="1"/>
  <c r="W7" i="4" l="1"/>
  <c r="W8" i="4"/>
  <c r="W9" i="4"/>
  <c r="W10" i="4"/>
  <c r="W11" i="4"/>
  <c r="W12" i="4"/>
  <c r="W13" i="4"/>
  <c r="W6" i="4"/>
  <c r="AB11" i="4" l="1"/>
  <c r="AD11" i="4" s="1"/>
  <c r="AF11" i="4" s="1"/>
  <c r="AB6" i="4"/>
  <c r="AD6" i="4" s="1"/>
  <c r="AF6" i="4" s="1"/>
  <c r="AB9" i="4"/>
  <c r="AD9" i="4" s="1"/>
  <c r="AF9" i="4" s="1"/>
  <c r="AB13" i="4"/>
  <c r="AD13" i="4" s="1"/>
  <c r="AF13" i="4" s="1"/>
  <c r="AB12" i="4"/>
  <c r="AD12" i="4" s="1"/>
  <c r="AF12" i="4" s="1"/>
  <c r="AB10" i="4"/>
  <c r="AD10" i="4" s="1"/>
  <c r="AB8" i="4"/>
  <c r="AD8" i="4" s="1"/>
  <c r="AF8" i="4" s="1"/>
  <c r="AB7" i="4"/>
  <c r="AD7" i="4" s="1"/>
  <c r="AF7" i="4" s="1"/>
  <c r="Y8" i="4"/>
  <c r="AA8" i="4" s="1"/>
  <c r="Y10" i="4"/>
  <c r="Y9" i="4"/>
  <c r="AA9" i="4" s="1"/>
  <c r="Y12" i="4"/>
  <c r="AA12" i="4" s="1"/>
  <c r="Y11" i="4"/>
  <c r="AA11" i="4" s="1"/>
  <c r="Y7" i="4"/>
  <c r="AA7" i="4" s="1"/>
  <c r="Y6" i="4"/>
  <c r="AA6" i="4" s="1"/>
  <c r="Y13" i="4"/>
  <c r="AA13" i="4" s="1"/>
  <c r="W17" i="4" l="1"/>
  <c r="W19" i="4" s="1"/>
  <c r="G40" i="4" s="1"/>
  <c r="A41" i="4" s="1"/>
  <c r="AF10" i="4"/>
  <c r="AA10" i="4"/>
  <c r="V17" i="4"/>
  <c r="V19" i="4" s="1"/>
  <c r="G34" i="4" l="1"/>
  <c r="A35" i="4" s="1"/>
  <c r="C43" i="4" s="1"/>
  <c r="W4" i="7" s="1"/>
  <c r="K25" i="1" l="1"/>
  <c r="K24" i="6"/>
</calcChain>
</file>

<file path=xl/sharedStrings.xml><?xml version="1.0" encoding="utf-8"?>
<sst xmlns="http://schemas.openxmlformats.org/spreadsheetml/2006/main" count="627" uniqueCount="314">
  <si>
    <t>Signal\Sign #2</t>
  </si>
  <si>
    <t>Signal\Sign #3</t>
  </si>
  <si>
    <t>Signal\Sign #4</t>
  </si>
  <si>
    <t>Signal\Sign #5</t>
  </si>
  <si>
    <t>Signal\Sign #6</t>
  </si>
  <si>
    <t>Signal\Sign #8</t>
  </si>
  <si>
    <t>X Arm</t>
  </si>
  <si>
    <t>Y Arm</t>
  </si>
  <si>
    <t>Width</t>
  </si>
  <si>
    <t>Height</t>
  </si>
  <si>
    <t>Width Center</t>
  </si>
  <si>
    <t>Height Center</t>
  </si>
  <si>
    <t>Graph X</t>
  </si>
  <si>
    <t>Graph Y</t>
  </si>
  <si>
    <t>Sign Width (in.)</t>
  </si>
  <si>
    <t>Sign Height (in.)</t>
  </si>
  <si>
    <t>Signal\Sign #10</t>
  </si>
  <si>
    <t>Slope</t>
  </si>
  <si>
    <t>Length</t>
  </si>
  <si>
    <t>Tip Center</t>
  </si>
  <si>
    <t>None</t>
  </si>
  <si>
    <t>Area (SF)</t>
  </si>
  <si>
    <t>Area</t>
  </si>
  <si>
    <t>Arm Lengths</t>
  </si>
  <si>
    <t>Total Arm Length (ft)</t>
  </si>
  <si>
    <t>Regular</t>
  </si>
  <si>
    <t>Wind Speed</t>
  </si>
  <si>
    <t>mph</t>
  </si>
  <si>
    <t>Signal Orientation</t>
  </si>
  <si>
    <t>Back Plates</t>
  </si>
  <si>
    <t>1=Yes, 2=No</t>
  </si>
  <si>
    <t>1=Vertical, 2=Horizontal</t>
  </si>
  <si>
    <t>Arm Length</t>
  </si>
  <si>
    <t>3 Head</t>
  </si>
  <si>
    <t>Horizontal w/ Back Plate</t>
  </si>
  <si>
    <t>Horizontal w/o Back Plate</t>
  </si>
  <si>
    <t>Vertical w/o Back Plate</t>
  </si>
  <si>
    <t>Vertical w/ Back Plate</t>
  </si>
  <si>
    <t>4 Head</t>
  </si>
  <si>
    <t>5 Head</t>
  </si>
  <si>
    <t>Doghouse</t>
  </si>
  <si>
    <t>Signal\Sign #7</t>
  </si>
  <si>
    <t>X Pole</t>
  </si>
  <si>
    <t>Y Pole</t>
  </si>
  <si>
    <t>Signal\Sign #1</t>
  </si>
  <si>
    <t>Signal\Sign #9</t>
  </si>
  <si>
    <t>Heavy Duty</t>
  </si>
  <si>
    <t>Wall Thickness (in)</t>
  </si>
  <si>
    <t>S 
(in3)</t>
  </si>
  <si>
    <t>Z 
(in3)</t>
  </si>
  <si>
    <t>Mr=φMn
(kip*ft)</t>
  </si>
  <si>
    <t>Sign/Sig 
Mwl 
(kip*ft)</t>
  </si>
  <si>
    <r>
      <t>Sign/Signal 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 xml:space="preserve"> (kip*ft) </t>
    </r>
  </si>
  <si>
    <r>
      <t>Arm 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 xml:space="preserve"> (kip*ft) 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</si>
  <si>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=φM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
(kip*ft)</t>
    </r>
  </si>
  <si>
    <t>Sign/Sig. Wind Pressure (psf)</t>
  </si>
  <si>
    <r>
      <t>M</t>
    </r>
    <r>
      <rPr>
        <vertAlign val="subscript"/>
        <sz val="11"/>
        <color theme="1"/>
        <rFont val="Calibri"/>
        <family val="2"/>
        <scheme val="minor"/>
      </rPr>
      <t>wl</t>
    </r>
    <r>
      <rPr>
        <sz val="11"/>
        <color theme="1"/>
        <rFont val="Calibri"/>
        <family val="2"/>
        <scheme val="minor"/>
      </rPr>
      <t>. (kip*ft)</t>
    </r>
  </si>
  <si>
    <t>Dist from Pole (ft.)</t>
  </si>
  <si>
    <t>Dia. at Arm Base (in)</t>
  </si>
  <si>
    <r>
      <t>Total Moment (M</t>
    </r>
    <r>
      <rPr>
        <vertAlign val="subscript"/>
        <sz val="11"/>
        <color theme="1"/>
        <rFont val="Calibri"/>
        <family val="2"/>
        <scheme val="minor"/>
      </rPr>
      <t>extreme</t>
    </r>
    <r>
      <rPr>
        <sz val="11"/>
        <color theme="1"/>
        <rFont val="Calibri"/>
        <family val="2"/>
        <scheme val="minor"/>
      </rPr>
      <t>)</t>
    </r>
  </si>
  <si>
    <t>Weight</t>
  </si>
  <si>
    <t>Tube Wind Pressure (psf)</t>
  </si>
  <si>
    <t>Fy 
(ksi)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</si>
  <si>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dl</t>
    </r>
    <r>
      <rPr>
        <b/>
        <sz val="11"/>
        <color theme="1"/>
        <rFont val="Calibri"/>
        <family val="2"/>
        <scheme val="minor"/>
      </rPr>
      <t xml:space="preserve">
(kip*ft)</t>
    </r>
  </si>
  <si>
    <t>Total</t>
  </si>
  <si>
    <t>Design Standard Index 17743</t>
  </si>
  <si>
    <r>
      <t>Resistance (M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=</t>
    </r>
    <r>
      <rPr>
        <sz val="11"/>
        <color theme="1"/>
        <rFont val="Calibri"/>
        <family val="2"/>
      </rPr>
      <t>φM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) (kip*ft)</t>
    </r>
  </si>
  <si>
    <r>
      <t>1.1*Arm M</t>
    </r>
    <r>
      <rPr>
        <vertAlign val="subscript"/>
        <sz val="11"/>
        <color theme="1"/>
        <rFont val="Calibri"/>
        <family val="2"/>
        <scheme val="minor"/>
      </rPr>
      <t>dl</t>
    </r>
    <r>
      <rPr>
        <sz val="11"/>
        <color theme="1"/>
        <rFont val="Calibri"/>
        <family val="2"/>
        <scheme val="minor"/>
      </rPr>
      <t xml:space="preserve"> (kip*ft) </t>
    </r>
  </si>
  <si>
    <r>
      <t>1.1*Sign/Signal M</t>
    </r>
    <r>
      <rPr>
        <vertAlign val="subscript"/>
        <sz val="10"/>
        <color theme="1"/>
        <rFont val="Calibri"/>
        <family val="2"/>
        <scheme val="minor"/>
      </rPr>
      <t>dl</t>
    </r>
    <r>
      <rPr>
        <sz val="10"/>
        <color theme="1"/>
        <rFont val="Calibri"/>
        <family val="2"/>
        <scheme val="minor"/>
      </rPr>
      <t xml:space="preserve"> (kip*ft) </t>
    </r>
  </si>
  <si>
    <t>Sign/Sig 
1.1*Mdl
(kip*ft)</t>
  </si>
  <si>
    <t>Diameter</t>
  </si>
  <si>
    <t>Index 17743 Drilled Shaft Capacities</t>
  </si>
  <si>
    <t>Extreme Event Arm Moment (kip*ft)</t>
  </si>
  <si>
    <t xml:space="preserve">Assumptions: </t>
  </si>
  <si>
    <t>Run the FDOT Mast Arm Mathcad Program for more accurate results.</t>
  </si>
  <si>
    <t>DS/20/5</t>
  </si>
  <si>
    <t>DS/18/5</t>
  </si>
  <si>
    <t>DS/16/5</t>
  </si>
  <si>
    <t>DS/16/4.5</t>
  </si>
  <si>
    <t>DS/14/5</t>
  </si>
  <si>
    <t>DS/14/4.5</t>
  </si>
  <si>
    <t>DS/12/4.5</t>
  </si>
  <si>
    <t>DS/12/4</t>
  </si>
  <si>
    <t>ID</t>
  </si>
  <si>
    <t>Load Case</t>
  </si>
  <si>
    <t>Luminaire</t>
  </si>
  <si>
    <t>1=No, 2=Yes</t>
  </si>
  <si>
    <t>Pole Designation</t>
  </si>
  <si>
    <t>Drilled Shaft</t>
  </si>
  <si>
    <t>DS</t>
  </si>
  <si>
    <t>Button Index</t>
  </si>
  <si>
    <t>Value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</si>
  <si>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wl 130mph</t>
    </r>
    <r>
      <rPr>
        <b/>
        <sz val="11"/>
        <color theme="1"/>
        <rFont val="Calibri"/>
        <family val="2"/>
        <scheme val="minor"/>
      </rPr>
      <t xml:space="preserve">
(kip*ft)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</si>
  <si>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wl 130 mph</t>
    </r>
    <r>
      <rPr>
        <b/>
        <sz val="11"/>
        <color theme="1"/>
        <rFont val="Calibri"/>
        <family val="2"/>
        <scheme val="minor"/>
      </rPr>
      <t xml:space="preserve">
(kip*ft)</t>
    </r>
  </si>
  <si>
    <t>Est. Regular Arm CFI</t>
  </si>
  <si>
    <t>Est. HD Arm CFI</t>
  </si>
  <si>
    <t>Shaft 
2-Arm Factor</t>
  </si>
  <si>
    <t>Shear</t>
  </si>
  <si>
    <t>N/A</t>
  </si>
  <si>
    <t>Torsion</t>
  </si>
  <si>
    <t>Moment dl</t>
  </si>
  <si>
    <t>Moment wl</t>
  </si>
  <si>
    <t>Moment Total</t>
  </si>
  <si>
    <t>Check Torsion</t>
  </si>
  <si>
    <t xml:space="preserve">Check </t>
  </si>
  <si>
    <t>Pole Base Shears &amp; Moments</t>
  </si>
  <si>
    <t>Min Shaft Diameter</t>
  </si>
  <si>
    <t>Check Mom. &amp; Min Dia.</t>
  </si>
  <si>
    <t>Reg Arm / HD Arm</t>
  </si>
  <si>
    <t>Foundation is cohesionless with a friction angle of 30 degree, N=15, Unit weight of soil = 50 pcf.</t>
  </si>
  <si>
    <t>Part 4 is the Drilled Shaft: DS/xx/y where xx is the shaft length and y is the shaft diameter.</t>
  </si>
  <si>
    <t>Mast Arm Assembly ID consists of three parts for a single arm and 4 parts for a double Arm.  Each part is separated by "-".</t>
  </si>
  <si>
    <t>Part 3 is the Pole: Px/y/z where x is the pole ID, y is "S" for single arm or "D" for double arms and z is "L" for luminaire or blank for no luminaire.</t>
  </si>
  <si>
    <t>Notes:</t>
  </si>
  <si>
    <t>dl att</t>
  </si>
  <si>
    <t>dl arm</t>
  </si>
  <si>
    <t>wl pole</t>
  </si>
  <si>
    <t>wl att</t>
  </si>
  <si>
    <t>wl arm</t>
  </si>
  <si>
    <t>Design Aid for FDOT Design Standard 17743 Standard Mast Arm Assemblies</t>
  </si>
  <si>
    <t>Index</t>
  </si>
  <si>
    <t>Design Arm Designation</t>
  </si>
  <si>
    <t>Directions</t>
  </si>
  <si>
    <t>2md Arm ID</t>
  </si>
  <si>
    <t>User Selection</t>
  </si>
  <si>
    <t xml:space="preserve">Forces at Top of DS </t>
  </si>
  <si>
    <t>One Arm</t>
  </si>
  <si>
    <t>Two Arms</t>
  </si>
  <si>
    <t>b.  Distance to the signal/sign, type of signal/sign, sign width and height.</t>
  </si>
  <si>
    <t>c.  Distance to the signal/sign, type of signal/sign, sign width and height.</t>
  </si>
  <si>
    <t>All new Mast Arm Assemblies should be designed with backplates.</t>
  </si>
  <si>
    <t>One Arm Mast Arm Assembly</t>
  </si>
  <si>
    <t>Two Arm Mast Arm Assembly</t>
  </si>
  <si>
    <t>For new designs, always design with backplates and luminaire</t>
  </si>
  <si>
    <t>wall thk   (in)</t>
  </si>
  <si>
    <t>base dia (in)</t>
  </si>
  <si>
    <t>Arm to pole connection is at 22 ft.</t>
  </si>
  <si>
    <t>No foundation offset is considered.  If the top of drilled shaft &gt; 2 feet above ground, run the Mathcad Mast Arm Program.</t>
  </si>
  <si>
    <t>A30/D/H</t>
  </si>
  <si>
    <t>A40/D</t>
  </si>
  <si>
    <t>A40/D/H</t>
  </si>
  <si>
    <t>A50/D</t>
  </si>
  <si>
    <t>A50/D/H</t>
  </si>
  <si>
    <t>A60/D</t>
  </si>
  <si>
    <t>A60/D/H</t>
  </si>
  <si>
    <t>A70/D</t>
  </si>
  <si>
    <t>A70/D/H</t>
  </si>
  <si>
    <t>A78/D</t>
  </si>
  <si>
    <t>A78/D/H</t>
  </si>
  <si>
    <t>Arm Axial and Shear force ratios are no more than 5% of the CFI (i.e. Mu/Mn ≤ 0.95).</t>
  </si>
  <si>
    <t>Pole ID</t>
  </si>
  <si>
    <t>For two arm mast arms, the foundation torsion and overturning moments are 1.4 times the single arm torsion and overturning moments.</t>
  </si>
  <si>
    <t>Max Design CFI %</t>
  </si>
  <si>
    <t>Arm Axial and Shear force ratios are no more than 2% of the CFI (i.e. Mu/Mn ≤ 0.95).</t>
  </si>
  <si>
    <t>Tip Dia</t>
  </si>
  <si>
    <t>Values for Arm Graph</t>
  </si>
  <si>
    <t>For two arm mast arms, the foundation torsion and overturning moments are 1.4 times the torsion and overturning moment caused by the longer arm alone.</t>
  </si>
  <si>
    <t>A30/D</t>
  </si>
  <si>
    <t>Arm 1 Length, Signal/Sign Location and Size</t>
  </si>
  <si>
    <t>Arm 1 Length (ft)</t>
  </si>
  <si>
    <t>Arm 1 Loads</t>
  </si>
  <si>
    <t>Arm 2 Length (ft)</t>
  </si>
  <si>
    <t>Arm 2 Length, Signal/Sign Location and Size</t>
  </si>
  <si>
    <t>Arm 2 Loads</t>
  </si>
  <si>
    <t>Arm 1 Length</t>
  </si>
  <si>
    <t>Arm 2 Length</t>
  </si>
  <si>
    <t>Arm 1</t>
  </si>
  <si>
    <t>Arm 2</t>
  </si>
  <si>
    <t>Arm Without Attachments: Dead Load Moment, Wind Load Moment and Moment Capacity at Base Connection</t>
  </si>
  <si>
    <t>Arm 1 Attachments: Extreme Event Dead Load Moment, Wind Load Moment at Base Connection</t>
  </si>
  <si>
    <t>Arm 2 Attachments: Extreme Event Dead Load Moment, Wind Load Moment at Base Connection</t>
  </si>
  <si>
    <t>Arm 1
Mwl 
(kip*ft)</t>
  </si>
  <si>
    <t>Arm 1
1.1*Mdl
(kip*ft)</t>
  </si>
  <si>
    <t>Arm 2
Mwl 
(kip*ft)</t>
  </si>
  <si>
    <t>Arm 2
1.1*Mdl
(kip*ft)</t>
  </si>
  <si>
    <t>Arm 1 - Sign 10</t>
  </si>
  <si>
    <t>Arm 1 - Sign 9</t>
  </si>
  <si>
    <t>Arm 1 - Sign 8</t>
  </si>
  <si>
    <t>Arm 1 - Sign 7</t>
  </si>
  <si>
    <t>Arm 1 - Sign 6</t>
  </si>
  <si>
    <t>Arm 1 - Sign 4</t>
  </si>
  <si>
    <t>Arm 1 - Sign 3</t>
  </si>
  <si>
    <t>Arm 1 - Sign 2</t>
  </si>
  <si>
    <t>Arm 1 - Sign 1</t>
  </si>
  <si>
    <t>Arm - Sign 5</t>
  </si>
  <si>
    <t>Arm 2 - Sign 1</t>
  </si>
  <si>
    <t>Arm 2 - Sign 2</t>
  </si>
  <si>
    <t>Arm 2 - Sign 3</t>
  </si>
  <si>
    <t>Arm 2 - Sign 10</t>
  </si>
  <si>
    <t>Arm 2 - Sign 9</t>
  </si>
  <si>
    <t>Arm 2 - Sign 8</t>
  </si>
  <si>
    <t>Arm 2 - Sign 7</t>
  </si>
  <si>
    <t>Arm 2 - Sign 6</t>
  </si>
  <si>
    <t>Arm 2 - Sign 5</t>
  </si>
  <si>
    <t>Arm 2 - Sign 4</t>
  </si>
  <si>
    <t>ARM 1</t>
  </si>
  <si>
    <t>ARM 2</t>
  </si>
  <si>
    <t>Assembly ID</t>
  </si>
  <si>
    <t>1 Arm Assembly</t>
  </si>
  <si>
    <t>2 Arm Assembly</t>
  </si>
  <si>
    <t>Arm Length(s)</t>
  </si>
  <si>
    <t>DS 
Index #</t>
  </si>
  <si>
    <t>1 Arm DS
Index #</t>
  </si>
  <si>
    <t>2 Arm DS
Index #</t>
  </si>
  <si>
    <t>Drilled Shaft Index req'd for Torsion</t>
  </si>
  <si>
    <t>Required Drilled Shaft Index Number Required (see Table for size)</t>
  </si>
  <si>
    <t>ID No.</t>
  </si>
  <si>
    <t>Total Arm Length</t>
  </si>
  <si>
    <t>Paint Color</t>
  </si>
  <si>
    <t>Arm 1 Shear</t>
  </si>
  <si>
    <t>Arm 1 Moment</t>
  </si>
  <si>
    <t>Arm 2 Shear</t>
  </si>
  <si>
    <t>Arm 2 Moment</t>
  </si>
  <si>
    <t>Station</t>
  </si>
  <si>
    <t>Arm 2 length is always equal to or smaller than Arm 1 length.</t>
  </si>
  <si>
    <t>a.  Wind Speed, Luminaire? = "Yes".</t>
  </si>
  <si>
    <t>b. Arm Length, Signal Orientation, Backplates = "Yes".</t>
  </si>
  <si>
    <t>a. Arm Length.</t>
  </si>
  <si>
    <t>Arm 2 is always equal to or smaller than Arm 1</t>
  </si>
  <si>
    <t>Part 1 is Arm 1: Axx/y/z, where xx is the arm length, y is "S" for single arm or "D" for double arms and z is "H" for heavy duty arm or blank for regular arm.</t>
  </si>
  <si>
    <t>Part 2 is Arm 2 and has the same nomenclature as the 1st arm.  For single arm assemblies, Part 2 is omitted.</t>
  </si>
  <si>
    <r>
      <t xml:space="preserve">1. In the </t>
    </r>
    <r>
      <rPr>
        <b/>
        <i/>
        <sz val="12"/>
        <rFont val="Times New Roman"/>
        <family val="1"/>
      </rPr>
      <t>Arm1Design</t>
    </r>
    <r>
      <rPr>
        <sz val="12"/>
        <rFont val="Times New Roman"/>
        <family val="1"/>
      </rPr>
      <t xml:space="preserve"> tab, enter the following data:</t>
    </r>
  </si>
  <si>
    <r>
      <t xml:space="preserve">1. In the </t>
    </r>
    <r>
      <rPr>
        <b/>
        <i/>
        <sz val="12"/>
        <rFont val="Times New Roman"/>
        <family val="1"/>
      </rPr>
      <t>Arm1Design</t>
    </r>
    <r>
      <rPr>
        <sz val="12"/>
        <rFont val="Times New Roman"/>
        <family val="1"/>
      </rPr>
      <t xml:space="preserve"> tab, enter the Arm 1 data (see above).</t>
    </r>
  </si>
  <si>
    <r>
      <t>2.  In the</t>
    </r>
    <r>
      <rPr>
        <b/>
        <i/>
        <sz val="12"/>
        <rFont val="Times New Roman"/>
        <family val="1"/>
      </rPr>
      <t xml:space="preserve"> Arm2Design</t>
    </r>
    <r>
      <rPr>
        <sz val="12"/>
        <rFont val="Times New Roman"/>
        <family val="1"/>
      </rPr>
      <t xml:space="preserve"> tab, enter the following data .</t>
    </r>
  </si>
  <si>
    <r>
      <t xml:space="preserve">a.  The Mast Arm Assembly ID is shown in the bottom right corner on the </t>
    </r>
    <r>
      <rPr>
        <b/>
        <i/>
        <sz val="12"/>
        <color theme="1"/>
        <rFont val="Times New Roman"/>
        <family val="1"/>
      </rPr>
      <t>Arm1Design</t>
    </r>
    <r>
      <rPr>
        <sz val="12"/>
        <color theme="1"/>
        <rFont val="Times New Roman"/>
        <family val="1"/>
      </rPr>
      <t xml:space="preserve"> tab..</t>
    </r>
  </si>
  <si>
    <t>TabulationSheet Tab</t>
  </si>
  <si>
    <t>1. Ffill out the remaiming fields for the Mast Arm Assembly</t>
  </si>
  <si>
    <t>2.  Cut and paste both rows of data down the sheet . Paste columns A-M first then N-Y second.  Paste the data using Values(V).</t>
  </si>
  <si>
    <r>
      <t xml:space="preserve">3.  The Mast Arm Assembly ID is shown in the bottom right corner on the </t>
    </r>
    <r>
      <rPr>
        <b/>
        <i/>
        <sz val="12"/>
        <color theme="1"/>
        <rFont val="Times New Roman"/>
        <family val="1"/>
      </rPr>
      <t>Arm2Design</t>
    </r>
    <r>
      <rPr>
        <sz val="12"/>
        <color theme="1"/>
        <rFont val="Times New Roman"/>
        <family val="1"/>
      </rPr>
      <t xml:space="preserve"> tab..</t>
    </r>
  </si>
  <si>
    <r>
      <t xml:space="preserve">2. In the </t>
    </r>
    <r>
      <rPr>
        <b/>
        <i/>
        <sz val="12"/>
        <rFont val="Times New Roman"/>
        <family val="1"/>
      </rPr>
      <t>Arm2Design</t>
    </r>
    <r>
      <rPr>
        <sz val="12"/>
        <rFont val="Times New Roman"/>
        <family val="1"/>
      </rPr>
      <t xml:space="preserve"> tab, enter "None" for the "Arm 2 Length".</t>
    </r>
  </si>
  <si>
    <t>All new Mast Arm Assemblies are designed for luminaire forces (allowance for future retrofits).</t>
  </si>
  <si>
    <t>Note: Poles are designed to have a smaller CFI than Arms</t>
  </si>
  <si>
    <t>Arm CFI is the controlling component of the Mast Arm Assembly.</t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</si>
  <si>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</si>
  <si>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Calibri"/>
        <family val="2"/>
        <scheme val="minor"/>
      </rPr>
      <t>T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</si>
  <si>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+
P</t>
    </r>
    <r>
      <rPr>
        <b/>
        <vertAlign val="subscript"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*L</t>
    </r>
    <r>
      <rPr>
        <b/>
        <vertAlign val="subscript"/>
        <sz val="11"/>
        <color theme="1"/>
        <rFont val="Calibri"/>
        <family val="2"/>
        <scheme val="minor"/>
      </rPr>
      <t>shaft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</si>
  <si>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u</t>
    </r>
  </si>
  <si>
    <t xml:space="preserve">Signal/ Sign 10 </t>
  </si>
  <si>
    <t xml:space="preserve">Signal/ Sign 9 </t>
  </si>
  <si>
    <t>Signal/ Sign 8</t>
  </si>
  <si>
    <t>Signal/ Sign 7</t>
  </si>
  <si>
    <t>Signal/ Sign 6</t>
  </si>
  <si>
    <t xml:space="preserve">Signal/ Sign 5 </t>
  </si>
  <si>
    <t xml:space="preserve">Signal/ Sign 4 </t>
  </si>
  <si>
    <t>Signal/ Sign 3</t>
  </si>
  <si>
    <t>Signal/ Sign 2</t>
  </si>
  <si>
    <t>Signal/ Sign 1</t>
  </si>
  <si>
    <t>2 Arm Assembly Loads and Capacity Check</t>
  </si>
  <si>
    <t>1 Arm Assembly Loads And Capacity Check</t>
  </si>
  <si>
    <t>Ensures anchor bolts fit inside rebar cage</t>
  </si>
  <si>
    <t>assume a 37.5' pole wl with lum</t>
  </si>
  <si>
    <t>Sheet No.</t>
  </si>
  <si>
    <t>Ped. Signal Yes/No</t>
  </si>
  <si>
    <t>Top of Shaft Elev.</t>
  </si>
  <si>
    <t>Mast Arm Assembly General Information</t>
  </si>
  <si>
    <t>Rdwy Crown Elev.</t>
  </si>
  <si>
    <t>Signal/Sign 1</t>
  </si>
  <si>
    <t>Signal/Sign 2</t>
  </si>
  <si>
    <t>Signal/Sign 3</t>
  </si>
  <si>
    <t>Signal/Sign 4</t>
  </si>
  <si>
    <t>Signal/Sign 5</t>
  </si>
  <si>
    <t>Signal/Sign 6</t>
  </si>
  <si>
    <t>Signal/Sign 7</t>
  </si>
  <si>
    <t>Signal/Sign 8</t>
  </si>
  <si>
    <t>Signal/Sign 9</t>
  </si>
  <si>
    <t>Signal/Sign 10</t>
  </si>
  <si>
    <t xml:space="preserve">Mast Arm Assembly Designation 
&amp; Dimensions (17743 &amp; 5) </t>
  </si>
  <si>
    <t xml:space="preserve"> Mast Arm Assembly Optional Dimensions (17745) and Special Instructions</t>
  </si>
  <si>
    <t>Signal 
Vert/Horiz</t>
  </si>
  <si>
    <t>Backplates 
Yes/No</t>
  </si>
  <si>
    <t>Luminaire
Yes/No</t>
  </si>
  <si>
    <t>Roadway Arm #</t>
  </si>
  <si>
    <t>Custom Arm Length, Pole Height &amp; Shaft</t>
  </si>
  <si>
    <t>Signal/Sign 10 Global X</t>
  </si>
  <si>
    <t>Signal/Sign 9 Global X</t>
  </si>
  <si>
    <t>Signal/Sign 8 Global X</t>
  </si>
  <si>
    <t>Signal/Sign 7 Global X</t>
  </si>
  <si>
    <t>Signal/Sign 6 Global X</t>
  </si>
  <si>
    <t>Signal/Sign 5 Global X</t>
  </si>
  <si>
    <t>Signal/Sign 4 Global X</t>
  </si>
  <si>
    <t>Signal/Sign 3 Global X</t>
  </si>
  <si>
    <t>Signal/Sign 2 Global X</t>
  </si>
  <si>
    <t>Signal/Sign 1 Global X</t>
  </si>
  <si>
    <t>Signal/Sign 10 Global Y</t>
  </si>
  <si>
    <t>Signal/Sign 9 Global Y</t>
  </si>
  <si>
    <t>Signal/Sign 8 Global Y</t>
  </si>
  <si>
    <t>Signal/Sign 7 Global Y</t>
  </si>
  <si>
    <t>Signal/Sign 6 Global Y</t>
  </si>
  <si>
    <t>Signal/Sign 5 Global Y</t>
  </si>
  <si>
    <t>Signal/Sign 4 Global Y</t>
  </si>
  <si>
    <t>Signal/Sign 3 Global Y</t>
  </si>
  <si>
    <t>Signal/Sign 2 Global Y</t>
  </si>
  <si>
    <t>Signal/Sign 1 Global Y</t>
  </si>
  <si>
    <t>Signal/Sign Location (Distance from CL of Pole) and Size (# Heads or Sign Width x Height)</t>
  </si>
  <si>
    <t>Ped. Button</t>
  </si>
  <si>
    <t>Ped.  Signals</t>
  </si>
  <si>
    <t xml:space="preserve">used for OT &amp; Torsion </t>
  </si>
  <si>
    <t>Standard Mast Arm 
Assembly Designation</t>
  </si>
  <si>
    <t>Mast Arm Assembly Information</t>
  </si>
  <si>
    <t>Arm Mounting Ht. 
'UB' (ft)</t>
  </si>
  <si>
    <t>2 Arm Angle 
'UF' (deg)</t>
  </si>
  <si>
    <t>Lum. Angle 
'LL' (deg)</t>
  </si>
  <si>
    <t>Arm 1 Length
'FAA' (ft.)</t>
  </si>
  <si>
    <t>Arm 2 Length
'SAA' (ft.)</t>
  </si>
  <si>
    <t>Pole Height
'UAA' (ft.)</t>
  </si>
  <si>
    <t>Shaft Length
'DA' (ft.)</t>
  </si>
  <si>
    <t>Shaft Dia.
'DB' (ft.)</t>
  </si>
  <si>
    <t>Shaft Bar#
'RA'</t>
  </si>
  <si>
    <t>Shaft No. Bars
'RB'</t>
  </si>
  <si>
    <t>Shaft Tie Sp.
'RD' (in.)</t>
  </si>
  <si>
    <t>Shaft Tie No. Sp. 'RC'</t>
  </si>
  <si>
    <t>Handhole Loc.</t>
  </si>
  <si>
    <t>Tor wl att</t>
  </si>
  <si>
    <t>Tor wl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</si>
</sst>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u/>
      <sz val="20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FDOT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4">
    <xf numFmtId="0" fontId="0" fillId="0" borderId="0" xfId="0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10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0" fillId="0" borderId="20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0" fontId="0" fillId="0" borderId="0" xfId="0" applyFill="1" applyBorder="1"/>
    <xf numFmtId="164" fontId="0" fillId="0" borderId="1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1" fillId="12" borderId="39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0" fillId="11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15" borderId="0" xfId="0" applyFill="1" applyBorder="1" applyAlignment="1" applyProtection="1">
      <alignment horizontal="center" vertical="center"/>
      <protection locked="0"/>
    </xf>
    <xf numFmtId="0" fontId="0" fillId="14" borderId="0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9" borderId="28" xfId="0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 applyProtection="1">
      <alignment horizontal="left" vertical="top" wrapText="1"/>
      <protection locked="0"/>
    </xf>
    <xf numFmtId="0" fontId="0" fillId="13" borderId="0" xfId="0" applyFill="1" applyBorder="1" applyAlignment="1" applyProtection="1">
      <alignment horizontal="center" vertical="center"/>
      <protection locked="0"/>
    </xf>
    <xf numFmtId="0" fontId="0" fillId="8" borderId="0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1" fontId="4" fillId="0" borderId="26" xfId="0" applyNumberFormat="1" applyFont="1" applyFill="1" applyBorder="1" applyAlignment="1" applyProtection="1">
      <alignment horizontal="center" vertical="center"/>
      <protection locked="0"/>
    </xf>
    <xf numFmtId="1" fontId="4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164" fontId="0" fillId="0" borderId="27" xfId="0" applyNumberFormat="1" applyBorder="1" applyAlignment="1" applyProtection="1">
      <alignment horizontal="center"/>
    </xf>
    <xf numFmtId="164" fontId="0" fillId="0" borderId="31" xfId="0" applyNumberFormat="1" applyBorder="1" applyAlignment="1" applyProtection="1">
      <alignment horizontal="center"/>
    </xf>
    <xf numFmtId="1" fontId="0" fillId="0" borderId="32" xfId="0" applyNumberFormat="1" applyBorder="1" applyAlignment="1" applyProtection="1">
      <alignment horizontal="center" vertical="center"/>
    </xf>
    <xf numFmtId="1" fontId="0" fillId="11" borderId="3" xfId="0" applyNumberFormat="1" applyFill="1" applyBorder="1" applyAlignment="1" applyProtection="1">
      <alignment horizontal="center" vertical="center"/>
    </xf>
    <xf numFmtId="165" fontId="0" fillId="11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0" xfId="0" applyFont="1"/>
    <xf numFmtId="0" fontId="0" fillId="11" borderId="13" xfId="0" applyFill="1" applyBorder="1" applyProtection="1">
      <protection locked="0"/>
    </xf>
    <xf numFmtId="0" fontId="0" fillId="11" borderId="21" xfId="0" applyFill="1" applyBorder="1" applyProtection="1">
      <protection locked="0"/>
    </xf>
    <xf numFmtId="0" fontId="5" fillId="11" borderId="21" xfId="0" applyFont="1" applyFill="1" applyBorder="1" applyAlignment="1" applyProtection="1">
      <alignment vertical="center" wrapText="1"/>
      <protection locked="0"/>
    </xf>
    <xf numFmtId="0" fontId="0" fillId="11" borderId="14" xfId="0" applyFill="1" applyBorder="1" applyProtection="1">
      <protection locked="0"/>
    </xf>
    <xf numFmtId="0" fontId="0" fillId="11" borderId="44" xfId="0" applyFill="1" applyBorder="1" applyProtection="1">
      <protection locked="0"/>
    </xf>
    <xf numFmtId="0" fontId="0" fillId="11" borderId="45" xfId="0" applyFill="1" applyBorder="1" applyAlignment="1" applyProtection="1">
      <alignment vertical="center"/>
      <protection locked="0"/>
    </xf>
    <xf numFmtId="0" fontId="0" fillId="11" borderId="45" xfId="0" applyFill="1" applyBorder="1" applyProtection="1">
      <protection locked="0"/>
    </xf>
    <xf numFmtId="0" fontId="0" fillId="0" borderId="44" xfId="0" applyBorder="1" applyProtection="1">
      <protection locked="0"/>
    </xf>
    <xf numFmtId="0" fontId="0" fillId="11" borderId="46" xfId="0" applyFill="1" applyBorder="1" applyProtection="1">
      <protection locked="0"/>
    </xf>
    <xf numFmtId="0" fontId="0" fillId="11" borderId="34" xfId="0" applyFill="1" applyBorder="1" applyProtection="1">
      <protection locked="0"/>
    </xf>
    <xf numFmtId="0" fontId="0" fillId="11" borderId="22" xfId="0" applyFill="1" applyBorder="1" applyProtection="1">
      <protection locked="0"/>
    </xf>
    <xf numFmtId="0" fontId="0" fillId="11" borderId="47" xfId="0" applyFill="1" applyBorder="1" applyProtection="1">
      <protection locked="0"/>
    </xf>
    <xf numFmtId="0" fontId="0" fillId="0" borderId="0" xfId="0" applyFill="1" applyBorder="1" applyAlignment="1">
      <alignment horizontal="right" vertical="center"/>
    </xf>
    <xf numFmtId="0" fontId="1" fillId="10" borderId="18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8" xfId="0" applyBorder="1"/>
    <xf numFmtId="0" fontId="0" fillId="0" borderId="41" xfId="0" applyFill="1" applyBorder="1" applyAlignment="1">
      <alignment horizontal="center" vertical="center"/>
    </xf>
    <xf numFmtId="0" fontId="0" fillId="0" borderId="15" xfId="0" applyBorder="1"/>
    <xf numFmtId="0" fontId="18" fillId="11" borderId="0" xfId="0" applyFont="1" applyFill="1" applyBorder="1" applyAlignment="1" applyProtection="1">
      <protection locked="0"/>
    </xf>
    <xf numFmtId="0" fontId="0" fillId="0" borderId="40" xfId="0" applyBorder="1" applyAlignment="1">
      <alignment horizontal="center" vertical="center"/>
    </xf>
    <xf numFmtId="0" fontId="19" fillId="11" borderId="21" xfId="0" applyFont="1" applyFill="1" applyBorder="1" applyAlignment="1" applyProtection="1">
      <protection locked="0"/>
    </xf>
    <xf numFmtId="0" fontId="1" fillId="10" borderId="23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0" fillId="0" borderId="18" xfId="0" applyBorder="1"/>
    <xf numFmtId="0" fontId="0" fillId="0" borderId="23" xfId="0" applyBorder="1"/>
    <xf numFmtId="0" fontId="0" fillId="0" borderId="19" xfId="0" applyBorder="1"/>
    <xf numFmtId="0" fontId="0" fillId="10" borderId="13" xfId="0" applyFill="1" applyBorder="1"/>
    <xf numFmtId="0" fontId="0" fillId="10" borderId="21" xfId="0" applyFill="1" applyBorder="1"/>
    <xf numFmtId="0" fontId="0" fillId="10" borderId="44" xfId="0" applyFill="1" applyBorder="1"/>
    <xf numFmtId="1" fontId="0" fillId="0" borderId="45" xfId="0" applyNumberFormat="1" applyBorder="1" applyAlignment="1">
      <alignment horizontal="center" vertical="center"/>
    </xf>
    <xf numFmtId="0" fontId="0" fillId="10" borderId="34" xfId="0" applyFill="1" applyBorder="1"/>
    <xf numFmtId="2" fontId="0" fillId="0" borderId="22" xfId="0" applyNumberFormat="1" applyBorder="1"/>
    <xf numFmtId="2" fontId="0" fillId="0" borderId="35" xfId="0" applyNumberFormat="1" applyBorder="1"/>
    <xf numFmtId="0" fontId="0" fillId="0" borderId="34" xfId="0" applyBorder="1"/>
    <xf numFmtId="0" fontId="0" fillId="0" borderId="44" xfId="0" applyBorder="1"/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1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10" borderId="52" xfId="0" applyFont="1" applyFill="1" applyBorder="1" applyAlignment="1" applyProtection="1">
      <alignment horizontal="center" vertical="center"/>
      <protection locked="0"/>
    </xf>
    <xf numFmtId="1" fontId="0" fillId="11" borderId="24" xfId="0" applyNumberFormat="1" applyFill="1" applyBorder="1" applyAlignment="1" applyProtection="1">
      <alignment horizontal="center" vertical="center"/>
    </xf>
    <xf numFmtId="165" fontId="0" fillId="11" borderId="20" xfId="0" applyNumberFormat="1" applyFill="1" applyBorder="1" applyAlignment="1" applyProtection="1">
      <alignment horizontal="center" vertical="center"/>
    </xf>
    <xf numFmtId="0" fontId="1" fillId="10" borderId="36" xfId="0" applyNumberFormat="1" applyFont="1" applyFill="1" applyBorder="1" applyAlignment="1">
      <alignment horizontal="center" vertical="center" wrapText="1"/>
    </xf>
    <xf numFmtId="0" fontId="1" fillId="10" borderId="37" xfId="0" applyNumberFormat="1" applyFont="1" applyFill="1" applyBorder="1" applyAlignment="1">
      <alignment horizontal="center" vertical="center" wrapText="1"/>
    </xf>
    <xf numFmtId="0" fontId="1" fillId="10" borderId="38" xfId="0" applyNumberFormat="1" applyFont="1" applyFill="1" applyBorder="1" applyAlignment="1">
      <alignment horizontal="center" vertical="center" wrapText="1"/>
    </xf>
    <xf numFmtId="0" fontId="1" fillId="10" borderId="58" xfId="0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64" fontId="0" fillId="0" borderId="40" xfId="0" applyNumberFormat="1" applyFill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" fontId="0" fillId="0" borderId="0" xfId="0" applyNumberFormat="1"/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10" borderId="63" xfId="0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59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10" borderId="67" xfId="0" applyFill="1" applyBorder="1" applyAlignment="1" applyProtection="1">
      <protection locked="0"/>
    </xf>
    <xf numFmtId="0" fontId="0" fillId="10" borderId="2" xfId="0" applyFill="1" applyBorder="1" applyAlignment="1">
      <alignment horizontal="center" vertical="center"/>
    </xf>
    <xf numFmtId="0" fontId="0" fillId="8" borderId="72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5" xfId="0" applyBorder="1"/>
    <xf numFmtId="0" fontId="0" fillId="0" borderId="6" xfId="0" applyFill="1" applyBorder="1"/>
    <xf numFmtId="0" fontId="0" fillId="0" borderId="22" xfId="0" applyBorder="1" applyProtection="1">
      <protection locked="0"/>
    </xf>
    <xf numFmtId="0" fontId="0" fillId="0" borderId="10" xfId="0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11" borderId="35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1" fillId="10" borderId="13" xfId="0" applyFont="1" applyFill="1" applyBorder="1" applyAlignment="1">
      <alignment horizontal="center" vertical="center" wrapText="1"/>
    </xf>
    <xf numFmtId="0" fontId="0" fillId="12" borderId="0" xfId="0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164" fontId="16" fillId="0" borderId="24" xfId="0" applyNumberFormat="1" applyFont="1" applyFill="1" applyBorder="1" applyAlignment="1">
      <alignment horizontal="center" vertical="center"/>
    </xf>
    <xf numFmtId="164" fontId="16" fillId="0" borderId="20" xfId="0" applyNumberFormat="1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11" borderId="8" xfId="0" applyFill="1" applyBorder="1" applyAlignment="1">
      <alignment vertical="center"/>
    </xf>
    <xf numFmtId="0" fontId="0" fillId="11" borderId="8" xfId="0" applyFill="1" applyBorder="1" applyAlignment="1" applyProtection="1">
      <alignment horizontal="left" vertical="center"/>
      <protection locked="0"/>
    </xf>
    <xf numFmtId="0" fontId="0" fillId="11" borderId="9" xfId="0" applyFill="1" applyBorder="1" applyAlignment="1" applyProtection="1">
      <alignment vertical="center"/>
      <protection locked="0"/>
    </xf>
    <xf numFmtId="0" fontId="0" fillId="0" borderId="2" xfId="0" applyBorder="1"/>
    <xf numFmtId="0" fontId="0" fillId="0" borderId="7" xfId="0" applyBorder="1"/>
    <xf numFmtId="2" fontId="0" fillId="0" borderId="22" xfId="0" applyNumberFormat="1" applyBorder="1" applyAlignment="1">
      <alignment horizontal="center"/>
    </xf>
    <xf numFmtId="0" fontId="1" fillId="11" borderId="0" xfId="0" applyFont="1" applyFill="1" applyBorder="1" applyAlignment="1">
      <alignment horizontal="left" vertical="top"/>
    </xf>
    <xf numFmtId="0" fontId="1" fillId="11" borderId="0" xfId="0" applyFont="1" applyFill="1" applyBorder="1" applyAlignment="1">
      <alignment horizontal="left"/>
    </xf>
    <xf numFmtId="0" fontId="1" fillId="11" borderId="8" xfId="0" applyFont="1" applyFill="1" applyBorder="1" applyAlignment="1">
      <alignment horizontal="left" vertical="top"/>
    </xf>
    <xf numFmtId="0" fontId="1" fillId="11" borderId="9" xfId="0" applyFont="1" applyFill="1" applyBorder="1" applyAlignment="1">
      <alignment horizontal="left"/>
    </xf>
    <xf numFmtId="0" fontId="0" fillId="11" borderId="2" xfId="0" applyFont="1" applyFill="1" applyBorder="1" applyAlignment="1">
      <alignment horizontal="left" vertical="center"/>
    </xf>
    <xf numFmtId="0" fontId="0" fillId="11" borderId="3" xfId="0" applyFont="1" applyFill="1" applyBorder="1" applyAlignment="1">
      <alignment horizontal="left" vertical="center"/>
    </xf>
    <xf numFmtId="0" fontId="1" fillId="10" borderId="64" xfId="0" applyFont="1" applyFill="1" applyBorder="1" applyAlignment="1">
      <alignment horizontal="center" vertical="center" wrapText="1"/>
    </xf>
    <xf numFmtId="0" fontId="1" fillId="10" borderId="53" xfId="0" applyFont="1" applyFill="1" applyBorder="1" applyAlignment="1">
      <alignment horizontal="center" vertical="center" wrapText="1"/>
    </xf>
    <xf numFmtId="0" fontId="1" fillId="10" borderId="79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1" fillId="10" borderId="14" xfId="0" applyFont="1" applyFill="1" applyBorder="1" applyAlignment="1">
      <alignment horizontal="center" vertical="center" wrapText="1"/>
    </xf>
    <xf numFmtId="0" fontId="1" fillId="17" borderId="77" xfId="0" applyFont="1" applyFill="1" applyBorder="1" applyAlignment="1">
      <alignment horizontal="center" vertical="center" wrapText="1"/>
    </xf>
    <xf numFmtId="0" fontId="1" fillId="17" borderId="60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17" fillId="11" borderId="80" xfId="0" applyFont="1" applyFill="1" applyBorder="1" applyAlignment="1" applyProtection="1">
      <alignment horizontal="center" vertical="center" wrapText="1"/>
      <protection locked="0"/>
    </xf>
    <xf numFmtId="0" fontId="0" fillId="11" borderId="0" xfId="0" applyFill="1" applyBorder="1" applyAlignment="1">
      <alignment vertical="center"/>
    </xf>
    <xf numFmtId="0" fontId="0" fillId="11" borderId="0" xfId="0" applyFill="1" applyBorder="1" applyAlignment="1" applyProtection="1">
      <alignment horizontal="left" vertical="center"/>
      <protection locked="0"/>
    </xf>
    <xf numFmtId="0" fontId="0" fillId="11" borderId="0" xfId="0" applyFill="1" applyBorder="1" applyAlignment="1" applyProtection="1">
      <alignment vertical="center"/>
      <protection locked="0"/>
    </xf>
    <xf numFmtId="0" fontId="0" fillId="11" borderId="3" xfId="0" applyFont="1" applyFill="1" applyBorder="1" applyAlignment="1">
      <alignment horizontal="left" vertical="top"/>
    </xf>
    <xf numFmtId="0" fontId="0" fillId="11" borderId="3" xfId="0" applyFont="1" applyFill="1" applyBorder="1" applyAlignment="1">
      <alignment horizontal="left"/>
    </xf>
    <xf numFmtId="0" fontId="0" fillId="12" borderId="19" xfId="0" applyFill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0" fontId="1" fillId="10" borderId="41" xfId="0" applyFont="1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64" fontId="0" fillId="0" borderId="82" xfId="0" applyNumberFormat="1" applyBorder="1" applyAlignment="1">
      <alignment horizontal="center" vertical="center"/>
    </xf>
    <xf numFmtId="0" fontId="0" fillId="0" borderId="1" xfId="0" applyFont="1" applyFill="1" applyBorder="1"/>
    <xf numFmtId="0" fontId="0" fillId="11" borderId="4" xfId="0" applyFont="1" applyFill="1" applyBorder="1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1" fontId="0" fillId="11" borderId="1" xfId="0" applyNumberFormat="1" applyFill="1" applyBorder="1" applyAlignment="1" applyProtection="1">
      <alignment horizontal="center" vertical="center"/>
    </xf>
    <xf numFmtId="0" fontId="0" fillId="16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" fillId="10" borderId="39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85" xfId="0" applyBorder="1" applyAlignment="1" applyProtection="1">
      <alignment horizontal="center" vertical="center" wrapText="1"/>
      <protection locked="0"/>
    </xf>
    <xf numFmtId="1" fontId="0" fillId="0" borderId="86" xfId="0" applyNumberFormat="1" applyBorder="1" applyAlignment="1" applyProtection="1">
      <alignment horizontal="center" vertical="center"/>
    </xf>
    <xf numFmtId="0" fontId="0" fillId="17" borderId="92" xfId="0" applyFill="1" applyBorder="1" applyAlignment="1" applyProtection="1">
      <alignment horizontal="center" vertical="center"/>
    </xf>
    <xf numFmtId="1" fontId="0" fillId="11" borderId="95" xfId="0" applyNumberFormat="1" applyFill="1" applyBorder="1" applyAlignment="1" applyProtection="1">
      <alignment horizontal="center" vertical="center"/>
    </xf>
    <xf numFmtId="1" fontId="0" fillId="0" borderId="32" xfId="0" applyNumberFormat="1" applyFill="1" applyBorder="1" applyAlignment="1" applyProtection="1">
      <alignment horizontal="center" vertical="center"/>
    </xf>
    <xf numFmtId="1" fontId="0" fillId="11" borderId="86" xfId="0" applyNumberFormat="1" applyFill="1" applyBorder="1" applyAlignment="1" applyProtection="1">
      <alignment horizontal="center" vertical="center"/>
    </xf>
    <xf numFmtId="1" fontId="0" fillId="11" borderId="100" xfId="0" applyNumberFormat="1" applyFill="1" applyBorder="1" applyAlignment="1" applyProtection="1">
      <alignment horizontal="center" vertical="center"/>
    </xf>
    <xf numFmtId="0" fontId="1" fillId="10" borderId="102" xfId="0" applyFont="1" applyFill="1" applyBorder="1" applyAlignment="1" applyProtection="1">
      <alignment horizontal="center" vertical="center"/>
      <protection locked="0"/>
    </xf>
    <xf numFmtId="0" fontId="1" fillId="10" borderId="103" xfId="0" applyFont="1" applyFill="1" applyBorder="1" applyAlignment="1" applyProtection="1">
      <alignment horizontal="center" vertical="center"/>
      <protection locked="0"/>
    </xf>
    <xf numFmtId="1" fontId="0" fillId="11" borderId="29" xfId="0" applyNumberFormat="1" applyFill="1" applyBorder="1" applyAlignment="1" applyProtection="1">
      <alignment horizontal="center" vertical="center"/>
    </xf>
    <xf numFmtId="0" fontId="0" fillId="11" borderId="44" xfId="0" applyFill="1" applyBorder="1" applyAlignment="1" applyProtection="1">
      <alignment horizontal="left" indent="2"/>
      <protection locked="0"/>
    </xf>
    <xf numFmtId="0" fontId="0" fillId="11" borderId="34" xfId="0" applyFill="1" applyBorder="1" applyAlignment="1" applyProtection="1">
      <alignment horizontal="left" indent="2"/>
      <protection locked="0"/>
    </xf>
    <xf numFmtId="0" fontId="1" fillId="10" borderId="43" xfId="0" applyFont="1" applyFill="1" applyBorder="1" applyAlignment="1">
      <alignment horizontal="center" vertical="center" wrapText="1"/>
    </xf>
    <xf numFmtId="0" fontId="1" fillId="10" borderId="112" xfId="0" applyFont="1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164" fontId="0" fillId="10" borderId="1" xfId="0" applyNumberFormat="1" applyFill="1" applyBorder="1" applyAlignment="1">
      <alignment horizontal="center" vertical="center"/>
    </xf>
    <xf numFmtId="164" fontId="0" fillId="10" borderId="8" xfId="0" applyNumberFormat="1" applyFill="1" applyBorder="1" applyAlignment="1">
      <alignment horizontal="center" vertical="center"/>
    </xf>
    <xf numFmtId="164" fontId="0" fillId="10" borderId="5" xfId="0" applyNumberFormat="1" applyFill="1" applyBorder="1" applyAlignment="1">
      <alignment horizontal="center" vertical="center"/>
    </xf>
    <xf numFmtId="164" fontId="0" fillId="10" borderId="7" xfId="0" applyNumberFormat="1" applyFill="1" applyBorder="1" applyAlignment="1">
      <alignment horizontal="center" vertical="center"/>
    </xf>
    <xf numFmtId="164" fontId="0" fillId="10" borderId="3" xfId="0" applyNumberFormat="1" applyFill="1" applyBorder="1" applyAlignment="1">
      <alignment horizontal="center" vertical="center"/>
    </xf>
    <xf numFmtId="164" fontId="0" fillId="10" borderId="2" xfId="0" applyNumberFormat="1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 wrapText="1"/>
    </xf>
    <xf numFmtId="0" fontId="0" fillId="10" borderId="36" xfId="0" applyFill="1" applyBorder="1" applyAlignment="1">
      <alignment vertical="center"/>
    </xf>
    <xf numFmtId="0" fontId="0" fillId="11" borderId="0" xfId="0" applyFill="1" applyBorder="1" applyAlignment="1">
      <alignment horizontal="left" vertical="center"/>
    </xf>
    <xf numFmtId="0" fontId="0" fillId="16" borderId="40" xfId="0" applyFill="1" applyBorder="1" applyAlignment="1">
      <alignment horizontal="center" vertical="center" wrapText="1"/>
    </xf>
    <xf numFmtId="49" fontId="32" fillId="10" borderId="13" xfId="0" applyNumberFormat="1" applyFont="1" applyFill="1" applyBorder="1" applyAlignment="1">
      <alignment horizontal="left" vertical="center" indent="1"/>
    </xf>
    <xf numFmtId="49" fontId="18" fillId="10" borderId="21" xfId="0" applyNumberFormat="1" applyFont="1" applyFill="1" applyBorder="1" applyAlignment="1" applyProtection="1">
      <alignment horizontal="left" vertical="center" indent="1"/>
      <protection locked="0"/>
    </xf>
    <xf numFmtId="49" fontId="18" fillId="10" borderId="14" xfId="0" applyNumberFormat="1" applyFont="1" applyFill="1" applyBorder="1" applyAlignment="1" applyProtection="1">
      <alignment horizontal="left" vertical="center" indent="1"/>
      <protection locked="0"/>
    </xf>
    <xf numFmtId="49" fontId="18" fillId="10" borderId="44" xfId="0" applyNumberFormat="1" applyFont="1" applyFill="1" applyBorder="1" applyAlignment="1" applyProtection="1">
      <alignment horizontal="left" vertical="center" indent="1"/>
      <protection locked="0"/>
    </xf>
    <xf numFmtId="49" fontId="18" fillId="10" borderId="0" xfId="0" applyNumberFormat="1" applyFont="1" applyFill="1" applyBorder="1" applyAlignment="1" applyProtection="1">
      <alignment horizontal="left" vertical="center" indent="1"/>
      <protection locked="0"/>
    </xf>
    <xf numFmtId="49" fontId="18" fillId="10" borderId="45" xfId="0" applyNumberFormat="1" applyFont="1" applyFill="1" applyBorder="1" applyAlignment="1" applyProtection="1">
      <alignment horizontal="left" vertical="center" indent="1"/>
      <protection locked="0"/>
    </xf>
    <xf numFmtId="49" fontId="26" fillId="10" borderId="44" xfId="0" applyNumberFormat="1" applyFont="1" applyFill="1" applyBorder="1" applyAlignment="1" applyProtection="1">
      <alignment horizontal="left" vertical="center" indent="1"/>
      <protection locked="0"/>
    </xf>
    <xf numFmtId="49" fontId="24" fillId="10" borderId="0" xfId="0" applyNumberFormat="1" applyFont="1" applyFill="1" applyBorder="1" applyAlignment="1" applyProtection="1">
      <alignment horizontal="left" vertical="center" indent="1"/>
      <protection locked="0"/>
    </xf>
    <xf numFmtId="49" fontId="1" fillId="10" borderId="0" xfId="0" applyNumberFormat="1" applyFont="1" applyFill="1" applyBorder="1" applyAlignment="1">
      <alignment horizontal="left" vertical="center" indent="1"/>
    </xf>
    <xf numFmtId="49" fontId="27" fillId="10" borderId="44" xfId="0" applyNumberFormat="1" applyFont="1" applyFill="1" applyBorder="1" applyAlignment="1" applyProtection="1">
      <alignment horizontal="left" vertical="center" indent="1"/>
      <protection locked="0"/>
    </xf>
    <xf numFmtId="49" fontId="28" fillId="10" borderId="0" xfId="0" applyNumberFormat="1" applyFont="1" applyFill="1" applyBorder="1" applyAlignment="1" applyProtection="1">
      <alignment horizontal="left" vertical="center" indent="1"/>
      <protection locked="0"/>
    </xf>
    <xf numFmtId="49" fontId="0" fillId="10" borderId="0" xfId="0" applyNumberFormat="1" applyFill="1" applyBorder="1" applyAlignment="1">
      <alignment horizontal="left" vertical="center" indent="1"/>
    </xf>
    <xf numFmtId="49" fontId="28" fillId="10" borderId="44" xfId="0" applyNumberFormat="1" applyFont="1" applyFill="1" applyBorder="1" applyAlignment="1" applyProtection="1">
      <alignment horizontal="left" vertical="center" indent="1"/>
      <protection locked="0"/>
    </xf>
    <xf numFmtId="49" fontId="29" fillId="10" borderId="0" xfId="0" applyNumberFormat="1" applyFont="1" applyFill="1" applyBorder="1" applyAlignment="1" applyProtection="1">
      <alignment horizontal="left" vertical="center" indent="1"/>
      <protection locked="0"/>
    </xf>
    <xf numFmtId="49" fontId="0" fillId="10" borderId="0" xfId="0" applyNumberFormat="1" applyFill="1" applyAlignment="1">
      <alignment horizontal="left" vertical="center" indent="1"/>
    </xf>
    <xf numFmtId="49" fontId="25" fillId="10" borderId="44" xfId="0" applyNumberFormat="1" applyFont="1" applyFill="1" applyBorder="1" applyAlignment="1" applyProtection="1">
      <alignment horizontal="left" vertical="center" indent="1"/>
      <protection locked="0"/>
    </xf>
    <xf numFmtId="49" fontId="29" fillId="10" borderId="44" xfId="0" applyNumberFormat="1" applyFont="1" applyFill="1" applyBorder="1" applyAlignment="1" applyProtection="1">
      <alignment horizontal="left" vertical="center" indent="1"/>
      <protection locked="0"/>
    </xf>
    <xf numFmtId="49" fontId="19" fillId="10" borderId="0" xfId="0" applyNumberFormat="1" applyFont="1" applyFill="1" applyBorder="1" applyAlignment="1" applyProtection="1">
      <alignment horizontal="left" vertical="center" indent="1"/>
      <protection locked="0"/>
    </xf>
    <xf numFmtId="49" fontId="27" fillId="10" borderId="0" xfId="0" applyNumberFormat="1" applyFont="1" applyFill="1" applyBorder="1" applyAlignment="1" applyProtection="1">
      <alignment horizontal="left" vertical="center" indent="1"/>
      <protection locked="0"/>
    </xf>
    <xf numFmtId="49" fontId="18" fillId="10" borderId="34" xfId="0" applyNumberFormat="1" applyFont="1" applyFill="1" applyBorder="1" applyAlignment="1" applyProtection="1">
      <alignment horizontal="left" vertical="center" indent="1"/>
      <protection locked="0"/>
    </xf>
    <xf numFmtId="49" fontId="18" fillId="10" borderId="22" xfId="0" applyNumberFormat="1" applyFont="1" applyFill="1" applyBorder="1" applyAlignment="1" applyProtection="1">
      <alignment horizontal="left" vertical="center" indent="1"/>
      <protection locked="0"/>
    </xf>
    <xf numFmtId="49" fontId="0" fillId="10" borderId="35" xfId="0" applyNumberFormat="1" applyFill="1" applyBorder="1" applyAlignment="1">
      <alignment horizontal="left" vertical="center" indent="1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textRotation="90" wrapText="1"/>
    </xf>
    <xf numFmtId="0" fontId="34" fillId="0" borderId="23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textRotation="90" wrapText="1"/>
    </xf>
    <xf numFmtId="0" fontId="34" fillId="0" borderId="52" xfId="0" applyFont="1" applyBorder="1" applyAlignment="1">
      <alignment horizontal="center" vertical="center" wrapText="1"/>
    </xf>
    <xf numFmtId="49" fontId="34" fillId="0" borderId="66" xfId="0" applyNumberFormat="1" applyFont="1" applyBorder="1" applyAlignment="1">
      <alignment horizontal="center" vertical="center" wrapText="1"/>
    </xf>
    <xf numFmtId="49" fontId="34" fillId="0" borderId="15" xfId="0" applyNumberFormat="1" applyFont="1" applyBorder="1" applyAlignment="1">
      <alignment horizontal="center" vertical="center" wrapText="1"/>
    </xf>
    <xf numFmtId="49" fontId="34" fillId="0" borderId="42" xfId="0" applyNumberFormat="1" applyFont="1" applyBorder="1" applyAlignment="1">
      <alignment horizontal="center" vertical="center" wrapText="1"/>
    </xf>
    <xf numFmtId="49" fontId="34" fillId="0" borderId="114" xfId="0" applyNumberFormat="1" applyFont="1" applyBorder="1" applyAlignment="1">
      <alignment horizontal="center" vertical="center" wrapText="1"/>
    </xf>
    <xf numFmtId="49" fontId="34" fillId="0" borderId="26" xfId="0" applyNumberFormat="1" applyFont="1" applyBorder="1" applyAlignment="1">
      <alignment horizontal="center" vertical="center" wrapText="1"/>
    </xf>
    <xf numFmtId="49" fontId="34" fillId="0" borderId="113" xfId="0" applyNumberFormat="1" applyFont="1" applyBorder="1" applyAlignment="1">
      <alignment horizontal="center" vertical="center" wrapText="1"/>
    </xf>
    <xf numFmtId="49" fontId="34" fillId="0" borderId="49" xfId="0" applyNumberFormat="1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51" xfId="0" applyNumberFormat="1" applyFont="1" applyBorder="1" applyAlignment="1">
      <alignment horizontal="center" vertical="center" wrapText="1"/>
    </xf>
    <xf numFmtId="49" fontId="34" fillId="0" borderId="8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65" xfId="0" applyNumberFormat="1" applyFont="1" applyBorder="1" applyAlignment="1">
      <alignment horizontal="center" vertical="center" wrapText="1"/>
    </xf>
    <xf numFmtId="49" fontId="34" fillId="0" borderId="82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4" fillId="0" borderId="36" xfId="0" applyFont="1" applyFill="1" applyBorder="1" applyAlignment="1">
      <alignment horizontal="center" vertical="center" textRotation="90" wrapText="1"/>
    </xf>
    <xf numFmtId="0" fontId="34" fillId="0" borderId="37" xfId="0" applyFont="1" applyFill="1" applyBorder="1" applyAlignment="1">
      <alignment horizontal="center" vertical="center" textRotation="90" wrapText="1"/>
    </xf>
    <xf numFmtId="0" fontId="33" fillId="0" borderId="61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49" fontId="34" fillId="0" borderId="40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37" xfId="0" applyFont="1" applyBorder="1" applyAlignment="1">
      <alignment horizontal="center" vertical="center" textRotation="90" wrapText="1"/>
    </xf>
    <xf numFmtId="0" fontId="34" fillId="0" borderId="38" xfId="0" applyFont="1" applyBorder="1" applyAlignment="1">
      <alignment horizontal="center" vertical="center" textRotation="90" wrapText="1"/>
    </xf>
    <xf numFmtId="0" fontId="34" fillId="0" borderId="19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 wrapText="1"/>
    </xf>
    <xf numFmtId="164" fontId="0" fillId="0" borderId="113" xfId="0" applyNumberForma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0" fillId="12" borderId="10" xfId="0" applyFont="1" applyFill="1" applyBorder="1" applyAlignment="1">
      <alignment horizontal="center" vertical="center" wrapText="1"/>
    </xf>
    <xf numFmtId="0" fontId="34" fillId="0" borderId="37" xfId="0" applyNumberFormat="1" applyFont="1" applyBorder="1" applyAlignment="1">
      <alignment horizontal="center" vertical="center"/>
    </xf>
    <xf numFmtId="0" fontId="34" fillId="0" borderId="4" xfId="0" applyNumberFormat="1" applyFont="1" applyBorder="1" applyAlignment="1">
      <alignment horizontal="center" vertical="center"/>
    </xf>
    <xf numFmtId="0" fontId="34" fillId="0" borderId="26" xfId="0" applyNumberFormat="1" applyFont="1" applyBorder="1" applyAlignment="1">
      <alignment horizontal="center" vertical="center"/>
    </xf>
    <xf numFmtId="0" fontId="34" fillId="0" borderId="113" xfId="0" applyNumberFormat="1" applyFont="1" applyBorder="1" applyAlignment="1">
      <alignment horizontal="center" vertical="center"/>
    </xf>
    <xf numFmtId="0" fontId="34" fillId="0" borderId="8" xfId="0" applyNumberFormat="1" applyFont="1" applyBorder="1" applyAlignment="1">
      <alignment horizontal="center" vertical="center"/>
    </xf>
    <xf numFmtId="0" fontId="34" fillId="0" borderId="9" xfId="0" applyNumberFormat="1" applyFont="1" applyBorder="1" applyAlignment="1">
      <alignment horizontal="center" vertical="center"/>
    </xf>
    <xf numFmtId="0" fontId="34" fillId="0" borderId="63" xfId="0" applyNumberFormat="1" applyFont="1" applyBorder="1" applyAlignment="1">
      <alignment horizontal="center" vertical="center"/>
    </xf>
    <xf numFmtId="0" fontId="34" fillId="0" borderId="42" xfId="0" applyNumberFormat="1" applyFont="1" applyBorder="1" applyAlignment="1">
      <alignment horizontal="center" vertical="center"/>
    </xf>
    <xf numFmtId="0" fontId="34" fillId="0" borderId="37" xfId="0" applyNumberFormat="1" applyFont="1" applyBorder="1" applyAlignment="1">
      <alignment horizontal="center"/>
    </xf>
    <xf numFmtId="0" fontId="34" fillId="0" borderId="116" xfId="0" applyNumberFormat="1" applyFont="1" applyBorder="1" applyAlignment="1"/>
    <xf numFmtId="49" fontId="34" fillId="0" borderId="36" xfId="0" applyNumberFormat="1" applyFont="1" applyBorder="1" applyAlignment="1">
      <alignment vertical="center"/>
    </xf>
    <xf numFmtId="0" fontId="34" fillId="0" borderId="37" xfId="0" applyFont="1" applyBorder="1" applyAlignment="1">
      <alignment vertical="center" wrapText="1"/>
    </xf>
    <xf numFmtId="0" fontId="34" fillId="0" borderId="37" xfId="0" applyFont="1" applyBorder="1" applyAlignment="1">
      <alignment vertical="center"/>
    </xf>
    <xf numFmtId="2" fontId="34" fillId="0" borderId="37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0" fontId="34" fillId="0" borderId="36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2" fontId="34" fillId="0" borderId="37" xfId="0" applyNumberFormat="1" applyFont="1" applyBorder="1" applyAlignment="1">
      <alignment horizontal="center"/>
    </xf>
    <xf numFmtId="49" fontId="34" fillId="0" borderId="37" xfId="0" applyNumberFormat="1" applyFont="1" applyBorder="1" applyAlignment="1">
      <alignment horizontal="center"/>
    </xf>
    <xf numFmtId="0" fontId="34" fillId="0" borderId="116" xfId="0" applyNumberFormat="1" applyFont="1" applyBorder="1" applyAlignment="1">
      <alignment horizontal="center"/>
    </xf>
    <xf numFmtId="0" fontId="34" fillId="0" borderId="116" xfId="0" applyFont="1" applyBorder="1" applyAlignment="1">
      <alignment vertical="center"/>
    </xf>
    <xf numFmtId="0" fontId="34" fillId="0" borderId="117" xfId="0" applyFont="1" applyBorder="1" applyAlignment="1">
      <alignment vertical="center"/>
    </xf>
    <xf numFmtId="0" fontId="34" fillId="0" borderId="63" xfId="0" applyFont="1" applyBorder="1" applyAlignment="1">
      <alignment horizontal="center"/>
    </xf>
    <xf numFmtId="0" fontId="34" fillId="0" borderId="112" xfId="0" applyFont="1" applyBorder="1" applyAlignment="1">
      <alignment horizontal="center"/>
    </xf>
    <xf numFmtId="0" fontId="34" fillId="0" borderId="118" xfId="0" applyNumberFormat="1" applyFont="1" applyBorder="1" applyAlignment="1"/>
    <xf numFmtId="0" fontId="34" fillId="0" borderId="61" xfId="0" applyFont="1" applyBorder="1" applyAlignment="1">
      <alignment vertical="center"/>
    </xf>
    <xf numFmtId="0" fontId="0" fillId="10" borderId="68" xfId="0" applyFill="1" applyBorder="1" applyAlignment="1" applyProtection="1">
      <alignment vertical="center"/>
      <protection locked="0"/>
    </xf>
    <xf numFmtId="0" fontId="0" fillId="10" borderId="33" xfId="0" applyFill="1" applyBorder="1" applyAlignment="1" applyProtection="1">
      <alignment vertical="center"/>
      <protection locked="0"/>
    </xf>
    <xf numFmtId="0" fontId="0" fillId="10" borderId="57" xfId="0" applyFont="1" applyFill="1" applyBorder="1" applyAlignment="1" applyProtection="1">
      <alignment horizontal="center" vertical="center" wrapText="1"/>
      <protection locked="0"/>
    </xf>
    <xf numFmtId="0" fontId="0" fillId="11" borderId="0" xfId="0" applyFill="1" applyProtection="1">
      <protection locked="0"/>
    </xf>
    <xf numFmtId="0" fontId="0" fillId="11" borderId="71" xfId="0" applyFill="1" applyBorder="1" applyAlignment="1" applyProtection="1">
      <alignment horizontal="center" vertical="center" wrapText="1"/>
      <protection locked="0"/>
    </xf>
    <xf numFmtId="0" fontId="23" fillId="11" borderId="71" xfId="0" applyFont="1" applyFill="1" applyBorder="1" applyAlignment="1" applyProtection="1">
      <alignment vertical="center" wrapText="1"/>
      <protection locked="0"/>
    </xf>
    <xf numFmtId="0" fontId="23" fillId="11" borderId="0" xfId="0" applyFont="1" applyFill="1" applyBorder="1" applyAlignment="1" applyProtection="1">
      <alignment vertical="center" wrapText="1"/>
      <protection locked="0"/>
    </xf>
    <xf numFmtId="0" fontId="0" fillId="11" borderId="68" xfId="0" applyFont="1" applyFill="1" applyBorder="1" applyAlignment="1" applyProtection="1">
      <alignment horizontal="center" vertical="center" wrapText="1"/>
      <protection locked="0"/>
    </xf>
    <xf numFmtId="0" fontId="0" fillId="11" borderId="99" xfId="0" applyFill="1" applyBorder="1" applyAlignment="1" applyProtection="1">
      <alignment horizontal="center" vertical="center"/>
      <protection locked="0"/>
    </xf>
    <xf numFmtId="0" fontId="1" fillId="10" borderId="56" xfId="0" applyFont="1" applyFill="1" applyBorder="1" applyAlignment="1" applyProtection="1">
      <alignment horizontal="center" vertical="center"/>
      <protection locked="0"/>
    </xf>
    <xf numFmtId="0" fontId="1" fillId="10" borderId="101" xfId="0" applyFont="1" applyFill="1" applyBorder="1" applyAlignment="1" applyProtection="1">
      <alignment horizontal="center" vertical="center"/>
      <protection locked="0"/>
    </xf>
    <xf numFmtId="0" fontId="0" fillId="10" borderId="104" xfId="0" applyFill="1" applyBorder="1" applyAlignment="1" applyProtection="1">
      <alignment horizontal="right" vertical="center"/>
      <protection locked="0"/>
    </xf>
    <xf numFmtId="0" fontId="0" fillId="10" borderId="3" xfId="0" applyFill="1" applyBorder="1" applyAlignment="1" applyProtection="1">
      <alignment horizontal="right" vertical="center"/>
      <protection locked="0"/>
    </xf>
    <xf numFmtId="0" fontId="20" fillId="17" borderId="110" xfId="0" applyFont="1" applyFill="1" applyBorder="1" applyAlignment="1" applyProtection="1">
      <alignment horizontal="center" vertical="center" wrapText="1"/>
      <protection locked="0"/>
    </xf>
    <xf numFmtId="0" fontId="20" fillId="17" borderId="21" xfId="0" applyFont="1" applyFill="1" applyBorder="1" applyAlignment="1" applyProtection="1">
      <alignment horizontal="center" vertical="center" wrapText="1"/>
      <protection locked="0"/>
    </xf>
    <xf numFmtId="0" fontId="20" fillId="17" borderId="111" xfId="0" applyFont="1" applyFill="1" applyBorder="1" applyAlignment="1" applyProtection="1">
      <alignment horizontal="center" vertical="center" wrapText="1"/>
      <protection locked="0"/>
    </xf>
    <xf numFmtId="0" fontId="20" fillId="17" borderId="87" xfId="0" applyFont="1" applyFill="1" applyBorder="1" applyAlignment="1" applyProtection="1">
      <alignment horizontal="center" vertical="center" wrapText="1"/>
      <protection locked="0"/>
    </xf>
    <xf numFmtId="0" fontId="20" fillId="17" borderId="88" xfId="0" applyFont="1" applyFill="1" applyBorder="1" applyAlignment="1" applyProtection="1">
      <alignment horizontal="center" vertical="center" wrapText="1"/>
      <protection locked="0"/>
    </xf>
    <xf numFmtId="0" fontId="20" fillId="17" borderId="89" xfId="0" applyFont="1" applyFill="1" applyBorder="1" applyAlignment="1" applyProtection="1">
      <alignment horizontal="center" vertical="center" wrapText="1"/>
      <protection locked="0"/>
    </xf>
    <xf numFmtId="0" fontId="35" fillId="12" borderId="56" xfId="0" applyFont="1" applyFill="1" applyBorder="1" applyAlignment="1" applyProtection="1">
      <alignment horizontal="center" vertical="center" wrapText="1"/>
      <protection locked="0"/>
    </xf>
    <xf numFmtId="0" fontId="9" fillId="12" borderId="101" xfId="0" applyFont="1" applyFill="1" applyBorder="1" applyAlignment="1" applyProtection="1">
      <alignment horizontal="center" vertical="center" wrapText="1"/>
      <protection locked="0"/>
    </xf>
    <xf numFmtId="0" fontId="8" fillId="11" borderId="10" xfId="0" applyFont="1" applyFill="1" applyBorder="1" applyAlignment="1" applyProtection="1">
      <alignment horizontal="center" vertical="center" wrapText="1"/>
      <protection locked="0"/>
    </xf>
    <xf numFmtId="0" fontId="8" fillId="11" borderId="12" xfId="0" applyFont="1" applyFill="1" applyBorder="1" applyAlignment="1" applyProtection="1">
      <alignment horizontal="center" vertical="center" wrapText="1"/>
      <protection locked="0"/>
    </xf>
    <xf numFmtId="0" fontId="8" fillId="11" borderId="11" xfId="0" applyFont="1" applyFill="1" applyBorder="1" applyAlignment="1" applyProtection="1">
      <alignment horizontal="center" vertical="center" wrapText="1"/>
      <protection locked="0"/>
    </xf>
    <xf numFmtId="0" fontId="23" fillId="12" borderId="71" xfId="0" applyFont="1" applyFill="1" applyBorder="1" applyAlignment="1" applyProtection="1">
      <alignment horizontal="center" vertical="center" wrapText="1"/>
      <protection locked="0"/>
    </xf>
    <xf numFmtId="0" fontId="23" fillId="12" borderId="45" xfId="0" applyFont="1" applyFill="1" applyBorder="1" applyAlignment="1" applyProtection="1">
      <alignment horizontal="center" vertical="center" wrapText="1"/>
      <protection locked="0"/>
    </xf>
    <xf numFmtId="0" fontId="0" fillId="10" borderId="105" xfId="0" applyFill="1" applyBorder="1" applyAlignment="1" applyProtection="1">
      <alignment horizontal="right" vertical="center"/>
      <protection locked="0"/>
    </xf>
    <xf numFmtId="0" fontId="0" fillId="10" borderId="1" xfId="0" applyFill="1" applyBorder="1" applyAlignment="1" applyProtection="1">
      <alignment horizontal="right" vertical="center"/>
      <protection locked="0"/>
    </xf>
    <xf numFmtId="0" fontId="1" fillId="10" borderId="90" xfId="0" applyFont="1" applyFill="1" applyBorder="1" applyAlignment="1" applyProtection="1">
      <alignment horizontal="right" vertical="center"/>
      <protection locked="0"/>
    </xf>
    <xf numFmtId="0" fontId="1" fillId="10" borderId="91" xfId="0" applyFont="1" applyFill="1" applyBorder="1" applyAlignment="1" applyProtection="1">
      <alignment horizontal="right" vertical="center"/>
      <protection locked="0"/>
    </xf>
    <xf numFmtId="0" fontId="1" fillId="10" borderId="93" xfId="0" applyFont="1" applyFill="1" applyBorder="1" applyAlignment="1" applyProtection="1">
      <alignment horizontal="right" vertical="center"/>
      <protection locked="0"/>
    </xf>
    <xf numFmtId="0" fontId="1" fillId="10" borderId="53" xfId="0" applyFont="1" applyFill="1" applyBorder="1" applyAlignment="1" applyProtection="1">
      <alignment horizontal="right" vertical="center"/>
      <protection locked="0"/>
    </xf>
    <xf numFmtId="0" fontId="0" fillId="10" borderId="94" xfId="0" applyFill="1" applyBorder="1" applyAlignment="1" applyProtection="1">
      <alignment horizontal="right" vertical="center" indent="1"/>
      <protection locked="0"/>
    </xf>
    <xf numFmtId="0" fontId="0" fillId="10" borderId="49" xfId="0" applyFill="1" applyBorder="1" applyAlignment="1" applyProtection="1">
      <alignment horizontal="right" vertical="center" indent="1"/>
      <protection locked="0"/>
    </xf>
    <xf numFmtId="0" fontId="1" fillId="11" borderId="83" xfId="0" applyFont="1" applyFill="1" applyBorder="1" applyAlignment="1" applyProtection="1">
      <alignment horizontal="center"/>
      <protection locked="0"/>
    </xf>
    <xf numFmtId="0" fontId="1" fillId="11" borderId="70" xfId="0" applyFont="1" applyFill="1" applyBorder="1" applyAlignment="1" applyProtection="1">
      <alignment horizontal="center"/>
      <protection locked="0"/>
    </xf>
    <xf numFmtId="0" fontId="1" fillId="11" borderId="84" xfId="0" applyFont="1" applyFill="1" applyBorder="1" applyAlignment="1" applyProtection="1">
      <alignment horizontal="center"/>
      <protection locked="0"/>
    </xf>
    <xf numFmtId="0" fontId="1" fillId="10" borderId="107" xfId="0" applyFont="1" applyFill="1" applyBorder="1" applyAlignment="1" applyProtection="1">
      <alignment horizontal="center"/>
      <protection locked="0"/>
    </xf>
    <xf numFmtId="0" fontId="1" fillId="10" borderId="108" xfId="0" applyFont="1" applyFill="1" applyBorder="1" applyAlignment="1" applyProtection="1">
      <alignment horizontal="center"/>
      <protection locked="0"/>
    </xf>
    <xf numFmtId="0" fontId="1" fillId="10" borderId="109" xfId="0" applyFont="1" applyFill="1" applyBorder="1" applyAlignment="1" applyProtection="1">
      <alignment horizontal="center"/>
      <protection locked="0"/>
    </xf>
    <xf numFmtId="0" fontId="14" fillId="11" borderId="0" xfId="0" applyFont="1" applyFill="1" applyBorder="1" applyAlignment="1" applyProtection="1">
      <alignment horizontal="center" vertical="top" wrapText="1"/>
      <protection locked="0"/>
    </xf>
    <xf numFmtId="0" fontId="14" fillId="11" borderId="22" xfId="0" applyFont="1" applyFill="1" applyBorder="1" applyAlignment="1" applyProtection="1">
      <alignment horizontal="center" vertical="top" wrapText="1"/>
      <protection locked="0"/>
    </xf>
    <xf numFmtId="0" fontId="0" fillId="10" borderId="97" xfId="0" applyFont="1" applyFill="1" applyBorder="1" applyAlignment="1" applyProtection="1">
      <alignment horizontal="right" vertical="center"/>
      <protection locked="0"/>
    </xf>
    <xf numFmtId="0" fontId="0" fillId="10" borderId="98" xfId="0" applyFont="1" applyFill="1" applyBorder="1" applyAlignment="1" applyProtection="1">
      <alignment horizontal="right" vertical="center"/>
      <protection locked="0"/>
    </xf>
    <xf numFmtId="0" fontId="0" fillId="10" borderId="106" xfId="0" applyFill="1" applyBorder="1" applyAlignment="1" applyProtection="1">
      <alignment horizontal="right" vertical="center"/>
      <protection locked="0"/>
    </xf>
    <xf numFmtId="0" fontId="0" fillId="10" borderId="32" xfId="0" applyFill="1" applyBorder="1" applyAlignment="1" applyProtection="1">
      <alignment horizontal="right" vertical="center"/>
      <protection locked="0"/>
    </xf>
    <xf numFmtId="1" fontId="0" fillId="11" borderId="1" xfId="0" applyNumberFormat="1" applyFill="1" applyBorder="1" applyAlignment="1" applyProtection="1">
      <alignment horizontal="center" vertical="center"/>
    </xf>
    <xf numFmtId="1" fontId="0" fillId="11" borderId="29" xfId="0" applyNumberFormat="1" applyFill="1" applyBorder="1" applyAlignment="1" applyProtection="1">
      <alignment horizontal="center" vertical="center"/>
    </xf>
    <xf numFmtId="0" fontId="10" fillId="10" borderId="105" xfId="0" applyFont="1" applyFill="1" applyBorder="1" applyAlignment="1" applyProtection="1">
      <alignment horizontal="right" vertical="center"/>
      <protection locked="0"/>
    </xf>
    <xf numFmtId="0" fontId="10" fillId="10" borderId="1" xfId="0" applyFont="1" applyFill="1" applyBorder="1" applyAlignment="1" applyProtection="1">
      <alignment horizontal="right" vertical="center"/>
      <protection locked="0"/>
    </xf>
    <xf numFmtId="0" fontId="0" fillId="10" borderId="96" xfId="0" applyFill="1" applyBorder="1" applyAlignment="1" applyProtection="1">
      <alignment horizontal="right" vertical="center"/>
      <protection locked="0"/>
    </xf>
    <xf numFmtId="0" fontId="0" fillId="10" borderId="50" xfId="0" applyFill="1" applyBorder="1" applyAlignment="1" applyProtection="1">
      <alignment horizontal="right" vertical="center"/>
      <protection locked="0"/>
    </xf>
    <xf numFmtId="0" fontId="22" fillId="11" borderId="0" xfId="0" applyFont="1" applyFill="1" applyBorder="1" applyAlignment="1" applyProtection="1">
      <alignment horizontal="center" vertical="center" wrapText="1"/>
      <protection locked="0"/>
    </xf>
    <xf numFmtId="0" fontId="35" fillId="11" borderId="107" xfId="0" applyFont="1" applyFill="1" applyBorder="1" applyAlignment="1" applyProtection="1">
      <alignment horizontal="center" vertical="center" wrapText="1"/>
      <protection locked="0"/>
    </xf>
    <xf numFmtId="0" fontId="9" fillId="11" borderId="119" xfId="0" applyFont="1" applyFill="1" applyBorder="1" applyAlignment="1" applyProtection="1">
      <alignment horizontal="center" vertical="center" wrapText="1"/>
      <protection locked="0"/>
    </xf>
    <xf numFmtId="0" fontId="0" fillId="11" borderId="68" xfId="0" applyFill="1" applyBorder="1" applyAlignment="1" applyProtection="1">
      <alignment horizontal="center" vertical="center" wrapText="1"/>
      <protection locked="0"/>
    </xf>
    <xf numFmtId="0" fontId="0" fillId="11" borderId="33" xfId="0" applyFill="1" applyBorder="1" applyAlignment="1" applyProtection="1">
      <alignment horizontal="center" vertical="center" wrapText="1"/>
      <protection locked="0"/>
    </xf>
    <xf numFmtId="0" fontId="34" fillId="0" borderId="36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36" xfId="0" quotePrefix="1" applyNumberFormat="1" applyFont="1" applyBorder="1" applyAlignment="1">
      <alignment horizontal="center" vertical="center" wrapText="1"/>
    </xf>
    <xf numFmtId="0" fontId="34" fillId="0" borderId="43" xfId="0" quotePrefix="1" applyNumberFormat="1" applyFont="1" applyBorder="1" applyAlignment="1">
      <alignment horizontal="center" vertical="center" wrapText="1"/>
    </xf>
    <xf numFmtId="0" fontId="34" fillId="0" borderId="115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left" vertical="center"/>
    </xf>
    <xf numFmtId="0" fontId="0" fillId="11" borderId="12" xfId="0" applyFill="1" applyBorder="1" applyAlignment="1">
      <alignment horizontal="left" vertical="center"/>
    </xf>
    <xf numFmtId="0" fontId="0" fillId="11" borderId="11" xfId="0" applyFill="1" applyBorder="1" applyAlignment="1">
      <alignment horizontal="left" vertical="center"/>
    </xf>
    <xf numFmtId="0" fontId="0" fillId="10" borderId="75" xfId="0" applyFill="1" applyBorder="1" applyAlignment="1">
      <alignment horizontal="center" vertical="center"/>
    </xf>
    <xf numFmtId="0" fontId="0" fillId="10" borderId="76" xfId="0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0" fontId="0" fillId="10" borderId="7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4" fontId="0" fillId="10" borderId="55" xfId="0" applyNumberFormat="1" applyFill="1" applyBorder="1" applyAlignment="1">
      <alignment horizontal="center" vertical="center"/>
    </xf>
    <xf numFmtId="164" fontId="0" fillId="10" borderId="73" xfId="0" applyNumberFormat="1" applyFill="1" applyBorder="1" applyAlignment="1">
      <alignment horizontal="center" vertical="center"/>
    </xf>
    <xf numFmtId="0" fontId="1" fillId="10" borderId="10" xfId="0" applyFont="1" applyFill="1" applyBorder="1" applyAlignment="1" applyProtection="1">
      <alignment horizontal="center"/>
      <protection locked="0"/>
    </xf>
    <xf numFmtId="0" fontId="1" fillId="10" borderId="11" xfId="0" applyFont="1" applyFill="1" applyBorder="1" applyAlignment="1" applyProtection="1">
      <alignment horizontal="center"/>
      <protection locked="0"/>
    </xf>
    <xf numFmtId="0" fontId="1" fillId="10" borderId="2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/>
    </xf>
    <xf numFmtId="0" fontId="1" fillId="10" borderId="24" xfId="0" applyFont="1" applyFill="1" applyBorder="1" applyAlignment="1">
      <alignment horizontal="left" vertical="top"/>
    </xf>
    <xf numFmtId="0" fontId="1" fillId="10" borderId="62" xfId="0" applyFont="1" applyFill="1" applyBorder="1" applyAlignment="1">
      <alignment horizontal="left" vertical="top"/>
    </xf>
    <xf numFmtId="0" fontId="1" fillId="10" borderId="49" xfId="0" applyFont="1" applyFill="1" applyBorder="1" applyAlignment="1">
      <alignment horizontal="left" vertical="top"/>
    </xf>
    <xf numFmtId="0" fontId="1" fillId="10" borderId="3" xfId="0" applyFont="1" applyFill="1" applyBorder="1" applyAlignment="1">
      <alignment horizontal="left"/>
    </xf>
    <xf numFmtId="0" fontId="1" fillId="10" borderId="4" xfId="0" applyFont="1" applyFill="1" applyBorder="1" applyAlignment="1">
      <alignment horizontal="left"/>
    </xf>
    <xf numFmtId="0" fontId="16" fillId="0" borderId="45" xfId="0" applyFont="1" applyBorder="1" applyAlignment="1">
      <alignment horizontal="center" vertical="center" wrapText="1"/>
    </xf>
    <xf numFmtId="164" fontId="0" fillId="10" borderId="58" xfId="0" applyNumberFormat="1" applyFill="1" applyBorder="1" applyAlignment="1">
      <alignment horizontal="center" vertical="center"/>
    </xf>
    <xf numFmtId="164" fontId="0" fillId="10" borderId="42" xfId="0" applyNumberForma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center"/>
    </xf>
    <xf numFmtId="0" fontId="1" fillId="10" borderId="39" xfId="0" applyFont="1" applyFill="1" applyBorder="1" applyAlignment="1">
      <alignment horizontal="center" vertical="center" wrapText="1"/>
    </xf>
    <xf numFmtId="0" fontId="1" fillId="10" borderId="60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65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164" fontId="0" fillId="10" borderId="75" xfId="0" applyNumberFormat="1" applyFill="1" applyBorder="1" applyAlignment="1">
      <alignment horizontal="center" vertical="center"/>
    </xf>
    <xf numFmtId="164" fontId="0" fillId="10" borderId="76" xfId="0" applyNumberForma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right" vertical="center"/>
    </xf>
    <xf numFmtId="0" fontId="0" fillId="10" borderId="7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17" borderId="43" xfId="0" applyFill="1" applyBorder="1" applyAlignment="1">
      <alignment horizontal="center" vertical="center"/>
    </xf>
    <xf numFmtId="0" fontId="0" fillId="17" borderId="64" xfId="0" applyFill="1" applyBorder="1" applyAlignment="1">
      <alignment horizontal="center" vertical="center"/>
    </xf>
    <xf numFmtId="0" fontId="0" fillId="17" borderId="53" xfId="0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1" borderId="17" xfId="0" applyFill="1" applyBorder="1" applyAlignment="1">
      <alignment horizontal="left"/>
    </xf>
    <xf numFmtId="0" fontId="0" fillId="11" borderId="55" xfId="0" applyFill="1" applyBorder="1" applyAlignment="1">
      <alignment horizontal="left"/>
    </xf>
    <xf numFmtId="0" fontId="0" fillId="11" borderId="51" xfId="0" applyFill="1" applyBorder="1" applyAlignment="1">
      <alignment horizontal="left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16" borderId="10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2" fontId="0" fillId="10" borderId="10" xfId="0" applyNumberFormat="1" applyFill="1" applyBorder="1" applyAlignment="1">
      <alignment horizontal="center" vertical="center"/>
    </xf>
    <xf numFmtId="2" fontId="0" fillId="10" borderId="12" xfId="0" applyNumberFormat="1" applyFill="1" applyBorder="1" applyAlignment="1">
      <alignment horizontal="center" vertical="center"/>
    </xf>
    <xf numFmtId="2" fontId="0" fillId="10" borderId="11" xfId="0" applyNumberFormat="1" applyFill="1" applyBorder="1" applyAlignment="1">
      <alignment horizontal="center" vertical="center"/>
    </xf>
    <xf numFmtId="2" fontId="0" fillId="16" borderId="48" xfId="0" applyNumberFormat="1" applyFill="1" applyBorder="1" applyAlignment="1">
      <alignment horizontal="center" vertical="center"/>
    </xf>
    <xf numFmtId="2" fontId="0" fillId="16" borderId="69" xfId="0" applyNumberFormat="1" applyFill="1" applyBorder="1" applyAlignment="1">
      <alignment horizontal="center" vertical="center"/>
    </xf>
    <xf numFmtId="2" fontId="0" fillId="16" borderId="17" xfId="0" applyNumberFormat="1" applyFill="1" applyBorder="1" applyAlignment="1">
      <alignment horizontal="center" vertical="center"/>
    </xf>
    <xf numFmtId="2" fontId="0" fillId="16" borderId="73" xfId="0" applyNumberFormat="1" applyFill="1" applyBorder="1" applyAlignment="1">
      <alignment horizontal="center" vertical="center"/>
    </xf>
    <xf numFmtId="2" fontId="0" fillId="16" borderId="17" xfId="0" applyNumberFormat="1" applyFill="1" applyBorder="1" applyAlignment="1">
      <alignment horizontal="center"/>
    </xf>
    <xf numFmtId="2" fontId="0" fillId="16" borderId="73" xfId="0" applyNumberFormat="1" applyFill="1" applyBorder="1" applyAlignment="1">
      <alignment horizontal="center"/>
    </xf>
    <xf numFmtId="2" fontId="0" fillId="16" borderId="48" xfId="0" applyNumberFormat="1" applyFill="1" applyBorder="1" applyAlignment="1">
      <alignment horizontal="center"/>
    </xf>
    <xf numFmtId="2" fontId="0" fillId="16" borderId="69" xfId="0" applyNumberForma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6" borderId="10" xfId="0" applyFill="1" applyBorder="1" applyAlignment="1">
      <alignment horizontal="center" vertical="center" wrapText="1"/>
    </xf>
    <xf numFmtId="0" fontId="0" fillId="16" borderId="12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1" fillId="10" borderId="36" xfId="0" applyFont="1" applyFill="1" applyBorder="1" applyAlignment="1">
      <alignment horizontal="left" vertical="center"/>
    </xf>
    <xf numFmtId="0" fontId="1" fillId="10" borderId="37" xfId="0" applyFont="1" applyFill="1" applyBorder="1" applyAlignment="1">
      <alignment horizontal="left" vertical="center"/>
    </xf>
    <xf numFmtId="0" fontId="1" fillId="10" borderId="38" xfId="0" applyFont="1" applyFill="1" applyBorder="1" applyAlignment="1">
      <alignment horizontal="left" vertical="top"/>
    </xf>
    <xf numFmtId="0" fontId="1" fillId="10" borderId="21" xfId="0" applyFont="1" applyFill="1" applyBorder="1" applyAlignment="1">
      <alignment horizontal="left" vertical="top"/>
    </xf>
    <xf numFmtId="0" fontId="1" fillId="10" borderId="78" xfId="0" applyFont="1" applyFill="1" applyBorder="1" applyAlignment="1">
      <alignment horizontal="left" vertical="top"/>
    </xf>
    <xf numFmtId="0" fontId="1" fillId="10" borderId="37" xfId="0" applyFont="1" applyFill="1" applyBorder="1" applyAlignment="1">
      <alignment horizontal="left"/>
    </xf>
    <xf numFmtId="0" fontId="1" fillId="10" borderId="58" xfId="0" applyFont="1" applyFill="1" applyBorder="1" applyAlignment="1">
      <alignment horizontal="left"/>
    </xf>
    <xf numFmtId="0" fontId="21" fillId="11" borderId="10" xfId="0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74" xfId="0" applyFill="1" applyBorder="1" applyAlignment="1">
      <alignment horizontal="center" vertical="center"/>
    </xf>
    <xf numFmtId="0" fontId="1" fillId="10" borderId="2" xfId="0" applyNumberFormat="1" applyFont="1" applyFill="1" applyBorder="1" applyAlignment="1">
      <alignment horizontal="center" vertical="center" wrapText="1"/>
    </xf>
    <xf numFmtId="0" fontId="1" fillId="10" borderId="54" xfId="0" applyNumberFormat="1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</cellXfs>
  <cellStyles count="1">
    <cellStyle name="Normal" xfId="0" builtinId="0"/>
  </cellStyles>
  <dxfs count="26">
    <dxf>
      <fill>
        <patternFill>
          <bgColor theme="1"/>
        </patternFill>
      </fill>
    </dxf>
    <dxf>
      <font>
        <color theme="1"/>
      </font>
      <fill>
        <patternFill>
          <bgColor rgb="FF9999FF"/>
        </patternFill>
      </fill>
    </dxf>
    <dxf>
      <font>
        <color auto="1"/>
      </font>
      <fill>
        <patternFill>
          <bgColor rgb="FF00FFFF"/>
        </patternFill>
      </fill>
    </dxf>
    <dxf>
      <font>
        <color theme="1"/>
      </font>
      <fill>
        <patternFill>
          <bgColor rgb="FFFF66CC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966FF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9999FF"/>
        </patternFill>
      </fill>
    </dxf>
    <dxf>
      <font>
        <color auto="1"/>
      </font>
      <fill>
        <patternFill>
          <bgColor rgb="FF00FFFF"/>
        </patternFill>
      </fill>
    </dxf>
    <dxf>
      <font>
        <color theme="1"/>
      </font>
      <fill>
        <patternFill>
          <bgColor rgb="FFFF66CC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966FF"/>
        </patternFill>
      </fill>
    </dxf>
    <dxf>
      <font>
        <color theme="1"/>
      </font>
      <fill>
        <patternFill>
          <bgColor rgb="FFFF505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FF"/>
      <color rgb="FFFC42F3"/>
      <color rgb="FF9999FF"/>
      <color rgb="FF6DFFF8"/>
      <color rgb="FF00FFFF"/>
      <color rgb="FFFFFF66"/>
      <color rgb="FF1F4E79"/>
      <color rgb="FFFF5050"/>
      <color rgb="FFCC66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485598272425636E-2"/>
          <c:y val="3.8934358557293013E-2"/>
          <c:w val="0.96263974658146068"/>
          <c:h val="0.68456098648046348"/>
        </c:manualLayout>
      </c:layout>
      <c:scatterChart>
        <c:scatterStyle val="lineMarker"/>
        <c:varyColors val="0"/>
        <c:ser>
          <c:idx val="2"/>
          <c:order val="0"/>
          <c:tx>
            <c:v>Arm</c:v>
          </c:tx>
          <c:spPr>
            <a:ln w="381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GraphValues!$N$3:$N$7</c:f>
              <c:numCache>
                <c:formatCode>0.00</c:formatCode>
                <c:ptCount val="5"/>
                <c:pt idx="0">
                  <c:v>70</c:v>
                </c:pt>
                <c:pt idx="1">
                  <c:v>0</c:v>
                </c:pt>
                <c:pt idx="2">
                  <c:v>0</c:v>
                </c:pt>
                <c:pt idx="3">
                  <c:v>70</c:v>
                </c:pt>
                <c:pt idx="4">
                  <c:v>70</c:v>
                </c:pt>
              </c:numCache>
            </c:numRef>
          </c:xVal>
          <c:yVal>
            <c:numRef>
              <c:f>GraphValues!$O$3:$O$7</c:f>
              <c:numCache>
                <c:formatCode>0.00</c:formatCode>
                <c:ptCount val="5"/>
                <c:pt idx="0">
                  <c:v>-0.25</c:v>
                </c:pt>
                <c:pt idx="1">
                  <c:v>-0.48333333333333339</c:v>
                </c:pt>
                <c:pt idx="2">
                  <c:v>0.48333333333333339</c:v>
                </c:pt>
                <c:pt idx="3">
                  <c:v>0.25</c:v>
                </c:pt>
                <c:pt idx="4">
                  <c:v>-0.25</c:v>
                </c:pt>
              </c:numCache>
            </c:numRef>
          </c:yVal>
          <c:smooth val="0"/>
        </c:ser>
        <c:ser>
          <c:idx val="0"/>
          <c:order val="1"/>
          <c:tx>
            <c:v>Signal/Sign 10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GraphValues!$C$3:$C$8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GraphValues!$C$10:$C$18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1"/>
          <c:order val="2"/>
          <c:tx>
            <c:v>Signal/Sign 9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GraphValues!$D$3:$D$8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GraphValues!$D$10:$D$18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Signal/Sign 8</c:v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GraphValues!$E$3:$E$8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GraphValues!$E$10:$E$18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v>Signal/Sign 7</c:v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GraphValues!$F$3:$F$8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GraphValues!$F$10:$F$18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Signal/Sign 6</c:v>
          </c:tx>
          <c:spPr>
            <a:ln w="57150" cap="rnd">
              <a:solidFill>
                <a:srgbClr val="9933FF"/>
              </a:solidFill>
              <a:round/>
            </a:ln>
            <a:effectLst/>
          </c:spPr>
          <c:marker>
            <c:symbol val="none"/>
          </c:marker>
          <c:xVal>
            <c:numRef>
              <c:f>GraphValues!$G$3:$G$8</c:f>
              <c:numCache>
                <c:formatCode>0.00</c:formatCode>
                <c:ptCount val="6"/>
                <c:pt idx="0">
                  <c:v>53.916666666666664</c:v>
                </c:pt>
                <c:pt idx="1">
                  <c:v>56.083333333333336</c:v>
                </c:pt>
                <c:pt idx="2">
                  <c:v>56.083333333333336</c:v>
                </c:pt>
                <c:pt idx="3">
                  <c:v>53.916666666666664</c:v>
                </c:pt>
                <c:pt idx="4">
                  <c:v>53.916666666666664</c:v>
                </c:pt>
              </c:numCache>
            </c:numRef>
          </c:xVal>
          <c:yVal>
            <c:numRef>
              <c:f>GraphValues!$G$10:$G$18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v>Signal/Sign 5</c:v>
          </c:tx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GraphValues!$H$3:$H$8</c:f>
              <c:numCache>
                <c:formatCode>0.00</c:formatCode>
                <c:ptCount val="6"/>
                <c:pt idx="0">
                  <c:v>43.916666666666664</c:v>
                </c:pt>
                <c:pt idx="1">
                  <c:v>46.083333333333336</c:v>
                </c:pt>
                <c:pt idx="2">
                  <c:v>46.083333333333336</c:v>
                </c:pt>
                <c:pt idx="3">
                  <c:v>43.916666666666664</c:v>
                </c:pt>
                <c:pt idx="4">
                  <c:v>43.916666666666664</c:v>
                </c:pt>
              </c:numCache>
            </c:numRef>
          </c:xVal>
          <c:yVal>
            <c:numRef>
              <c:f>GraphValues!$H$10:$H$18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v>Signal/Sign 4</c:v>
          </c:tx>
          <c:spPr>
            <a:ln w="571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GraphValues!$I$3:$I$8</c:f>
              <c:numCache>
                <c:formatCode>0.00</c:formatCode>
                <c:ptCount val="6"/>
                <c:pt idx="0">
                  <c:v>33.916666666666664</c:v>
                </c:pt>
                <c:pt idx="1">
                  <c:v>36.083333333333336</c:v>
                </c:pt>
                <c:pt idx="2">
                  <c:v>36.083333333333336</c:v>
                </c:pt>
                <c:pt idx="3">
                  <c:v>33.916666666666664</c:v>
                </c:pt>
                <c:pt idx="4">
                  <c:v>33.916666666666664</c:v>
                </c:pt>
              </c:numCache>
            </c:numRef>
          </c:xVal>
          <c:yVal>
            <c:numRef>
              <c:f>GraphValues!$I$10:$I$18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v>Signal/Sign 3</c:v>
          </c:tx>
          <c:spPr>
            <a:ln w="57150" cap="rnd">
              <a:solidFill>
                <a:srgbClr val="FF66CC"/>
              </a:solidFill>
              <a:round/>
            </a:ln>
            <a:effectLst/>
          </c:spPr>
          <c:marker>
            <c:symbol val="none"/>
          </c:marker>
          <c:xVal>
            <c:numRef>
              <c:f>GraphValues!$J$3:$J$8</c:f>
              <c:numCache>
                <c:formatCode>0.00</c:formatCode>
                <c:ptCount val="6"/>
                <c:pt idx="0">
                  <c:v>26.916666666666668</c:v>
                </c:pt>
                <c:pt idx="1">
                  <c:v>29.083333333333332</c:v>
                </c:pt>
                <c:pt idx="2">
                  <c:v>29.083333333333332</c:v>
                </c:pt>
                <c:pt idx="3">
                  <c:v>26.916666666666668</c:v>
                </c:pt>
                <c:pt idx="4">
                  <c:v>26.916666666666668</c:v>
                </c:pt>
              </c:numCache>
            </c:numRef>
          </c:xVal>
          <c:yVal>
            <c:numRef>
              <c:f>GraphValues!$J$10:$J$18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v>Signal/Sign 2</c:v>
          </c:tx>
          <c:spPr>
            <a:ln w="57150" cap="rnd">
              <a:solidFill>
                <a:srgbClr val="00FFFF"/>
              </a:solidFill>
              <a:round/>
            </a:ln>
            <a:effectLst/>
          </c:spPr>
          <c:marker>
            <c:symbol val="none"/>
          </c:marker>
          <c:xVal>
            <c:numRef>
              <c:f>GraphValues!$K$3:$K$8</c:f>
              <c:numCache>
                <c:formatCode>0.00</c:formatCode>
                <c:ptCount val="6"/>
                <c:pt idx="0">
                  <c:v>20.916666666666668</c:v>
                </c:pt>
                <c:pt idx="1">
                  <c:v>23.083333333333332</c:v>
                </c:pt>
                <c:pt idx="2">
                  <c:v>23.083333333333332</c:v>
                </c:pt>
                <c:pt idx="3">
                  <c:v>20.916666666666668</c:v>
                </c:pt>
                <c:pt idx="4">
                  <c:v>20.916666666666668</c:v>
                </c:pt>
              </c:numCache>
            </c:numRef>
          </c:xVal>
          <c:yVal>
            <c:numRef>
              <c:f>GraphValues!$K$10:$K$18</c:f>
              <c:numCache>
                <c:formatCode>0.00</c:formatCode>
                <c:ptCount val="9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v>Signal/Sign 1</c:v>
          </c:tx>
          <c:spPr>
            <a:ln w="57150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GraphValues!$L$3:$L$8</c:f>
              <c:numCache>
                <c:formatCode>0.00</c:formatCode>
                <c:ptCount val="6"/>
                <c:pt idx="0">
                  <c:v>7</c:v>
                </c:pt>
                <c:pt idx="1">
                  <c:v>17</c:v>
                </c:pt>
                <c:pt idx="2">
                  <c:v>17</c:v>
                </c:pt>
                <c:pt idx="3">
                  <c:v>7</c:v>
                </c:pt>
                <c:pt idx="4">
                  <c:v>7</c:v>
                </c:pt>
              </c:numCache>
            </c:numRef>
          </c:xVal>
          <c:yVal>
            <c:numRef>
              <c:f>GraphValues!$L$10:$L$18</c:f>
              <c:numCache>
                <c:formatCode>0.00</c:formatCode>
                <c:ptCount val="9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8" formatCode="General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v>Pole</c:v>
          </c:tx>
          <c:spPr>
            <a:ln w="381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GraphValues!$N$10:$N$14</c:f>
              <c:numCache>
                <c:formatCode>0.00</c:formatCode>
                <c:ptCount val="5"/>
                <c:pt idx="0">
                  <c:v>-0.2</c:v>
                </c:pt>
                <c:pt idx="1">
                  <c:v>-1.1116666666666668</c:v>
                </c:pt>
                <c:pt idx="2">
                  <c:v>-0.87000000000000011</c:v>
                </c:pt>
                <c:pt idx="3">
                  <c:v>0</c:v>
                </c:pt>
                <c:pt idx="4">
                  <c:v>-0.2</c:v>
                </c:pt>
              </c:numCache>
            </c:numRef>
          </c:xVal>
          <c:yVal>
            <c:numRef>
              <c:f>GraphValues!$O$10:$O$14</c:f>
              <c:numCache>
                <c:formatCode>General</c:formatCode>
                <c:ptCount val="5"/>
                <c:pt idx="0">
                  <c:v>-5</c:v>
                </c:pt>
                <c:pt idx="1">
                  <c:v>-5</c:v>
                </c:pt>
                <c:pt idx="2">
                  <c:v>7</c:v>
                </c:pt>
                <c:pt idx="3">
                  <c:v>7</c:v>
                </c:pt>
                <c:pt idx="4">
                  <c:v>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68872"/>
        <c:axId val="148470832"/>
        <c:extLst/>
      </c:scatterChart>
      <c:valAx>
        <c:axId val="148468872"/>
        <c:scaling>
          <c:orientation val="maxMin"/>
          <c:max val="80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dash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70832"/>
        <c:crosses val="autoZero"/>
        <c:crossBetween val="midCat"/>
        <c:majorUnit val="5"/>
      </c:valAx>
      <c:valAx>
        <c:axId val="148470832"/>
        <c:scaling>
          <c:orientation val="minMax"/>
          <c:max val="5"/>
          <c:min val="-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lg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8872"/>
        <c:crosses val="autoZero"/>
        <c:crossBetween val="midCat"/>
        <c:majorUnit val="10"/>
      </c:valAx>
      <c:spPr>
        <a:solidFill>
          <a:schemeClr val="bg1">
            <a:lumMod val="85000"/>
          </a:schemeClr>
        </a:solidFill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290175926062137E-2"/>
          <c:y val="3.8934358557293013E-2"/>
          <c:w val="0.96263974658146068"/>
          <c:h val="0.68456098648046348"/>
        </c:manualLayout>
      </c:layout>
      <c:scatterChart>
        <c:scatterStyle val="lineMarker"/>
        <c:varyColors val="0"/>
        <c:ser>
          <c:idx val="2"/>
          <c:order val="0"/>
          <c:tx>
            <c:v>Arm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GraphValues!$N$19:$N$23</c:f>
              <c:numCache>
                <c:formatCode>0.00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40</c:v>
                </c:pt>
              </c:numCache>
            </c:numRef>
          </c:xVal>
          <c:yVal>
            <c:numRef>
              <c:f>GraphValues!$O$19:$O$23</c:f>
              <c:numCache>
                <c:formatCode>0.00</c:formatCode>
                <c:ptCount val="5"/>
                <c:pt idx="0">
                  <c:v>-0.25</c:v>
                </c:pt>
                <c:pt idx="1">
                  <c:v>-0.3833333333333333</c:v>
                </c:pt>
                <c:pt idx="2">
                  <c:v>0.3833333333333333</c:v>
                </c:pt>
                <c:pt idx="3">
                  <c:v>0.25</c:v>
                </c:pt>
                <c:pt idx="4">
                  <c:v>-0.25</c:v>
                </c:pt>
              </c:numCache>
            </c:numRef>
          </c:yVal>
          <c:smooth val="0"/>
        </c:ser>
        <c:ser>
          <c:idx val="0"/>
          <c:order val="1"/>
          <c:tx>
            <c:v>Signal/Sign 10</c:v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GraphValues!$C$19:$C$23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GraphValues!$C$26:$C$30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1"/>
          <c:order val="2"/>
          <c:tx>
            <c:v>Signal/Sign 9</c:v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GraphValues!$D$19:$D$23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GraphValues!$D$26:$D$30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Signal/Sign 8</c:v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GraphValues!$E$19:$E$23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GraphValues!$E$26:$E$30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v>Signal/Sign 7</c:v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GraphValues!$F$19:$F$23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GraphValues!$F$26:$F$30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Signal/Sign 6</c:v>
          </c:tx>
          <c:spPr>
            <a:ln w="57150" cap="rnd">
              <a:solidFill>
                <a:srgbClr val="9933FF"/>
              </a:solidFill>
              <a:round/>
            </a:ln>
            <a:effectLst/>
          </c:spPr>
          <c:marker>
            <c:symbol val="none"/>
          </c:marker>
          <c:xVal>
            <c:numRef>
              <c:f>GraphValues!$G$19:$G$23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GraphValues!$G$26:$G$30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v>Signal/Sign 5</c:v>
          </c:tx>
          <c:spPr>
            <a:ln w="571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GraphValues!$H$19:$H$23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GraphValues!$H$26:$H$30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v>Signal/Sign 4</c:v>
          </c:tx>
          <c:spPr>
            <a:ln w="508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GraphValues!$I$19:$I$23</c:f>
              <c:numCache>
                <c:formatCode>0.00</c:formatCode>
                <c:ptCount val="5"/>
                <c:pt idx="0">
                  <c:v>36.916666666666664</c:v>
                </c:pt>
                <c:pt idx="1">
                  <c:v>39.083333333333336</c:v>
                </c:pt>
                <c:pt idx="2">
                  <c:v>39.083333333333336</c:v>
                </c:pt>
                <c:pt idx="3">
                  <c:v>36.916666666666664</c:v>
                </c:pt>
                <c:pt idx="4">
                  <c:v>36.916666666666664</c:v>
                </c:pt>
              </c:numCache>
            </c:numRef>
          </c:xVal>
          <c:yVal>
            <c:numRef>
              <c:f>GraphValues!$I$26:$I$30</c:f>
              <c:numCache>
                <c:formatCode>0.00</c:formatCode>
                <c:ptCount val="5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</c:numCache>
            </c:numRef>
          </c:yVal>
          <c:smooth val="0"/>
        </c:ser>
        <c:ser>
          <c:idx val="8"/>
          <c:order val="8"/>
          <c:tx>
            <c:v>Signal/Sign 3</c:v>
          </c:tx>
          <c:spPr>
            <a:ln w="57150" cap="rnd">
              <a:solidFill>
                <a:srgbClr val="FC42F3"/>
              </a:solidFill>
              <a:round/>
            </a:ln>
            <a:effectLst/>
          </c:spPr>
          <c:marker>
            <c:symbol val="none"/>
          </c:marker>
          <c:xVal>
            <c:numRef>
              <c:f>GraphValues!$J$19:$J$23</c:f>
              <c:numCache>
                <c:formatCode>0.00</c:formatCode>
                <c:ptCount val="5"/>
                <c:pt idx="0">
                  <c:v>26.916666666666668</c:v>
                </c:pt>
                <c:pt idx="1">
                  <c:v>29.083333333333332</c:v>
                </c:pt>
                <c:pt idx="2">
                  <c:v>29.083333333333332</c:v>
                </c:pt>
                <c:pt idx="3">
                  <c:v>26.916666666666668</c:v>
                </c:pt>
                <c:pt idx="4">
                  <c:v>26.916666666666668</c:v>
                </c:pt>
              </c:numCache>
            </c:numRef>
          </c:xVal>
          <c:yVal>
            <c:numRef>
              <c:f>GraphValues!$J$26:$J$30</c:f>
              <c:numCache>
                <c:formatCode>0.00</c:formatCode>
                <c:ptCount val="5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</c:numCache>
            </c:numRef>
          </c:yVal>
          <c:smooth val="0"/>
        </c:ser>
        <c:ser>
          <c:idx val="9"/>
          <c:order val="9"/>
          <c:tx>
            <c:v>Signal/Sign 2</c:v>
          </c:tx>
          <c:spPr>
            <a:ln w="57150" cap="rnd">
              <a:solidFill>
                <a:srgbClr val="6DFFF8"/>
              </a:solidFill>
              <a:round/>
            </a:ln>
            <a:effectLst/>
          </c:spPr>
          <c:marker>
            <c:symbol val="none"/>
          </c:marker>
          <c:xVal>
            <c:numRef>
              <c:f>GraphValues!$K$19:$K$23</c:f>
              <c:numCache>
                <c:formatCode>0.00</c:formatCode>
                <c:ptCount val="5"/>
                <c:pt idx="0">
                  <c:v>17.916666666666668</c:v>
                </c:pt>
                <c:pt idx="1">
                  <c:v>20.083333333333332</c:v>
                </c:pt>
                <c:pt idx="2">
                  <c:v>20.083333333333332</c:v>
                </c:pt>
                <c:pt idx="3">
                  <c:v>17.916666666666668</c:v>
                </c:pt>
                <c:pt idx="4">
                  <c:v>17.916666666666668</c:v>
                </c:pt>
              </c:numCache>
            </c:numRef>
          </c:xVal>
          <c:yVal>
            <c:numRef>
              <c:f>GraphValues!$K$26:$K$30</c:f>
              <c:numCache>
                <c:formatCode>0.00</c:formatCode>
                <c:ptCount val="5"/>
                <c:pt idx="0">
                  <c:v>-2.25</c:v>
                </c:pt>
                <c:pt idx="1">
                  <c:v>-2.25</c:v>
                </c:pt>
                <c:pt idx="2">
                  <c:v>2.25</c:v>
                </c:pt>
                <c:pt idx="3">
                  <c:v>2.25</c:v>
                </c:pt>
                <c:pt idx="4">
                  <c:v>-2.25</c:v>
                </c:pt>
              </c:numCache>
            </c:numRef>
          </c:yVal>
          <c:smooth val="0"/>
        </c:ser>
        <c:ser>
          <c:idx val="10"/>
          <c:order val="10"/>
          <c:tx>
            <c:v>Signal/Sign 1</c:v>
          </c:tx>
          <c:spPr>
            <a:ln w="57150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GraphValues!$L$19:$L$23</c:f>
              <c:numCache>
                <c:formatCode>0.00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15</c:v>
                </c:pt>
                <c:pt idx="3">
                  <c:v>5</c:v>
                </c:pt>
                <c:pt idx="4">
                  <c:v>5</c:v>
                </c:pt>
              </c:numCache>
            </c:numRef>
          </c:xVal>
          <c:yVal>
            <c:numRef>
              <c:f>GraphValues!$L$26:$L$30</c:f>
              <c:numCache>
                <c:formatCode>0.00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</c:numCache>
            </c:numRef>
          </c:yVal>
          <c:smooth val="0"/>
        </c:ser>
        <c:ser>
          <c:idx val="11"/>
          <c:order val="11"/>
          <c:tx>
            <c:v>Pole</c:v>
          </c:tx>
          <c:spPr>
            <a:ln w="381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GraphValues!$N$10:$N$14</c:f>
              <c:numCache>
                <c:formatCode>0.00</c:formatCode>
                <c:ptCount val="5"/>
                <c:pt idx="0">
                  <c:v>-0.2</c:v>
                </c:pt>
                <c:pt idx="1">
                  <c:v>-1.1116666666666668</c:v>
                </c:pt>
                <c:pt idx="2">
                  <c:v>-0.87000000000000011</c:v>
                </c:pt>
                <c:pt idx="3">
                  <c:v>0</c:v>
                </c:pt>
                <c:pt idx="4">
                  <c:v>-0.2</c:v>
                </c:pt>
              </c:numCache>
            </c:numRef>
          </c:xVal>
          <c:yVal>
            <c:numRef>
              <c:f>GraphValues!$O$10:$O$14</c:f>
              <c:numCache>
                <c:formatCode>General</c:formatCode>
                <c:ptCount val="5"/>
                <c:pt idx="0">
                  <c:v>-5</c:v>
                </c:pt>
                <c:pt idx="1">
                  <c:v>-5</c:v>
                </c:pt>
                <c:pt idx="2">
                  <c:v>7</c:v>
                </c:pt>
                <c:pt idx="3">
                  <c:v>7</c:v>
                </c:pt>
                <c:pt idx="4">
                  <c:v>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018696"/>
        <c:axId val="273021832"/>
        <c:extLst/>
      </c:scatterChart>
      <c:valAx>
        <c:axId val="273018696"/>
        <c:scaling>
          <c:orientation val="maxMin"/>
          <c:max val="80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prstDash val="dash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21832"/>
        <c:crosses val="autoZero"/>
        <c:crossBetween val="midCat"/>
        <c:majorUnit val="5"/>
      </c:valAx>
      <c:valAx>
        <c:axId val="273021832"/>
        <c:scaling>
          <c:orientation val="minMax"/>
          <c:max val="5"/>
          <c:min val="-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lg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18696"/>
        <c:crosses val="autoZero"/>
        <c:crossBetween val="midCat"/>
        <c:majorUnit val="10"/>
      </c:valAx>
      <c:spPr>
        <a:solidFill>
          <a:schemeClr val="bg1">
            <a:lumMod val="85000"/>
          </a:schemeClr>
        </a:solidFill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Arm Loads And Resistances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4494094488188976"/>
          <c:y val="5.92592592592592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854501357640998E-2"/>
          <c:y val="1.909445716448565E-2"/>
          <c:w val="0.90091469816272962"/>
          <c:h val="0.86740988184557744"/>
        </c:manualLayout>
      </c:layout>
      <c:scatterChart>
        <c:scatterStyle val="lineMarker"/>
        <c:varyColors val="0"/>
        <c:ser>
          <c:idx val="1"/>
          <c:order val="0"/>
          <c:tx>
            <c:v>HD Arm 1 Resistance</c:v>
          </c:tx>
          <c:spPr>
            <a:ln w="25400" cap="rnd">
              <a:solidFill>
                <a:srgbClr val="FF5050"/>
              </a:solidFill>
              <a:round/>
            </a:ln>
            <a:effectLst/>
          </c:spPr>
          <c:marker>
            <c:symbol val="plus"/>
            <c:size val="8"/>
            <c:spPr>
              <a:solidFill>
                <a:schemeClr val="accent2"/>
              </a:solidFill>
              <a:ln w="9525">
                <a:solidFill>
                  <a:srgbClr val="FF5050"/>
                </a:solidFill>
              </a:ln>
              <a:effectLst/>
            </c:spPr>
          </c:marker>
          <c:dPt>
            <c:idx val="3"/>
            <c:marker>
              <c:symbol val="plus"/>
              <c:size val="8"/>
              <c:spPr>
                <a:solidFill>
                  <a:schemeClr val="accent2"/>
                </a:solidFill>
                <a:ln w="9525">
                  <a:solidFill>
                    <a:srgbClr val="FF505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FF5050"/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6.5961792089421656E-2"/>
                  <c:y val="-3.6491594867558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3714759535655094E-2"/>
                  <c:y val="-3.79191466163089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1702902808791E-2"/>
                      <c:h val="4.1567384376738778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5.46642117496507E-2"/>
                  <c:y val="-2.907821747121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417048615191754E-2"/>
                  <c:y val="-1.8809511766061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100299029785454E-2"/>
                  <c:y val="-2.6223113973708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3855786683380993E-2"/>
                  <c:y val="-1.3675271319136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'CFI&amp;Designation'!$A$6:$A$11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78</c:v>
                </c:pt>
              </c:numCache>
            </c:numRef>
          </c:xVal>
          <c:yVal>
            <c:numRef>
              <c:f>'CFI&amp;Designation'!$O$6:$O$11</c:f>
              <c:numCache>
                <c:formatCode>0</c:formatCode>
                <c:ptCount val="6"/>
                <c:pt idx="0">
                  <c:v>125</c:v>
                </c:pt>
                <c:pt idx="1">
                  <c:v>166</c:v>
                </c:pt>
                <c:pt idx="2">
                  <c:v>244</c:v>
                </c:pt>
                <c:pt idx="3">
                  <c:v>340</c:v>
                </c:pt>
                <c:pt idx="4">
                  <c:v>422</c:v>
                </c:pt>
                <c:pt idx="5">
                  <c:v>512</c:v>
                </c:pt>
              </c:numCache>
            </c:numRef>
          </c:yVal>
          <c:smooth val="0"/>
        </c:ser>
        <c:ser>
          <c:idx val="0"/>
          <c:order val="1"/>
          <c:tx>
            <c:v>Reg Arm 1 Resistance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plus"/>
            <c:size val="8"/>
            <c:spPr>
              <a:solidFill>
                <a:schemeClr val="accent1"/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767030986798294E-2"/>
                  <c:y val="-2.9653959207989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077943615257047E-2"/>
                  <c:y val="-1.9360973882547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2466799858972853E-2"/>
                  <c:y val="-1.8233545217982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8830780480798109E-2"/>
                  <c:y val="-2.05129069787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632258654235385E-2"/>
                  <c:y val="-2.2792043928127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6053067993366498E-2"/>
                  <c:y val="-2.05129069787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'CFI&amp;Designation'!$A$6:$A$11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78</c:v>
                </c:pt>
              </c:numCache>
            </c:numRef>
          </c:xVal>
          <c:yVal>
            <c:numRef>
              <c:f>'CFI&amp;Designation'!$H$6:$H$11</c:f>
              <c:numCache>
                <c:formatCode>0</c:formatCode>
                <c:ptCount val="6"/>
                <c:pt idx="0">
                  <c:v>107</c:v>
                </c:pt>
                <c:pt idx="1">
                  <c:v>145</c:v>
                </c:pt>
                <c:pt idx="2">
                  <c:v>215</c:v>
                </c:pt>
                <c:pt idx="3">
                  <c:v>300</c:v>
                </c:pt>
                <c:pt idx="4">
                  <c:v>380</c:v>
                </c:pt>
                <c:pt idx="5">
                  <c:v>422</c:v>
                </c:pt>
              </c:numCache>
            </c:numRef>
          </c:yVal>
          <c:smooth val="0"/>
        </c:ser>
        <c:ser>
          <c:idx val="3"/>
          <c:order val="2"/>
          <c:tx>
            <c:v>HD Arm 1 Load</c:v>
          </c:tx>
          <c:spPr>
            <a:ln w="762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F4E79"/>
              </a:solidFill>
              <a:ln w="76200" cap="rnd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2222222222222223E-2"/>
                  <c:y val="9.11680911680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Arm1Design!$D$24</c:f>
              <c:numCache>
                <c:formatCode>General</c:formatCode>
                <c:ptCount val="1"/>
                <c:pt idx="0">
                  <c:v>70</c:v>
                </c:pt>
              </c:numCache>
            </c:numRef>
          </c:xVal>
          <c:yVal>
            <c:numRef>
              <c:f>Arm1Design!$I$29</c:f>
              <c:numCache>
                <c:formatCode>0</c:formatCode>
                <c:ptCount val="1"/>
                <c:pt idx="0">
                  <c:v>268.84516597507326</c:v>
                </c:pt>
              </c:numCache>
            </c:numRef>
          </c:yVal>
          <c:smooth val="0"/>
        </c:ser>
        <c:ser>
          <c:idx val="2"/>
          <c:order val="3"/>
          <c:tx>
            <c:v>Reg. Arm 1 Load</c:v>
          </c:tx>
          <c:spPr>
            <a:ln w="76200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76200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1111111111111112E-2"/>
                  <c:y val="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Arm1Design!$D$24</c:f>
              <c:numCache>
                <c:formatCode>General</c:formatCode>
                <c:ptCount val="1"/>
                <c:pt idx="0">
                  <c:v>70</c:v>
                </c:pt>
              </c:numCache>
            </c:numRef>
          </c:xVal>
          <c:yVal>
            <c:numRef>
              <c:f>Arm1Design!$H$29</c:f>
              <c:numCache>
                <c:formatCode>0</c:formatCode>
                <c:ptCount val="1"/>
                <c:pt idx="0">
                  <c:v>254.00755582003919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025752"/>
        <c:axId val="273024968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'CFI&amp;Designation'!$S$46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'CFI&amp;Designation'!$T$47:$T$62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'CFI&amp;Designation'!$T$46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'CFI&amp;Designation'!$U$47:$U$62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'CFI&amp;Designation'!$U$46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'CFI&amp;Designation'!$V$47:$V$62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'CFI&amp;Designation'!$V$46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'CFI&amp;Designation'!$W$47:$W$62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'CFI&amp;Designation'!$W$46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'CFI&amp;Designation'!$O$47:$O$62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'CFI&amp;Designation'!$X$47:$X$62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73025752"/>
        <c:scaling>
          <c:orientation val="minMax"/>
          <c:max val="80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Arm Lengths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24968"/>
        <c:crosses val="autoZero"/>
        <c:crossBetween val="midCat"/>
      </c:valAx>
      <c:valAx>
        <c:axId val="27302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Arm Moment</a:t>
                </a:r>
                <a:endParaRPr lang="en-US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25752"/>
        <c:crosses val="autoZero"/>
        <c:crossBetween val="midCat"/>
      </c:valAx>
      <c:spPr>
        <a:solidFill>
          <a:schemeClr val="bg1">
            <a:lumMod val="95000"/>
          </a:schemeClr>
        </a:solidFill>
        <a:ln w="25400">
          <a:solidFill>
            <a:schemeClr val="tx2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939971566054245"/>
          <c:y val="0.12507957018193236"/>
          <c:w val="0.67452945247515705"/>
          <c:h val="4.818020873729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254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checked="Checked" firstButton="1" fmlaLink="$H$7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checked="Checked" firstButton="1" fmlaLink="$I$7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Radio" firstButton="1" fmlaLink="$J$7" lockText="1" noThreeD="1"/>
</file>

<file path=xl/ctrlProps/ctrlProp114.xml><?xml version="1.0" encoding="utf-8"?>
<formControlPr xmlns="http://schemas.microsoft.com/office/spreadsheetml/2009/9/main" objectType="Radio" checked="Checked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fmlaLink="$K$7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firstButton="1" fmlaLink="Arm2Design!$L$7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checked="Checked" firstButton="1" fmlaLink="$E$7" lockText="1" noThreeD="1"/>
</file>

<file path=xl/ctrlProps/ctrlProp130.xml><?xml version="1.0" encoding="utf-8"?>
<formControlPr xmlns="http://schemas.microsoft.com/office/spreadsheetml/2009/9/main" objectType="Radio" firstButton="1" fmlaLink="$M$7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checked="Checked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List" dx="22" fmlaLink="Dimensions!$C$41" fmlaRange="Dimensions!$AF$2:$AF$8" noThreeD="1" sel="3" val="0"/>
</file>

<file path=xl/ctrlProps/ctrlProp137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firstButton="1" fmlaLink="$F$7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fmlaLink="Dimensions!$C$39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$G$7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fmlaLink="$H$7" lockText="1" noThreeD="1"/>
</file>

<file path=xl/ctrlProps/ctrlProp33.xml><?xml version="1.0" encoding="utf-8"?>
<formControlPr xmlns="http://schemas.microsoft.com/office/spreadsheetml/2009/9/main" objectType="Radio" checked="Checked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fmlaLink="$I$7" lockText="1" noThreeD="1"/>
</file>

<file path=xl/ctrlProps/ctrlProp39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checked="Checked" firstButton="1" fmlaLink="Dimensions!$C$43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firstButton="1" fmlaLink="$J$7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firstButton="1" fmlaLink="$K$7" lockText="1" noThreeD="1"/>
</file>

<file path=xl/ctrlProps/ctrlProp51.xml><?xml version="1.0" encoding="utf-8"?>
<formControlPr xmlns="http://schemas.microsoft.com/office/spreadsheetml/2009/9/main" objectType="Radio" checked="Checked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firstButton="1" fmlaLink="Arm1Design!$L$7" lockText="1" noThreeD="1"/>
</file>

<file path=xl/ctrlProps/ctrlProp56.xml><?xml version="1.0" encoding="utf-8"?>
<formControlPr xmlns="http://schemas.microsoft.com/office/spreadsheetml/2009/9/main" objectType="Radio" checked="Checked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firstButton="1" fmlaLink="$M$7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checked="Checked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List" dx="22" fmlaLink="Dimensions!$C$40" fmlaRange="Dimensions!$AF$3:$AF$8" noThreeD="1" sel="5" val="0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firstButton="1" fmlaLink="Dimensions!$C$42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checked="Checked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fmlaLink="Dimensions!$C$44" lockText="1" noThreeD="1"/>
</file>

<file path=xl/ctrlProps/ctrlProp74.xml><?xml version="1.0" encoding="utf-8"?>
<formControlPr xmlns="http://schemas.microsoft.com/office/spreadsheetml/2009/9/main" objectType="Radio" checked="Checked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checked="Checked" firstButton="1" fmlaLink="$D$7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checked="Checked" firstButton="1" fmlaLink="$D$7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checked="Checked" firstButton="1" fmlaLink="$E$7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checked="Checked" firstButton="1" fmlaLink="$F$7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checked="Checked" firstButton="1" fmlaLink="$G$7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14</xdr:row>
      <xdr:rowOff>66675</xdr:rowOff>
    </xdr:from>
    <xdr:to>
      <xdr:col>13</xdr:col>
      <xdr:colOff>399833</xdr:colOff>
      <xdr:row>18</xdr:row>
      <xdr:rowOff>152285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3067050"/>
          <a:ext cx="1733333" cy="923810"/>
        </a:xfrm>
        <a:prstGeom prst="rect">
          <a:avLst/>
        </a:prstGeom>
        <a:ln w="12700"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723900</xdr:colOff>
          <xdr:row>7</xdr:row>
          <xdr:rowOff>0</xdr:rowOff>
        </xdr:to>
        <xdr:sp macro="" textlink="">
          <xdr:nvSpPr>
            <xdr:cNvPr id="1262" name="Group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5</xdr:row>
          <xdr:rowOff>180975</xdr:rowOff>
        </xdr:from>
        <xdr:to>
          <xdr:col>4</xdr:col>
          <xdr:colOff>0</xdr:colOff>
          <xdr:row>6</xdr:row>
          <xdr:rowOff>1352550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742950</xdr:rowOff>
        </xdr:from>
        <xdr:to>
          <xdr:col>2</xdr:col>
          <xdr:colOff>133350</xdr:colOff>
          <xdr:row>6</xdr:row>
          <xdr:rowOff>1266825</xdr:rowOff>
        </xdr:to>
        <xdr:sp macro="" textlink="">
          <xdr:nvSpPr>
            <xdr:cNvPr id="1056" name="Group Box 32" descr="Back Plates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Back Plates?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47625</xdr:rowOff>
        </xdr:from>
        <xdr:to>
          <xdr:col>2</xdr:col>
          <xdr:colOff>133350</xdr:colOff>
          <xdr:row>6</xdr:row>
          <xdr:rowOff>676275</xdr:rowOff>
        </xdr:to>
        <xdr:sp macro="" textlink="">
          <xdr:nvSpPr>
            <xdr:cNvPr id="1055" name="Group Box 31" descr="Signal Orientation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Signal Orientation</a:t>
              </a:r>
            </a:p>
          </xdr:txBody>
        </xdr:sp>
        <xdr:clientData/>
      </xdr:twoCellAnchor>
    </mc:Choice>
    <mc:Fallback/>
  </mc:AlternateContent>
  <xdr:twoCellAnchor editAs="absolute">
    <xdr:from>
      <xdr:col>1</xdr:col>
      <xdr:colOff>1</xdr:colOff>
      <xdr:row>11</xdr:row>
      <xdr:rowOff>123825</xdr:rowOff>
    </xdr:from>
    <xdr:to>
      <xdr:col>12</xdr:col>
      <xdr:colOff>742950</xdr:colOff>
      <xdr:row>22</xdr:row>
      <xdr:rowOff>57150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6</xdr:row>
          <xdr:rowOff>200025</xdr:rowOff>
        </xdr:from>
        <xdr:to>
          <xdr:col>2</xdr:col>
          <xdr:colOff>95250</xdr:colOff>
          <xdr:row>6</xdr:row>
          <xdr:rowOff>571500</xdr:rowOff>
        </xdr:to>
        <xdr:grpSp>
          <xdr:nvGrpSpPr>
            <xdr:cNvPr id="4" name="Group 3" title="Signal Orientation"/>
            <xdr:cNvGrpSpPr/>
          </xdr:nvGrpSpPr>
          <xdr:grpSpPr>
            <a:xfrm>
              <a:off x="361950" y="1400175"/>
              <a:ext cx="857250" cy="371475"/>
              <a:chOff x="4467225" y="104775"/>
              <a:chExt cx="742950" cy="419100"/>
            </a:xfrm>
            <a:solidFill>
              <a:schemeClr val="bg1">
                <a:lumMod val="95000"/>
              </a:schemeClr>
            </a:solidFill>
          </xdr:grpSpPr>
          <xdr:sp macro="" textlink="">
            <xdr:nvSpPr>
              <xdr:cNvPr id="1045" name="Option Button 21" hidden="1">
                <a:extLst>
                  <a:ext uri="{63B3BB69-23CF-44E3-9099-C40C66FF867C}">
                    <a14:compatExt spid="_x0000_s1045"/>
                  </a:ext>
                </a:extLst>
              </xdr:cNvPr>
              <xdr:cNvSpPr/>
            </xdr:nvSpPr>
            <xdr:spPr bwMode="auto">
              <a:xfrm>
                <a:off x="4467225" y="104775"/>
                <a:ext cx="742950" cy="209550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Vertical</a:t>
                </a:r>
              </a:p>
            </xdr:txBody>
          </xdr:sp>
          <xdr:sp macro="" textlink="">
            <xdr:nvSpPr>
              <xdr:cNvPr id="1046" name="Option Button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/>
            </xdr:nvSpPr>
            <xdr:spPr bwMode="auto">
              <a:xfrm>
                <a:off x="4467225" y="314325"/>
                <a:ext cx="742950" cy="209550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8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Horizontal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6</xdr:row>
          <xdr:rowOff>876300</xdr:rowOff>
        </xdr:from>
        <xdr:to>
          <xdr:col>2</xdr:col>
          <xdr:colOff>114300</xdr:colOff>
          <xdr:row>6</xdr:row>
          <xdr:rowOff>1200150</xdr:rowOff>
        </xdr:to>
        <xdr:grpSp>
          <xdr:nvGrpSpPr>
            <xdr:cNvPr id="6" name="Group 5"/>
            <xdr:cNvGrpSpPr/>
          </xdr:nvGrpSpPr>
          <xdr:grpSpPr>
            <a:xfrm>
              <a:off x="419100" y="2076450"/>
              <a:ext cx="819150" cy="323850"/>
              <a:chOff x="4505325" y="276225"/>
              <a:chExt cx="485775" cy="400050"/>
            </a:xfrm>
            <a:solidFill>
              <a:schemeClr val="bg1">
                <a:lumMod val="85000"/>
              </a:schemeClr>
            </a:solidFill>
          </xdr:grpSpPr>
          <xdr:sp macro="" textlink="">
            <xdr:nvSpPr>
              <xdr:cNvPr id="1050" name="Option Button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 bwMode="auto">
              <a:xfrm>
                <a:off x="4505325" y="276225"/>
                <a:ext cx="485775" cy="209550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51" name="Option Button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 bwMode="auto">
              <a:xfrm>
                <a:off x="4505325" y="466725"/>
                <a:ext cx="485775" cy="209550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76197</xdr:colOff>
          <xdr:row>6</xdr:row>
          <xdr:rowOff>72461</xdr:rowOff>
        </xdr:from>
        <xdr:to>
          <xdr:col>3</xdr:col>
          <xdr:colOff>658072</xdr:colOff>
          <xdr:row>6</xdr:row>
          <xdr:rowOff>1091280</xdr:rowOff>
        </xdr:to>
        <xdr:grpSp>
          <xdr:nvGrpSpPr>
            <xdr:cNvPr id="9" name="Group 8"/>
            <xdr:cNvGrpSpPr/>
          </xdr:nvGrpSpPr>
          <xdr:grpSpPr>
            <a:xfrm>
              <a:off x="2333622" y="1272611"/>
              <a:ext cx="581875" cy="1018819"/>
              <a:chOff x="1733547" y="1558361"/>
              <a:chExt cx="581875" cy="1018819"/>
            </a:xfrm>
          </xdr:grpSpPr>
          <xdr:sp macro="" textlink="">
            <xdr:nvSpPr>
              <xdr:cNvPr id="1062" name="Option Button 38" descr="None" hidden="1">
                <a:extLst>
                  <a:ext uri="{63B3BB69-23CF-44E3-9099-C40C66FF867C}">
                    <a14:compatExt spid="_x0000_s1062"/>
                  </a:ext>
                </a:extLst>
              </xdr:cNvPr>
              <xdr:cNvSpPr/>
            </xdr:nvSpPr>
            <xdr:spPr bwMode="auto">
              <a:xfrm>
                <a:off x="1733552" y="1558361"/>
                <a:ext cx="581029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063" name="Option Button 39" descr="3 Head" hidden="1">
                <a:extLst>
                  <a:ext uri="{63B3BB69-23CF-44E3-9099-C40C66FF867C}">
                    <a14:compatExt spid="_x0000_s1063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064" name="Option Button 40" descr="4 Head" hidden="1">
                <a:extLst>
                  <a:ext uri="{63B3BB69-23CF-44E3-9099-C40C66FF867C}">
                    <a14:compatExt spid="_x0000_s1064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065" name="Option Button 41" descr="5 Head" hidden="1">
                <a:extLst>
                  <a:ext uri="{63B3BB69-23CF-44E3-9099-C40C66FF867C}">
                    <a14:compatExt spid="_x0000_s1065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069" name="Option Button 45" descr="Dog House" hidden="1">
                <a:extLst>
                  <a:ext uri="{63B3BB69-23CF-44E3-9099-C40C66FF867C}">
                    <a14:compatExt spid="_x0000_s1069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3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6</xdr:row>
          <xdr:rowOff>76200</xdr:rowOff>
        </xdr:from>
        <xdr:to>
          <xdr:col>4</xdr:col>
          <xdr:colOff>667597</xdr:colOff>
          <xdr:row>6</xdr:row>
          <xdr:rowOff>1121903</xdr:rowOff>
        </xdr:to>
        <xdr:grpSp>
          <xdr:nvGrpSpPr>
            <xdr:cNvPr id="77" name="Group 76"/>
            <xdr:cNvGrpSpPr/>
          </xdr:nvGrpSpPr>
          <xdr:grpSpPr>
            <a:xfrm>
              <a:off x="3076575" y="1276350"/>
              <a:ext cx="581872" cy="1045703"/>
              <a:chOff x="1733547" y="1558361"/>
              <a:chExt cx="581872" cy="1045703"/>
            </a:xfrm>
          </xdr:grpSpPr>
          <xdr:sp macro="" textlink="">
            <xdr:nvSpPr>
              <xdr:cNvPr id="1107" name="Option Button 83" descr="None" hidden="1">
                <a:extLst>
                  <a:ext uri="{63B3BB69-23CF-44E3-9099-C40C66FF867C}">
                    <a14:compatExt spid="_x0000_s1107"/>
                  </a:ext>
                </a:extLst>
              </xdr:cNvPr>
              <xdr:cNvSpPr/>
            </xdr:nvSpPr>
            <xdr:spPr bwMode="auto">
              <a:xfrm>
                <a:off x="1733553" y="1558361"/>
                <a:ext cx="58102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08" name="Option Button 84" descr="3 Head" hidden="1">
                <a:extLst>
                  <a:ext uri="{63B3BB69-23CF-44E3-9099-C40C66FF867C}">
                    <a14:compatExt spid="_x0000_s1108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09" name="Option Button 85" descr="4 Head" hidden="1">
                <a:extLst>
                  <a:ext uri="{63B3BB69-23CF-44E3-9099-C40C66FF867C}">
                    <a14:compatExt spid="_x0000_s1109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10" name="Option Button 86" descr="5 Head" hidden="1">
                <a:extLst>
                  <a:ext uri="{63B3BB69-23CF-44E3-9099-C40C66FF867C}">
                    <a14:compatExt spid="_x0000_s1110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11" name="Option Button 87" descr="Dog House" hidden="1">
                <a:extLst>
                  <a:ext uri="{63B3BB69-23CF-44E3-9099-C40C66FF867C}">
                    <a14:compatExt spid="_x0000_s1111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85726</xdr:colOff>
          <xdr:row>6</xdr:row>
          <xdr:rowOff>76200</xdr:rowOff>
        </xdr:from>
        <xdr:to>
          <xdr:col>5</xdr:col>
          <xdr:colOff>677123</xdr:colOff>
          <xdr:row>6</xdr:row>
          <xdr:rowOff>1121903</xdr:rowOff>
        </xdr:to>
        <xdr:grpSp>
          <xdr:nvGrpSpPr>
            <xdr:cNvPr id="85" name="Group 84"/>
            <xdr:cNvGrpSpPr/>
          </xdr:nvGrpSpPr>
          <xdr:grpSpPr>
            <a:xfrm>
              <a:off x="3810001" y="1276350"/>
              <a:ext cx="591397" cy="1045703"/>
              <a:chOff x="1733548" y="1558361"/>
              <a:chExt cx="591397" cy="1045703"/>
            </a:xfrm>
          </xdr:grpSpPr>
          <xdr:sp macro="" textlink="">
            <xdr:nvSpPr>
              <xdr:cNvPr id="1114" name="Option Button 90" descr="None" hidden="1">
                <a:extLst>
                  <a:ext uri="{63B3BB69-23CF-44E3-9099-C40C66FF867C}">
                    <a14:compatExt spid="_x0000_s1114"/>
                  </a:ext>
                </a:extLst>
              </xdr:cNvPr>
              <xdr:cNvSpPr/>
            </xdr:nvSpPr>
            <xdr:spPr bwMode="auto">
              <a:xfrm>
                <a:off x="1733553" y="1558361"/>
                <a:ext cx="590551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15" name="Option Button 91" descr="3 Head" hidden="1">
                <a:extLst>
                  <a:ext uri="{63B3BB69-23CF-44E3-9099-C40C66FF867C}">
                    <a14:compatExt spid="_x0000_s1115"/>
                  </a:ext>
                </a:extLst>
              </xdr:cNvPr>
              <xdr:cNvSpPr/>
            </xdr:nvSpPr>
            <xdr:spPr bwMode="auto">
              <a:xfrm>
                <a:off x="1733548" y="1750909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16" name="Option Button 92" descr="4 Head" hidden="1">
                <a:extLst>
                  <a:ext uri="{63B3BB69-23CF-44E3-9099-C40C66FF867C}">
                    <a14:compatExt spid="_x0000_s1116"/>
                  </a:ext>
                </a:extLst>
              </xdr:cNvPr>
              <xdr:cNvSpPr/>
            </xdr:nvSpPr>
            <xdr:spPr bwMode="auto">
              <a:xfrm>
                <a:off x="1733551" y="1952625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17" name="Option Button 93" descr="5 Head" hidden="1">
                <a:extLst>
                  <a:ext uri="{63B3BB69-23CF-44E3-9099-C40C66FF867C}">
                    <a14:compatExt spid="_x0000_s1117"/>
                  </a:ext>
                </a:extLst>
              </xdr:cNvPr>
              <xdr:cNvSpPr/>
            </xdr:nvSpPr>
            <xdr:spPr bwMode="auto">
              <a:xfrm>
                <a:off x="1734395" y="2154342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18" name="Option Button 94" descr="Dog House" hidden="1">
                <a:extLst>
                  <a:ext uri="{63B3BB69-23CF-44E3-9099-C40C66FF867C}">
                    <a14:compatExt spid="_x0000_s1118"/>
                  </a:ext>
                </a:extLst>
              </xdr:cNvPr>
              <xdr:cNvSpPr/>
            </xdr:nvSpPr>
            <xdr:spPr bwMode="auto">
              <a:xfrm>
                <a:off x="1734881" y="2365939"/>
                <a:ext cx="589884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95251</xdr:colOff>
          <xdr:row>6</xdr:row>
          <xdr:rowOff>79690</xdr:rowOff>
        </xdr:from>
        <xdr:to>
          <xdr:col>6</xdr:col>
          <xdr:colOff>677335</xdr:colOff>
          <xdr:row>6</xdr:row>
          <xdr:rowOff>1128389</xdr:rowOff>
        </xdr:to>
        <xdr:grpSp>
          <xdr:nvGrpSpPr>
            <xdr:cNvPr id="69" name="Group 68"/>
            <xdr:cNvGrpSpPr/>
          </xdr:nvGrpSpPr>
          <xdr:grpSpPr>
            <a:xfrm>
              <a:off x="4552951" y="1279840"/>
              <a:ext cx="582084" cy="1048699"/>
              <a:chOff x="1733546" y="1552210"/>
              <a:chExt cx="533624" cy="1068301"/>
            </a:xfrm>
          </xdr:grpSpPr>
          <xdr:sp macro="" textlink="">
            <xdr:nvSpPr>
              <xdr:cNvPr id="1133" name="Option Button 109" descr="None" hidden="1">
                <a:extLst>
                  <a:ext uri="{63B3BB69-23CF-44E3-9099-C40C66FF867C}">
                    <a14:compatExt spid="_x0000_s1133"/>
                  </a:ext>
                </a:extLst>
              </xdr:cNvPr>
              <xdr:cNvSpPr/>
            </xdr:nvSpPr>
            <xdr:spPr bwMode="auto">
              <a:xfrm>
                <a:off x="1733552" y="1552210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134" name="Option Button 110" descr="3 Head" hidden="1">
                <a:extLst>
                  <a:ext uri="{63B3BB69-23CF-44E3-9099-C40C66FF867C}">
                    <a14:compatExt spid="_x0000_s1134"/>
                  </a:ext>
                </a:extLst>
              </xdr:cNvPr>
              <xdr:cNvSpPr/>
            </xdr:nvSpPr>
            <xdr:spPr bwMode="auto">
              <a:xfrm>
                <a:off x="1733546" y="1744764"/>
                <a:ext cx="532644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135" name="Option Button 111" descr="4 Head" hidden="1">
                <a:extLst>
                  <a:ext uri="{63B3BB69-23CF-44E3-9099-C40C66FF867C}">
                    <a14:compatExt spid="_x0000_s1135"/>
                  </a:ext>
                </a:extLst>
              </xdr:cNvPr>
              <xdr:cNvSpPr/>
            </xdr:nvSpPr>
            <xdr:spPr bwMode="auto">
              <a:xfrm>
                <a:off x="1733551" y="1946480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136" name="Option Button 112" descr="5 Head" hidden="1">
                <a:extLst>
                  <a:ext uri="{63B3BB69-23CF-44E3-9099-C40C66FF867C}">
                    <a14:compatExt spid="_x0000_s1136"/>
                  </a:ext>
                </a:extLst>
              </xdr:cNvPr>
              <xdr:cNvSpPr/>
            </xdr:nvSpPr>
            <xdr:spPr bwMode="auto">
              <a:xfrm>
                <a:off x="1734395" y="2148198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137" name="Option Button 113" descr="Dog House" hidden="1">
                <a:extLst>
                  <a:ext uri="{63B3BB69-23CF-44E3-9099-C40C66FF867C}">
                    <a14:compatExt spid="_x0000_s1137"/>
                  </a:ext>
                </a:extLst>
              </xdr:cNvPr>
              <xdr:cNvSpPr/>
            </xdr:nvSpPr>
            <xdr:spPr bwMode="auto">
              <a:xfrm>
                <a:off x="1734883" y="2347558"/>
                <a:ext cx="532287" cy="2729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1221" name="Group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1223" name="Group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9525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85726</xdr:colOff>
          <xdr:row>6</xdr:row>
          <xdr:rowOff>76199</xdr:rowOff>
        </xdr:from>
        <xdr:to>
          <xdr:col>7</xdr:col>
          <xdr:colOff>677332</xdr:colOff>
          <xdr:row>6</xdr:row>
          <xdr:rowOff>1098861</xdr:rowOff>
        </xdr:to>
        <xdr:grpSp>
          <xdr:nvGrpSpPr>
            <xdr:cNvPr id="106" name="Group 105"/>
            <xdr:cNvGrpSpPr/>
          </xdr:nvGrpSpPr>
          <xdr:grpSpPr>
            <a:xfrm>
              <a:off x="5276851" y="1276349"/>
              <a:ext cx="591606" cy="1022662"/>
              <a:chOff x="1733544" y="1558356"/>
              <a:chExt cx="542352" cy="1041777"/>
            </a:xfrm>
          </xdr:grpSpPr>
          <xdr:sp macro="" textlink="">
            <xdr:nvSpPr>
              <xdr:cNvPr id="1282" name="Option Button 258" descr="None" hidden="1">
                <a:extLst>
                  <a:ext uri="{63B3BB69-23CF-44E3-9099-C40C66FF867C}">
                    <a14:compatExt spid="_x0000_s1282"/>
                  </a:ext>
                </a:extLst>
              </xdr:cNvPr>
              <xdr:cNvSpPr/>
            </xdr:nvSpPr>
            <xdr:spPr bwMode="auto">
              <a:xfrm>
                <a:off x="1733552" y="1558356"/>
                <a:ext cx="541381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83" name="Option Button 259" descr="3 Head" hidden="1">
                <a:extLst>
                  <a:ext uri="{63B3BB69-23CF-44E3-9099-C40C66FF867C}">
                    <a14:compatExt spid="_x0000_s1283"/>
                  </a:ext>
                </a:extLst>
              </xdr:cNvPr>
              <xdr:cNvSpPr/>
            </xdr:nvSpPr>
            <xdr:spPr bwMode="auto">
              <a:xfrm>
                <a:off x="1733544" y="1750909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84" name="Option Button 260" descr="4 Head" hidden="1">
                <a:extLst>
                  <a:ext uri="{63B3BB69-23CF-44E3-9099-C40C66FF867C}">
                    <a14:compatExt spid="_x0000_s1284"/>
                  </a:ext>
                </a:extLst>
              </xdr:cNvPr>
              <xdr:cNvSpPr/>
            </xdr:nvSpPr>
            <xdr:spPr bwMode="auto">
              <a:xfrm>
                <a:off x="1733550" y="1952625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285" name="Option Button 261" descr="5 Head" hidden="1">
                <a:extLst>
                  <a:ext uri="{63B3BB69-23CF-44E3-9099-C40C66FF867C}">
                    <a14:compatExt spid="_x0000_s1285"/>
                  </a:ext>
                </a:extLst>
              </xdr:cNvPr>
              <xdr:cNvSpPr/>
            </xdr:nvSpPr>
            <xdr:spPr bwMode="auto">
              <a:xfrm>
                <a:off x="1734394" y="2154342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286" name="Option Button 262" descr="Dog House" hidden="1">
                <a:extLst>
                  <a:ext uri="{63B3BB69-23CF-44E3-9099-C40C66FF867C}">
                    <a14:compatExt spid="_x0000_s1286"/>
                  </a:ext>
                </a:extLst>
              </xdr:cNvPr>
              <xdr:cNvSpPr/>
            </xdr:nvSpPr>
            <xdr:spPr bwMode="auto">
              <a:xfrm>
                <a:off x="1734879" y="2354011"/>
                <a:ext cx="541017" cy="24612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723900</xdr:colOff>
          <xdr:row>7</xdr:row>
          <xdr:rowOff>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85726</xdr:colOff>
          <xdr:row>6</xdr:row>
          <xdr:rowOff>67601</xdr:rowOff>
        </xdr:from>
        <xdr:to>
          <xdr:col>8</xdr:col>
          <xdr:colOff>667809</xdr:colOff>
          <xdr:row>6</xdr:row>
          <xdr:rowOff>1088012</xdr:rowOff>
        </xdr:to>
        <xdr:grpSp>
          <xdr:nvGrpSpPr>
            <xdr:cNvPr id="60" name="Group 59"/>
            <xdr:cNvGrpSpPr/>
          </xdr:nvGrpSpPr>
          <xdr:grpSpPr>
            <a:xfrm>
              <a:off x="6010276" y="1267751"/>
              <a:ext cx="582083" cy="1020411"/>
              <a:chOff x="1733547" y="1568687"/>
              <a:chExt cx="533624" cy="1007983"/>
            </a:xfrm>
          </xdr:grpSpPr>
          <xdr:sp macro="" textlink="">
            <xdr:nvSpPr>
              <xdr:cNvPr id="1290" name="Option Button 266" descr="None" hidden="1">
                <a:extLst>
                  <a:ext uri="{63B3BB69-23CF-44E3-9099-C40C66FF867C}">
                    <a14:compatExt spid="_x0000_s1290"/>
                  </a:ext>
                </a:extLst>
              </xdr:cNvPr>
              <xdr:cNvSpPr/>
            </xdr:nvSpPr>
            <xdr:spPr bwMode="auto">
              <a:xfrm>
                <a:off x="1733553" y="1568687"/>
                <a:ext cx="532643" cy="201718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91" name="Option Button 267" descr="3 Head" hidden="1">
                <a:extLst>
                  <a:ext uri="{63B3BB69-23CF-44E3-9099-C40C66FF867C}">
                    <a14:compatExt spid="_x0000_s1291"/>
                  </a:ext>
                </a:extLst>
              </xdr:cNvPr>
              <xdr:cNvSpPr/>
            </xdr:nvSpPr>
            <xdr:spPr bwMode="auto">
              <a:xfrm>
                <a:off x="1733547" y="1761232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92" name="Option Button 268" descr="4 Head" hidden="1">
                <a:extLst>
                  <a:ext uri="{63B3BB69-23CF-44E3-9099-C40C66FF867C}">
                    <a14:compatExt spid="_x0000_s1292"/>
                  </a:ext>
                </a:extLst>
              </xdr:cNvPr>
              <xdr:cNvSpPr/>
            </xdr:nvSpPr>
            <xdr:spPr bwMode="auto">
              <a:xfrm>
                <a:off x="1733553" y="1962948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293" name="Option Button 269" descr="5 Head" hidden="1">
                <a:extLst>
                  <a:ext uri="{63B3BB69-23CF-44E3-9099-C40C66FF867C}">
                    <a14:compatExt spid="_x0000_s1293"/>
                  </a:ext>
                </a:extLst>
              </xdr:cNvPr>
              <xdr:cNvSpPr/>
            </xdr:nvSpPr>
            <xdr:spPr bwMode="auto">
              <a:xfrm>
                <a:off x="1734397" y="2164664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294" name="Option Button 270" descr="Dog House" hidden="1">
                <a:extLst>
                  <a:ext uri="{63B3BB69-23CF-44E3-9099-C40C66FF867C}">
                    <a14:compatExt spid="_x0000_s1294"/>
                  </a:ext>
                </a:extLst>
              </xdr:cNvPr>
              <xdr:cNvSpPr/>
            </xdr:nvSpPr>
            <xdr:spPr bwMode="auto">
              <a:xfrm>
                <a:off x="1734884" y="2364848"/>
                <a:ext cx="532287" cy="21182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180975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1296" name="Group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85726</xdr:colOff>
          <xdr:row>6</xdr:row>
          <xdr:rowOff>76200</xdr:rowOff>
        </xdr:from>
        <xdr:to>
          <xdr:col>9</xdr:col>
          <xdr:colOff>648774</xdr:colOff>
          <xdr:row>6</xdr:row>
          <xdr:rowOff>1104900</xdr:rowOff>
        </xdr:to>
        <xdr:grpSp>
          <xdr:nvGrpSpPr>
            <xdr:cNvPr id="68" name="Group 67"/>
            <xdr:cNvGrpSpPr/>
          </xdr:nvGrpSpPr>
          <xdr:grpSpPr>
            <a:xfrm>
              <a:off x="6743701" y="1276350"/>
              <a:ext cx="563048" cy="1028700"/>
              <a:chOff x="1733545" y="1558359"/>
              <a:chExt cx="516174" cy="1045702"/>
            </a:xfrm>
          </xdr:grpSpPr>
          <xdr:sp macro="" textlink="">
            <xdr:nvSpPr>
              <xdr:cNvPr id="1297" name="Option Button 273" descr="None" hidden="1">
                <a:extLst>
                  <a:ext uri="{63B3BB69-23CF-44E3-9099-C40C66FF867C}">
                    <a14:compatExt spid="_x0000_s1297"/>
                  </a:ext>
                </a:extLst>
              </xdr:cNvPr>
              <xdr:cNvSpPr/>
            </xdr:nvSpPr>
            <xdr:spPr bwMode="auto">
              <a:xfrm>
                <a:off x="1733552" y="1558359"/>
                <a:ext cx="515184" cy="23812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298" name="Option Button 274" descr="3 Head" hidden="1">
                <a:extLst>
                  <a:ext uri="{63B3BB69-23CF-44E3-9099-C40C66FF867C}">
                    <a14:compatExt spid="_x0000_s1298"/>
                  </a:ext>
                </a:extLst>
              </xdr:cNvPr>
              <xdr:cNvSpPr/>
            </xdr:nvSpPr>
            <xdr:spPr bwMode="auto">
              <a:xfrm>
                <a:off x="1733545" y="1750909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299" name="Option Button 275" descr="4 Head" hidden="1">
                <a:extLst>
                  <a:ext uri="{63B3BB69-23CF-44E3-9099-C40C66FF867C}">
                    <a14:compatExt spid="_x0000_s1299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00" name="Option Button 276" descr="5 Head" hidden="1">
                <a:extLst>
                  <a:ext uri="{63B3BB69-23CF-44E3-9099-C40C66FF867C}">
                    <a14:compatExt spid="_x0000_s1300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01" name="Option Button 277" descr="Dog House" hidden="1">
                <a:extLst>
                  <a:ext uri="{63B3BB69-23CF-44E3-9099-C40C66FF867C}">
                    <a14:compatExt spid="_x0000_s1301"/>
                  </a:ext>
                </a:extLst>
              </xdr:cNvPr>
              <xdr:cNvSpPr/>
            </xdr:nvSpPr>
            <xdr:spPr bwMode="auto">
              <a:xfrm>
                <a:off x="1734882" y="2354008"/>
                <a:ext cx="514837" cy="2500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723900</xdr:colOff>
          <xdr:row>7</xdr:row>
          <xdr:rowOff>0</xdr:rowOff>
        </xdr:to>
        <xdr:sp macro="" textlink="">
          <xdr:nvSpPr>
            <xdr:cNvPr id="1303" name="Group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95251</xdr:colOff>
          <xdr:row>6</xdr:row>
          <xdr:rowOff>85725</xdr:rowOff>
        </xdr:from>
        <xdr:to>
          <xdr:col>10</xdr:col>
          <xdr:colOff>648785</xdr:colOff>
          <xdr:row>6</xdr:row>
          <xdr:rowOff>1095375</xdr:rowOff>
        </xdr:to>
        <xdr:grpSp>
          <xdr:nvGrpSpPr>
            <xdr:cNvPr id="76" name="Group 75"/>
            <xdr:cNvGrpSpPr/>
          </xdr:nvGrpSpPr>
          <xdr:grpSpPr>
            <a:xfrm>
              <a:off x="7486651" y="1285875"/>
              <a:ext cx="553534" cy="1009650"/>
              <a:chOff x="1733544" y="1558360"/>
              <a:chExt cx="507448" cy="1087470"/>
            </a:xfrm>
          </xdr:grpSpPr>
          <xdr:sp macro="" textlink="">
            <xdr:nvSpPr>
              <xdr:cNvPr id="1304" name="Option Button 280" descr="None" hidden="1">
                <a:extLst>
                  <a:ext uri="{63B3BB69-23CF-44E3-9099-C40C66FF867C}">
                    <a14:compatExt spid="_x0000_s1304"/>
                  </a:ext>
                </a:extLst>
              </xdr:cNvPr>
              <xdr:cNvSpPr/>
            </xdr:nvSpPr>
            <xdr:spPr bwMode="auto">
              <a:xfrm>
                <a:off x="1733552" y="1558360"/>
                <a:ext cx="506454" cy="27790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05" name="Option Button 281" descr="3 Head" hidden="1">
                <a:extLst>
                  <a:ext uri="{63B3BB69-23CF-44E3-9099-C40C66FF867C}">
                    <a14:compatExt spid="_x0000_s1305"/>
                  </a:ext>
                </a:extLst>
              </xdr:cNvPr>
              <xdr:cNvSpPr/>
            </xdr:nvSpPr>
            <xdr:spPr bwMode="auto">
              <a:xfrm>
                <a:off x="1733544" y="1750909"/>
                <a:ext cx="506457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06" name="Option Button 282" descr="4 Head" hidden="1">
                <a:extLst>
                  <a:ext uri="{63B3BB69-23CF-44E3-9099-C40C66FF867C}">
                    <a14:compatExt spid="_x0000_s1306"/>
                  </a:ext>
                </a:extLst>
              </xdr:cNvPr>
              <xdr:cNvSpPr/>
            </xdr:nvSpPr>
            <xdr:spPr bwMode="auto">
              <a:xfrm>
                <a:off x="1733550" y="1952626"/>
                <a:ext cx="506454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07" name="Option Button 283" descr="5 Head" hidden="1">
                <a:extLst>
                  <a:ext uri="{63B3BB69-23CF-44E3-9099-C40C66FF867C}">
                    <a14:compatExt spid="_x0000_s1307"/>
                  </a:ext>
                </a:extLst>
              </xdr:cNvPr>
              <xdr:cNvSpPr/>
            </xdr:nvSpPr>
            <xdr:spPr bwMode="auto">
              <a:xfrm>
                <a:off x="1734394" y="2154342"/>
                <a:ext cx="506454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08" name="Option Button 284" descr="Dog House" hidden="1">
                <a:extLst>
                  <a:ext uri="{63B3BB69-23CF-44E3-9099-C40C66FF867C}">
                    <a14:compatExt spid="_x0000_s1308"/>
                  </a:ext>
                </a:extLst>
              </xdr:cNvPr>
              <xdr:cNvSpPr/>
            </xdr:nvSpPr>
            <xdr:spPr bwMode="auto">
              <a:xfrm>
                <a:off x="1734878" y="2354006"/>
                <a:ext cx="506114" cy="29182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66676</xdr:colOff>
          <xdr:row>6</xdr:row>
          <xdr:rowOff>95250</xdr:rowOff>
        </xdr:from>
        <xdr:to>
          <xdr:col>11</xdr:col>
          <xdr:colOff>658284</xdr:colOff>
          <xdr:row>6</xdr:row>
          <xdr:rowOff>1095375</xdr:rowOff>
        </xdr:to>
        <xdr:grpSp>
          <xdr:nvGrpSpPr>
            <xdr:cNvPr id="83" name="Group 82"/>
            <xdr:cNvGrpSpPr/>
          </xdr:nvGrpSpPr>
          <xdr:grpSpPr>
            <a:xfrm>
              <a:off x="8191501" y="1295400"/>
              <a:ext cx="591608" cy="1000125"/>
              <a:chOff x="1733544" y="1760324"/>
              <a:chExt cx="542354" cy="1092118"/>
            </a:xfrm>
          </xdr:grpSpPr>
          <xdr:sp macro="" textlink="">
            <xdr:nvSpPr>
              <xdr:cNvPr id="1311" name="Option Button 287" descr="3 Head" hidden="1">
                <a:extLst>
                  <a:ext uri="{63B3BB69-23CF-44E3-9099-C40C66FF867C}">
                    <a14:compatExt spid="_x0000_s1311"/>
                  </a:ext>
                </a:extLst>
              </xdr:cNvPr>
              <xdr:cNvSpPr/>
            </xdr:nvSpPr>
            <xdr:spPr bwMode="auto">
              <a:xfrm>
                <a:off x="1733544" y="1760324"/>
                <a:ext cx="541384" cy="26849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12" name="Option Button 288" descr="4 Head" hidden="1">
                <a:extLst>
                  <a:ext uri="{63B3BB69-23CF-44E3-9099-C40C66FF867C}">
                    <a14:compatExt spid="_x0000_s1312"/>
                  </a:ext>
                </a:extLst>
              </xdr:cNvPr>
              <xdr:cNvSpPr/>
            </xdr:nvSpPr>
            <xdr:spPr bwMode="auto">
              <a:xfrm>
                <a:off x="1733550" y="1962034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13" name="Option Button 289" descr="5 Head" hidden="1">
                <a:extLst>
                  <a:ext uri="{63B3BB69-23CF-44E3-9099-C40C66FF867C}">
                    <a14:compatExt spid="_x0000_s1313"/>
                  </a:ext>
                </a:extLst>
              </xdr:cNvPr>
              <xdr:cNvSpPr/>
            </xdr:nvSpPr>
            <xdr:spPr bwMode="auto">
              <a:xfrm>
                <a:off x="1734394" y="2163752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14" name="Option Button 290" descr="Dog House" hidden="1">
                <a:extLst>
                  <a:ext uri="{63B3BB69-23CF-44E3-9099-C40C66FF867C}">
                    <a14:compatExt spid="_x0000_s1314"/>
                  </a:ext>
                </a:extLst>
              </xdr:cNvPr>
              <xdr:cNvSpPr/>
            </xdr:nvSpPr>
            <xdr:spPr bwMode="auto">
              <a:xfrm>
                <a:off x="1734880" y="2363418"/>
                <a:ext cx="541018" cy="28194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10" name="Option Button 286" descr="None" hidden="1">
                <a:extLst>
                  <a:ext uri="{63B3BB69-23CF-44E3-9099-C40C66FF867C}">
                    <a14:compatExt spid="_x0000_s1310"/>
                  </a:ext>
                </a:extLst>
              </xdr:cNvPr>
              <xdr:cNvSpPr/>
            </xdr:nvSpPr>
            <xdr:spPr bwMode="auto">
              <a:xfrm>
                <a:off x="1733552" y="2583947"/>
                <a:ext cx="541382" cy="26849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180975</xdr:rowOff>
        </xdr:from>
        <xdr:to>
          <xdr:col>13</xdr:col>
          <xdr:colOff>0</xdr:colOff>
          <xdr:row>7</xdr:row>
          <xdr:rowOff>0</xdr:rowOff>
        </xdr:to>
        <xdr:sp macro="" textlink="">
          <xdr:nvSpPr>
            <xdr:cNvPr id="1316" name="Group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95252</xdr:colOff>
          <xdr:row>6</xdr:row>
          <xdr:rowOff>76200</xdr:rowOff>
        </xdr:from>
        <xdr:to>
          <xdr:col>12</xdr:col>
          <xdr:colOff>658306</xdr:colOff>
          <xdr:row>6</xdr:row>
          <xdr:rowOff>1106218</xdr:rowOff>
        </xdr:to>
        <xdr:grpSp>
          <xdr:nvGrpSpPr>
            <xdr:cNvPr id="91" name="Group 90"/>
            <xdr:cNvGrpSpPr/>
          </xdr:nvGrpSpPr>
          <xdr:grpSpPr>
            <a:xfrm>
              <a:off x="8953502" y="1276350"/>
              <a:ext cx="563054" cy="1030018"/>
              <a:chOff x="1733546" y="1558368"/>
              <a:chExt cx="516178" cy="1045695"/>
            </a:xfrm>
          </xdr:grpSpPr>
          <xdr:sp macro="" textlink="">
            <xdr:nvSpPr>
              <xdr:cNvPr id="1317" name="Option Button 293" descr="None" hidden="1">
                <a:extLst>
                  <a:ext uri="{63B3BB69-23CF-44E3-9099-C40C66FF867C}">
                    <a14:compatExt spid="_x0000_s1317"/>
                  </a:ext>
                </a:extLst>
              </xdr:cNvPr>
              <xdr:cNvSpPr/>
            </xdr:nvSpPr>
            <xdr:spPr bwMode="auto">
              <a:xfrm>
                <a:off x="1733552" y="1558368"/>
                <a:ext cx="515186" cy="238126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1318" name="Option Button 294" descr="3 Head" hidden="1">
                <a:extLst>
                  <a:ext uri="{63B3BB69-23CF-44E3-9099-C40C66FF867C}">
                    <a14:compatExt spid="_x0000_s1318"/>
                  </a:ext>
                </a:extLst>
              </xdr:cNvPr>
              <xdr:cNvSpPr/>
            </xdr:nvSpPr>
            <xdr:spPr bwMode="auto">
              <a:xfrm>
                <a:off x="1733546" y="1750909"/>
                <a:ext cx="515187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1319" name="Option Button 295" descr="4 Head" hidden="1">
                <a:extLst>
                  <a:ext uri="{63B3BB69-23CF-44E3-9099-C40C66FF867C}">
                    <a14:compatExt spid="_x0000_s1319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1320" name="Option Button 296" descr="5 Head" hidden="1">
                <a:extLst>
                  <a:ext uri="{63B3BB69-23CF-44E3-9099-C40C66FF867C}">
                    <a14:compatExt spid="_x0000_s1320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1321" name="Option Button 297" descr="Dog House" hidden="1">
                <a:extLst>
                  <a:ext uri="{63B3BB69-23CF-44E3-9099-C40C66FF867C}">
                    <a14:compatExt spid="_x0000_s1321"/>
                  </a:ext>
                </a:extLst>
              </xdr:cNvPr>
              <xdr:cNvSpPr/>
            </xdr:nvSpPr>
            <xdr:spPr bwMode="auto">
              <a:xfrm>
                <a:off x="1734883" y="2354010"/>
                <a:ext cx="514841" cy="2500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6</xdr:row>
          <xdr:rowOff>171450</xdr:rowOff>
        </xdr:from>
        <xdr:to>
          <xdr:col>2</xdr:col>
          <xdr:colOff>1038225</xdr:colOff>
          <xdr:row>6</xdr:row>
          <xdr:rowOff>1190625</xdr:rowOff>
        </xdr:to>
        <xdr:sp macro="" textlink="">
          <xdr:nvSpPr>
            <xdr:cNvPr id="1323" name="Group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Arm 1 Length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323850</xdr:rowOff>
        </xdr:from>
        <xdr:to>
          <xdr:col>2</xdr:col>
          <xdr:colOff>904875</xdr:colOff>
          <xdr:row>6</xdr:row>
          <xdr:rowOff>1143000</xdr:rowOff>
        </xdr:to>
        <xdr:sp macro="" textlink="">
          <xdr:nvSpPr>
            <xdr:cNvPr id="1325" name="List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57150</xdr:rowOff>
        </xdr:from>
        <xdr:to>
          <xdr:col>2</xdr:col>
          <xdr:colOff>1095375</xdr:colOff>
          <xdr:row>4</xdr:row>
          <xdr:rowOff>342900</xdr:rowOff>
        </xdr:to>
        <xdr:sp macro="" textlink="">
          <xdr:nvSpPr>
            <xdr:cNvPr id="1326" name="Group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Wind Speed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</xdr:row>
          <xdr:rowOff>161925</xdr:rowOff>
        </xdr:from>
        <xdr:to>
          <xdr:col>1</xdr:col>
          <xdr:colOff>742950</xdr:colOff>
          <xdr:row>4</xdr:row>
          <xdr:rowOff>323850</xdr:rowOff>
        </xdr:to>
        <xdr:sp macro="" textlink="">
          <xdr:nvSpPr>
            <xdr:cNvPr id="1327" name="Option 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130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4</xdr:row>
          <xdr:rowOff>152400</xdr:rowOff>
        </xdr:from>
        <xdr:to>
          <xdr:col>2</xdr:col>
          <xdr:colOff>428625</xdr:colOff>
          <xdr:row>4</xdr:row>
          <xdr:rowOff>314325</xdr:rowOff>
        </xdr:to>
        <xdr:sp macro="" textlink="">
          <xdr:nvSpPr>
            <xdr:cNvPr id="1329" name="Option 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150 mph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5</xdr:row>
          <xdr:rowOff>180975</xdr:rowOff>
        </xdr:from>
        <xdr:to>
          <xdr:col>12</xdr:col>
          <xdr:colOff>0</xdr:colOff>
          <xdr:row>7</xdr:row>
          <xdr:rowOff>9525</xdr:rowOff>
        </xdr:to>
        <xdr:sp macro="" textlink="">
          <xdr:nvSpPr>
            <xdr:cNvPr id="1331" name="Group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28575</xdr:rowOff>
        </xdr:from>
        <xdr:to>
          <xdr:col>1</xdr:col>
          <xdr:colOff>838200</xdr:colOff>
          <xdr:row>10</xdr:row>
          <xdr:rowOff>38100</xdr:rowOff>
        </xdr:to>
        <xdr:sp macro="" textlink="">
          <xdr:nvSpPr>
            <xdr:cNvPr id="1344" name="Group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Luminaire?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219978</xdr:colOff>
          <xdr:row>7</xdr:row>
          <xdr:rowOff>142730</xdr:rowOff>
        </xdr:from>
        <xdr:to>
          <xdr:col>1</xdr:col>
          <xdr:colOff>571137</xdr:colOff>
          <xdr:row>9</xdr:row>
          <xdr:rowOff>171443</xdr:rowOff>
        </xdr:to>
        <xdr:grpSp>
          <xdr:nvGrpSpPr>
            <xdr:cNvPr id="5" name="Group 4"/>
            <xdr:cNvGrpSpPr/>
          </xdr:nvGrpSpPr>
          <xdr:grpSpPr>
            <a:xfrm>
              <a:off x="410478" y="2704955"/>
              <a:ext cx="351159" cy="409713"/>
              <a:chOff x="13988686" y="1609720"/>
              <a:chExt cx="332017" cy="356268"/>
            </a:xfrm>
          </xdr:grpSpPr>
          <xdr:sp macro="" textlink="">
            <xdr:nvSpPr>
              <xdr:cNvPr id="1348" name="Option Button 324" descr="No" hidden="1">
                <a:extLst>
                  <a:ext uri="{63B3BB69-23CF-44E3-9099-C40C66FF867C}">
                    <a14:compatExt spid="_x0000_s1348"/>
                  </a:ext>
                </a:extLst>
              </xdr:cNvPr>
              <xdr:cNvSpPr/>
            </xdr:nvSpPr>
            <xdr:spPr bwMode="auto">
              <a:xfrm>
                <a:off x="13988686" y="1775488"/>
                <a:ext cx="314323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1349" name="Option Button 325" hidden="1">
                <a:extLst>
                  <a:ext uri="{63B3BB69-23CF-44E3-9099-C40C66FF867C}">
                    <a14:compatExt spid="_x0000_s1349"/>
                  </a:ext>
                </a:extLst>
              </xdr:cNvPr>
              <xdr:cNvSpPr/>
            </xdr:nvSpPr>
            <xdr:spPr bwMode="auto">
              <a:xfrm>
                <a:off x="13996854" y="1609720"/>
                <a:ext cx="323849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4</xdr:row>
          <xdr:rowOff>142875</xdr:rowOff>
        </xdr:from>
        <xdr:to>
          <xdr:col>2</xdr:col>
          <xdr:colOff>990600</xdr:colOff>
          <xdr:row>4</xdr:row>
          <xdr:rowOff>295275</xdr:rowOff>
        </xdr:to>
        <xdr:sp macro="" textlink="">
          <xdr:nvSpPr>
            <xdr:cNvPr id="1361" name="Option 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170 mph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723900</xdr:colOff>
          <xdr:row>7</xdr:row>
          <xdr:rowOff>0</xdr:rowOff>
        </xdr:to>
        <xdr:sp macro="" textlink="">
          <xdr:nvSpPr>
            <xdr:cNvPr id="3074" name="Group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5</xdr:row>
          <xdr:rowOff>180975</xdr:rowOff>
        </xdr:from>
        <xdr:to>
          <xdr:col>4</xdr:col>
          <xdr:colOff>0</xdr:colOff>
          <xdr:row>6</xdr:row>
          <xdr:rowOff>1352550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180976</xdr:colOff>
      <xdr:row>11</xdr:row>
      <xdr:rowOff>76200</xdr:rowOff>
    </xdr:from>
    <xdr:to>
      <xdr:col>13</xdr:col>
      <xdr:colOff>19050</xdr:colOff>
      <xdr:row>21</xdr:row>
      <xdr:rowOff>76200</xdr:rowOff>
    </xdr:to>
    <xdr:graphicFrame macro="">
      <xdr:nvGraphicFramePr>
        <xdr:cNvPr id="7" name="Chart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76197</xdr:colOff>
          <xdr:row>6</xdr:row>
          <xdr:rowOff>72461</xdr:rowOff>
        </xdr:from>
        <xdr:to>
          <xdr:col>3</xdr:col>
          <xdr:colOff>658072</xdr:colOff>
          <xdr:row>6</xdr:row>
          <xdr:rowOff>1091280</xdr:rowOff>
        </xdr:to>
        <xdr:grpSp>
          <xdr:nvGrpSpPr>
            <xdr:cNvPr id="14" name="Group 13"/>
            <xdr:cNvGrpSpPr/>
          </xdr:nvGrpSpPr>
          <xdr:grpSpPr>
            <a:xfrm>
              <a:off x="2333622" y="1272611"/>
              <a:ext cx="581875" cy="1018819"/>
              <a:chOff x="1733547" y="1558361"/>
              <a:chExt cx="581875" cy="1018819"/>
            </a:xfrm>
          </xdr:grpSpPr>
          <xdr:sp macro="" textlink="">
            <xdr:nvSpPr>
              <xdr:cNvPr id="3082" name="Option Button 10" descr="None" hidden="1">
                <a:extLst>
                  <a:ext uri="{63B3BB69-23CF-44E3-9099-C40C66FF867C}">
                    <a14:compatExt spid="_x0000_s3082"/>
                  </a:ext>
                </a:extLst>
              </xdr:cNvPr>
              <xdr:cNvSpPr/>
            </xdr:nvSpPr>
            <xdr:spPr bwMode="auto">
              <a:xfrm>
                <a:off x="1733552" y="1558361"/>
                <a:ext cx="581029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83" name="Option Button 11" descr="3 Head" hidden="1">
                <a:extLst>
                  <a:ext uri="{63B3BB69-23CF-44E3-9099-C40C66FF867C}">
                    <a14:compatExt spid="_x0000_s3083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84" name="Option Button 12" descr="4 Head" hidden="1">
                <a:extLst>
                  <a:ext uri="{63B3BB69-23CF-44E3-9099-C40C66FF867C}">
                    <a14:compatExt spid="_x0000_s3084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85" name="Option Button 13" descr="5 Head" hidden="1">
                <a:extLst>
                  <a:ext uri="{63B3BB69-23CF-44E3-9099-C40C66FF867C}">
                    <a14:compatExt spid="_x0000_s3085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8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86" name="Option Button 14" descr="Dog House" hidden="1">
                <a:extLst>
                  <a:ext uri="{63B3BB69-23CF-44E3-9099-C40C66FF867C}">
                    <a14:compatExt spid="_x0000_s3086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3" cy="211241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6</xdr:row>
          <xdr:rowOff>76200</xdr:rowOff>
        </xdr:from>
        <xdr:to>
          <xdr:col>4</xdr:col>
          <xdr:colOff>667597</xdr:colOff>
          <xdr:row>6</xdr:row>
          <xdr:rowOff>1121903</xdr:rowOff>
        </xdr:to>
        <xdr:grpSp>
          <xdr:nvGrpSpPr>
            <xdr:cNvPr id="20" name="Group 19"/>
            <xdr:cNvGrpSpPr/>
          </xdr:nvGrpSpPr>
          <xdr:grpSpPr>
            <a:xfrm>
              <a:off x="3076575" y="1276350"/>
              <a:ext cx="581872" cy="1045703"/>
              <a:chOff x="1733547" y="1558361"/>
              <a:chExt cx="581872" cy="1045703"/>
            </a:xfrm>
          </xdr:grpSpPr>
          <xdr:sp macro="" textlink="">
            <xdr:nvSpPr>
              <xdr:cNvPr id="3087" name="Option Button 15" descr="None" hidden="1">
                <a:extLst>
                  <a:ext uri="{63B3BB69-23CF-44E3-9099-C40C66FF867C}">
                    <a14:compatExt spid="_x0000_s3087"/>
                  </a:ext>
                </a:extLst>
              </xdr:cNvPr>
              <xdr:cNvSpPr/>
            </xdr:nvSpPr>
            <xdr:spPr bwMode="auto">
              <a:xfrm>
                <a:off x="1733553" y="1558361"/>
                <a:ext cx="58102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88" name="Option Button 16" descr="3 Head" hidden="1">
                <a:extLst>
                  <a:ext uri="{63B3BB69-23CF-44E3-9099-C40C66FF867C}">
                    <a14:compatExt spid="_x0000_s3088"/>
                  </a:ext>
                </a:extLst>
              </xdr:cNvPr>
              <xdr:cNvSpPr/>
            </xdr:nvSpPr>
            <xdr:spPr bwMode="auto">
              <a:xfrm>
                <a:off x="1733547" y="1750909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89" name="Option Button 17" descr="4 Head" hidden="1">
                <a:extLst>
                  <a:ext uri="{63B3BB69-23CF-44E3-9099-C40C66FF867C}">
                    <a14:compatExt spid="_x0000_s3089"/>
                  </a:ext>
                </a:extLst>
              </xdr:cNvPr>
              <xdr:cNvSpPr/>
            </xdr:nvSpPr>
            <xdr:spPr bwMode="auto">
              <a:xfrm>
                <a:off x="1733550" y="1952625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90" name="Option Button 18" descr="5 Head" hidden="1">
                <a:extLst>
                  <a:ext uri="{63B3BB69-23CF-44E3-9099-C40C66FF867C}">
                    <a14:compatExt spid="_x0000_s3090"/>
                  </a:ext>
                </a:extLst>
              </xdr:cNvPr>
              <xdr:cNvSpPr/>
            </xdr:nvSpPr>
            <xdr:spPr bwMode="auto">
              <a:xfrm>
                <a:off x="1734394" y="2154342"/>
                <a:ext cx="581025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91" name="Option Button 19" descr="Dog House" hidden="1">
                <a:extLst>
                  <a:ext uri="{63B3BB69-23CF-44E3-9099-C40C66FF867C}">
                    <a14:compatExt spid="_x0000_s3091"/>
                  </a:ext>
                </a:extLst>
              </xdr:cNvPr>
              <xdr:cNvSpPr/>
            </xdr:nvSpPr>
            <xdr:spPr bwMode="auto">
              <a:xfrm>
                <a:off x="1734880" y="2365939"/>
                <a:ext cx="58037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85726</xdr:colOff>
          <xdr:row>6</xdr:row>
          <xdr:rowOff>76200</xdr:rowOff>
        </xdr:from>
        <xdr:to>
          <xdr:col>5</xdr:col>
          <xdr:colOff>677123</xdr:colOff>
          <xdr:row>6</xdr:row>
          <xdr:rowOff>1121903</xdr:rowOff>
        </xdr:to>
        <xdr:grpSp>
          <xdr:nvGrpSpPr>
            <xdr:cNvPr id="26" name="Group 25"/>
            <xdr:cNvGrpSpPr/>
          </xdr:nvGrpSpPr>
          <xdr:grpSpPr>
            <a:xfrm>
              <a:off x="3810001" y="1276350"/>
              <a:ext cx="591397" cy="1045703"/>
              <a:chOff x="1733548" y="1558361"/>
              <a:chExt cx="591397" cy="1045703"/>
            </a:xfrm>
          </xdr:grpSpPr>
          <xdr:sp macro="" textlink="">
            <xdr:nvSpPr>
              <xdr:cNvPr id="3092" name="Option Button 20" descr="None" hidden="1">
                <a:extLst>
                  <a:ext uri="{63B3BB69-23CF-44E3-9099-C40C66FF867C}">
                    <a14:compatExt spid="_x0000_s3092"/>
                  </a:ext>
                </a:extLst>
              </xdr:cNvPr>
              <xdr:cNvSpPr/>
            </xdr:nvSpPr>
            <xdr:spPr bwMode="auto">
              <a:xfrm>
                <a:off x="1733553" y="1558361"/>
                <a:ext cx="590551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93" name="Option Button 21" descr="3 Head" hidden="1">
                <a:extLst>
                  <a:ext uri="{63B3BB69-23CF-44E3-9099-C40C66FF867C}">
                    <a14:compatExt spid="_x0000_s3093"/>
                  </a:ext>
                </a:extLst>
              </xdr:cNvPr>
              <xdr:cNvSpPr/>
            </xdr:nvSpPr>
            <xdr:spPr bwMode="auto">
              <a:xfrm>
                <a:off x="1733548" y="1750909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94" name="Option Button 22" descr="4 Head" hidden="1">
                <a:extLst>
                  <a:ext uri="{63B3BB69-23CF-44E3-9099-C40C66FF867C}">
                    <a14:compatExt spid="_x0000_s3094"/>
                  </a:ext>
                </a:extLst>
              </xdr:cNvPr>
              <xdr:cNvSpPr/>
            </xdr:nvSpPr>
            <xdr:spPr bwMode="auto">
              <a:xfrm>
                <a:off x="1733551" y="1952625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095" name="Option Button 23" descr="5 Head" hidden="1">
                <a:extLst>
                  <a:ext uri="{63B3BB69-23CF-44E3-9099-C40C66FF867C}">
                    <a14:compatExt spid="_x0000_s3095"/>
                  </a:ext>
                </a:extLst>
              </xdr:cNvPr>
              <xdr:cNvSpPr/>
            </xdr:nvSpPr>
            <xdr:spPr bwMode="auto">
              <a:xfrm>
                <a:off x="1734395" y="2154342"/>
                <a:ext cx="590550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096" name="Option Button 24" descr="Dog House" hidden="1">
                <a:extLst>
                  <a:ext uri="{63B3BB69-23CF-44E3-9099-C40C66FF867C}">
                    <a14:compatExt spid="_x0000_s3096"/>
                  </a:ext>
                </a:extLst>
              </xdr:cNvPr>
              <xdr:cNvSpPr/>
            </xdr:nvSpPr>
            <xdr:spPr bwMode="auto">
              <a:xfrm>
                <a:off x="1734881" y="2365939"/>
                <a:ext cx="589884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95251</xdr:colOff>
          <xdr:row>6</xdr:row>
          <xdr:rowOff>79690</xdr:rowOff>
        </xdr:from>
        <xdr:to>
          <xdr:col>6</xdr:col>
          <xdr:colOff>677335</xdr:colOff>
          <xdr:row>6</xdr:row>
          <xdr:rowOff>1128389</xdr:rowOff>
        </xdr:to>
        <xdr:grpSp>
          <xdr:nvGrpSpPr>
            <xdr:cNvPr id="32" name="Group 31"/>
            <xdr:cNvGrpSpPr/>
          </xdr:nvGrpSpPr>
          <xdr:grpSpPr>
            <a:xfrm>
              <a:off x="4552951" y="1279840"/>
              <a:ext cx="582084" cy="1048699"/>
              <a:chOff x="1733546" y="1552210"/>
              <a:chExt cx="533624" cy="1068301"/>
            </a:xfrm>
          </xdr:grpSpPr>
          <xdr:sp macro="" textlink="">
            <xdr:nvSpPr>
              <xdr:cNvPr id="3097" name="Option Button 25" descr="None" hidden="1">
                <a:extLst>
                  <a:ext uri="{63B3BB69-23CF-44E3-9099-C40C66FF867C}">
                    <a14:compatExt spid="_x0000_s3097"/>
                  </a:ext>
                </a:extLst>
              </xdr:cNvPr>
              <xdr:cNvSpPr/>
            </xdr:nvSpPr>
            <xdr:spPr bwMode="auto">
              <a:xfrm>
                <a:off x="1733552" y="1552210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098" name="Option Button 26" descr="3 Head" hidden="1">
                <a:extLst>
                  <a:ext uri="{63B3BB69-23CF-44E3-9099-C40C66FF867C}">
                    <a14:compatExt spid="_x0000_s3098"/>
                  </a:ext>
                </a:extLst>
              </xdr:cNvPr>
              <xdr:cNvSpPr/>
            </xdr:nvSpPr>
            <xdr:spPr bwMode="auto">
              <a:xfrm>
                <a:off x="1733546" y="1744764"/>
                <a:ext cx="532644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099" name="Option Button 27" descr="4 Head" hidden="1">
                <a:extLst>
                  <a:ext uri="{63B3BB69-23CF-44E3-9099-C40C66FF867C}">
                    <a14:compatExt spid="_x0000_s3099"/>
                  </a:ext>
                </a:extLst>
              </xdr:cNvPr>
              <xdr:cNvSpPr/>
            </xdr:nvSpPr>
            <xdr:spPr bwMode="auto">
              <a:xfrm>
                <a:off x="1733551" y="1946480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00" name="Option Button 28" descr="5 Head" hidden="1">
                <a:extLst>
                  <a:ext uri="{63B3BB69-23CF-44E3-9099-C40C66FF867C}">
                    <a14:compatExt spid="_x0000_s3100"/>
                  </a:ext>
                </a:extLst>
              </xdr:cNvPr>
              <xdr:cNvSpPr/>
            </xdr:nvSpPr>
            <xdr:spPr bwMode="auto">
              <a:xfrm>
                <a:off x="1734395" y="2148198"/>
                <a:ext cx="532643" cy="25993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01" name="Option Button 29" descr="Dog House" hidden="1">
                <a:extLst>
                  <a:ext uri="{63B3BB69-23CF-44E3-9099-C40C66FF867C}">
                    <a14:compatExt spid="_x0000_s3101"/>
                  </a:ext>
                </a:extLst>
              </xdr:cNvPr>
              <xdr:cNvSpPr/>
            </xdr:nvSpPr>
            <xdr:spPr bwMode="auto">
              <a:xfrm>
                <a:off x="1734883" y="2347558"/>
                <a:ext cx="532287" cy="2729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3102" name="Group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9525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3104" name="Group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85726</xdr:colOff>
          <xdr:row>6</xdr:row>
          <xdr:rowOff>76199</xdr:rowOff>
        </xdr:from>
        <xdr:to>
          <xdr:col>7</xdr:col>
          <xdr:colOff>677332</xdr:colOff>
          <xdr:row>6</xdr:row>
          <xdr:rowOff>1098861</xdr:rowOff>
        </xdr:to>
        <xdr:grpSp>
          <xdr:nvGrpSpPr>
            <xdr:cNvPr id="41" name="Group 40"/>
            <xdr:cNvGrpSpPr/>
          </xdr:nvGrpSpPr>
          <xdr:grpSpPr>
            <a:xfrm>
              <a:off x="5276851" y="1276349"/>
              <a:ext cx="591606" cy="1022662"/>
              <a:chOff x="1733544" y="1558356"/>
              <a:chExt cx="542352" cy="1041777"/>
            </a:xfrm>
          </xdr:grpSpPr>
          <xdr:sp macro="" textlink="">
            <xdr:nvSpPr>
              <xdr:cNvPr id="3105" name="Option Button 33" descr="None" hidden="1">
                <a:extLst>
                  <a:ext uri="{63B3BB69-23CF-44E3-9099-C40C66FF867C}">
                    <a14:compatExt spid="_x0000_s3105"/>
                  </a:ext>
                </a:extLst>
              </xdr:cNvPr>
              <xdr:cNvSpPr/>
            </xdr:nvSpPr>
            <xdr:spPr bwMode="auto">
              <a:xfrm>
                <a:off x="1733552" y="1558356"/>
                <a:ext cx="541381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06" name="Option Button 34" descr="3 Head" hidden="1">
                <a:extLst>
                  <a:ext uri="{63B3BB69-23CF-44E3-9099-C40C66FF867C}">
                    <a14:compatExt spid="_x0000_s3106"/>
                  </a:ext>
                </a:extLst>
              </xdr:cNvPr>
              <xdr:cNvSpPr/>
            </xdr:nvSpPr>
            <xdr:spPr bwMode="auto">
              <a:xfrm>
                <a:off x="1733544" y="1750909"/>
                <a:ext cx="541383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07" name="Option Button 35" descr="4 Head" hidden="1">
                <a:extLst>
                  <a:ext uri="{63B3BB69-23CF-44E3-9099-C40C66FF867C}">
                    <a14:compatExt spid="_x0000_s3107"/>
                  </a:ext>
                </a:extLst>
              </xdr:cNvPr>
              <xdr:cNvSpPr/>
            </xdr:nvSpPr>
            <xdr:spPr bwMode="auto">
              <a:xfrm>
                <a:off x="1733550" y="1952625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08" name="Option Button 36" descr="5 Head" hidden="1">
                <a:extLst>
                  <a:ext uri="{63B3BB69-23CF-44E3-9099-C40C66FF867C}">
                    <a14:compatExt spid="_x0000_s3108"/>
                  </a:ext>
                </a:extLst>
              </xdr:cNvPr>
              <xdr:cNvSpPr/>
            </xdr:nvSpPr>
            <xdr:spPr bwMode="auto">
              <a:xfrm>
                <a:off x="1734394" y="2154342"/>
                <a:ext cx="541382" cy="23438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09" name="Option Button 37" descr="Dog House" hidden="1">
                <a:extLst>
                  <a:ext uri="{63B3BB69-23CF-44E3-9099-C40C66FF867C}">
                    <a14:compatExt spid="_x0000_s3109"/>
                  </a:ext>
                </a:extLst>
              </xdr:cNvPr>
              <xdr:cNvSpPr/>
            </xdr:nvSpPr>
            <xdr:spPr bwMode="auto">
              <a:xfrm>
                <a:off x="1734879" y="2354011"/>
                <a:ext cx="541017" cy="24612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723900</xdr:colOff>
          <xdr:row>7</xdr:row>
          <xdr:rowOff>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85726</xdr:colOff>
          <xdr:row>6</xdr:row>
          <xdr:rowOff>67601</xdr:rowOff>
        </xdr:from>
        <xdr:to>
          <xdr:col>8</xdr:col>
          <xdr:colOff>667809</xdr:colOff>
          <xdr:row>6</xdr:row>
          <xdr:rowOff>1088012</xdr:rowOff>
        </xdr:to>
        <xdr:grpSp>
          <xdr:nvGrpSpPr>
            <xdr:cNvPr id="48" name="Group 47"/>
            <xdr:cNvGrpSpPr/>
          </xdr:nvGrpSpPr>
          <xdr:grpSpPr>
            <a:xfrm>
              <a:off x="6010276" y="1267751"/>
              <a:ext cx="582083" cy="1020411"/>
              <a:chOff x="1733547" y="1568687"/>
              <a:chExt cx="533624" cy="1007983"/>
            </a:xfrm>
          </xdr:grpSpPr>
          <xdr:sp macro="" textlink="">
            <xdr:nvSpPr>
              <xdr:cNvPr id="3111" name="Option Button 39" descr="None" hidden="1">
                <a:extLst>
                  <a:ext uri="{63B3BB69-23CF-44E3-9099-C40C66FF867C}">
                    <a14:compatExt spid="_x0000_s3111"/>
                  </a:ext>
                </a:extLst>
              </xdr:cNvPr>
              <xdr:cNvSpPr/>
            </xdr:nvSpPr>
            <xdr:spPr bwMode="auto">
              <a:xfrm>
                <a:off x="1733553" y="1568687"/>
                <a:ext cx="532643" cy="201718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12" name="Option Button 40" descr="3 Head" hidden="1">
                <a:extLst>
                  <a:ext uri="{63B3BB69-23CF-44E3-9099-C40C66FF867C}">
                    <a14:compatExt spid="_x0000_s3112"/>
                  </a:ext>
                </a:extLst>
              </xdr:cNvPr>
              <xdr:cNvSpPr/>
            </xdr:nvSpPr>
            <xdr:spPr bwMode="auto">
              <a:xfrm>
                <a:off x="1733547" y="1761232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13" name="Option Button 41" descr="4 Head" hidden="1">
                <a:extLst>
                  <a:ext uri="{63B3BB69-23CF-44E3-9099-C40C66FF867C}">
                    <a14:compatExt spid="_x0000_s3113"/>
                  </a:ext>
                </a:extLst>
              </xdr:cNvPr>
              <xdr:cNvSpPr/>
            </xdr:nvSpPr>
            <xdr:spPr bwMode="auto">
              <a:xfrm>
                <a:off x="1733553" y="1962948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14" name="Option Button 42" descr="5 Head" hidden="1">
                <a:extLst>
                  <a:ext uri="{63B3BB69-23CF-44E3-9099-C40C66FF867C}">
                    <a14:compatExt spid="_x0000_s3114"/>
                  </a:ext>
                </a:extLst>
              </xdr:cNvPr>
              <xdr:cNvSpPr/>
            </xdr:nvSpPr>
            <xdr:spPr bwMode="auto">
              <a:xfrm>
                <a:off x="1734397" y="2164664"/>
                <a:ext cx="532643" cy="20171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15" name="Option Button 43" descr="Dog House" hidden="1">
                <a:extLst>
                  <a:ext uri="{63B3BB69-23CF-44E3-9099-C40C66FF867C}">
                    <a14:compatExt spid="_x0000_s3115"/>
                  </a:ext>
                </a:extLst>
              </xdr:cNvPr>
              <xdr:cNvSpPr/>
            </xdr:nvSpPr>
            <xdr:spPr bwMode="auto">
              <a:xfrm>
                <a:off x="1734884" y="2364848"/>
                <a:ext cx="532287" cy="211822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180975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3116" name="Group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85726</xdr:colOff>
          <xdr:row>6</xdr:row>
          <xdr:rowOff>76200</xdr:rowOff>
        </xdr:from>
        <xdr:to>
          <xdr:col>9</xdr:col>
          <xdr:colOff>648774</xdr:colOff>
          <xdr:row>6</xdr:row>
          <xdr:rowOff>1104900</xdr:rowOff>
        </xdr:to>
        <xdr:grpSp>
          <xdr:nvGrpSpPr>
            <xdr:cNvPr id="55" name="Group 54"/>
            <xdr:cNvGrpSpPr/>
          </xdr:nvGrpSpPr>
          <xdr:grpSpPr>
            <a:xfrm>
              <a:off x="6743701" y="1276350"/>
              <a:ext cx="563048" cy="1028700"/>
              <a:chOff x="1733545" y="1558361"/>
              <a:chExt cx="516174" cy="1045702"/>
            </a:xfrm>
          </xdr:grpSpPr>
          <xdr:sp macro="" textlink="">
            <xdr:nvSpPr>
              <xdr:cNvPr id="3117" name="Option Button 45" descr="None" hidden="1">
                <a:extLst>
                  <a:ext uri="{63B3BB69-23CF-44E3-9099-C40C66FF867C}">
                    <a14:compatExt spid="_x0000_s3117"/>
                  </a:ext>
                </a:extLst>
              </xdr:cNvPr>
              <xdr:cNvSpPr/>
            </xdr:nvSpPr>
            <xdr:spPr bwMode="auto">
              <a:xfrm>
                <a:off x="1733552" y="1558361"/>
                <a:ext cx="515184" cy="238127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18" name="Option Button 46" descr="3 Head" hidden="1">
                <a:extLst>
                  <a:ext uri="{63B3BB69-23CF-44E3-9099-C40C66FF867C}">
                    <a14:compatExt spid="_x0000_s3118"/>
                  </a:ext>
                </a:extLst>
              </xdr:cNvPr>
              <xdr:cNvSpPr/>
            </xdr:nvSpPr>
            <xdr:spPr bwMode="auto">
              <a:xfrm>
                <a:off x="1733545" y="1750909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19" name="Option Button 47" descr="4 Head" hidden="1">
                <a:extLst>
                  <a:ext uri="{63B3BB69-23CF-44E3-9099-C40C66FF867C}">
                    <a14:compatExt spid="_x0000_s3119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20" name="Option Button 48" descr="5 Head" hidden="1">
                <a:extLst>
                  <a:ext uri="{63B3BB69-23CF-44E3-9099-C40C66FF867C}">
                    <a14:compatExt spid="_x0000_s3120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2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21" name="Option Button 49" descr="Dog House" hidden="1">
                <a:extLst>
                  <a:ext uri="{63B3BB69-23CF-44E3-9099-C40C66FF867C}">
                    <a14:compatExt spid="_x0000_s3121"/>
                  </a:ext>
                </a:extLst>
              </xdr:cNvPr>
              <xdr:cNvSpPr/>
            </xdr:nvSpPr>
            <xdr:spPr bwMode="auto">
              <a:xfrm>
                <a:off x="1734882" y="2354010"/>
                <a:ext cx="514837" cy="2500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723900</xdr:colOff>
          <xdr:row>7</xdr:row>
          <xdr:rowOff>0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95251</xdr:colOff>
          <xdr:row>6</xdr:row>
          <xdr:rowOff>66675</xdr:rowOff>
        </xdr:from>
        <xdr:to>
          <xdr:col>10</xdr:col>
          <xdr:colOff>648785</xdr:colOff>
          <xdr:row>6</xdr:row>
          <xdr:rowOff>1114425</xdr:rowOff>
        </xdr:to>
        <xdr:grpSp>
          <xdr:nvGrpSpPr>
            <xdr:cNvPr id="62" name="Group 61"/>
            <xdr:cNvGrpSpPr/>
          </xdr:nvGrpSpPr>
          <xdr:grpSpPr>
            <a:xfrm>
              <a:off x="7486651" y="1266825"/>
              <a:ext cx="553534" cy="1047750"/>
              <a:chOff x="1733544" y="1558361"/>
              <a:chExt cx="507448" cy="1087470"/>
            </a:xfrm>
          </xdr:grpSpPr>
          <xdr:sp macro="" textlink="">
            <xdr:nvSpPr>
              <xdr:cNvPr id="3123" name="Option Button 51" descr="None" hidden="1">
                <a:extLst>
                  <a:ext uri="{63B3BB69-23CF-44E3-9099-C40C66FF867C}">
                    <a14:compatExt spid="_x0000_s3123"/>
                  </a:ext>
                </a:extLst>
              </xdr:cNvPr>
              <xdr:cNvSpPr/>
            </xdr:nvSpPr>
            <xdr:spPr bwMode="auto">
              <a:xfrm>
                <a:off x="1733552" y="1558361"/>
                <a:ext cx="506454" cy="27790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24" name="Option Button 52" descr="3 Head" hidden="1">
                <a:extLst>
                  <a:ext uri="{63B3BB69-23CF-44E3-9099-C40C66FF867C}">
                    <a14:compatExt spid="_x0000_s3124"/>
                  </a:ext>
                </a:extLst>
              </xdr:cNvPr>
              <xdr:cNvSpPr/>
            </xdr:nvSpPr>
            <xdr:spPr bwMode="auto">
              <a:xfrm>
                <a:off x="1733544" y="1750909"/>
                <a:ext cx="506457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25" name="Option Button 53" descr="4 Head" hidden="1">
                <a:extLst>
                  <a:ext uri="{63B3BB69-23CF-44E3-9099-C40C66FF867C}">
                    <a14:compatExt spid="_x0000_s3125"/>
                  </a:ext>
                </a:extLst>
              </xdr:cNvPr>
              <xdr:cNvSpPr/>
            </xdr:nvSpPr>
            <xdr:spPr bwMode="auto">
              <a:xfrm>
                <a:off x="1733550" y="1952625"/>
                <a:ext cx="506454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26" name="Option Button 54" descr="5 Head" hidden="1">
                <a:extLst>
                  <a:ext uri="{63B3BB69-23CF-44E3-9099-C40C66FF867C}">
                    <a14:compatExt spid="_x0000_s3126"/>
                  </a:ext>
                </a:extLst>
              </xdr:cNvPr>
              <xdr:cNvSpPr/>
            </xdr:nvSpPr>
            <xdr:spPr bwMode="auto">
              <a:xfrm>
                <a:off x="1734394" y="2154342"/>
                <a:ext cx="506454" cy="27790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27" name="Option Button 55" descr="Dog House" hidden="1">
                <a:extLst>
                  <a:ext uri="{63B3BB69-23CF-44E3-9099-C40C66FF867C}">
                    <a14:compatExt spid="_x0000_s3127"/>
                  </a:ext>
                </a:extLst>
              </xdr:cNvPr>
              <xdr:cNvSpPr/>
            </xdr:nvSpPr>
            <xdr:spPr bwMode="auto">
              <a:xfrm>
                <a:off x="1734878" y="2354007"/>
                <a:ext cx="506114" cy="29182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66676</xdr:colOff>
          <xdr:row>6</xdr:row>
          <xdr:rowOff>71096</xdr:rowOff>
        </xdr:from>
        <xdr:to>
          <xdr:col>11</xdr:col>
          <xdr:colOff>658284</xdr:colOff>
          <xdr:row>6</xdr:row>
          <xdr:rowOff>1133475</xdr:rowOff>
        </xdr:to>
        <xdr:grpSp>
          <xdr:nvGrpSpPr>
            <xdr:cNvPr id="68" name="Group 67"/>
            <xdr:cNvGrpSpPr/>
          </xdr:nvGrpSpPr>
          <xdr:grpSpPr>
            <a:xfrm>
              <a:off x="8191501" y="1271246"/>
              <a:ext cx="591608" cy="1062379"/>
              <a:chOff x="1733544" y="1760317"/>
              <a:chExt cx="542354" cy="1092112"/>
            </a:xfrm>
          </xdr:grpSpPr>
          <xdr:sp macro="" textlink="">
            <xdr:nvSpPr>
              <xdr:cNvPr id="3128" name="Option Button 56" descr="3 Head" hidden="1">
                <a:extLst>
                  <a:ext uri="{63B3BB69-23CF-44E3-9099-C40C66FF867C}">
                    <a14:compatExt spid="_x0000_s3128"/>
                  </a:ext>
                </a:extLst>
              </xdr:cNvPr>
              <xdr:cNvSpPr/>
            </xdr:nvSpPr>
            <xdr:spPr bwMode="auto">
              <a:xfrm>
                <a:off x="1733544" y="1760317"/>
                <a:ext cx="541385" cy="26849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29" name="Option Button 57" descr="4 Head" hidden="1">
                <a:extLst>
                  <a:ext uri="{63B3BB69-23CF-44E3-9099-C40C66FF867C}">
                    <a14:compatExt spid="_x0000_s3129"/>
                  </a:ext>
                </a:extLst>
              </xdr:cNvPr>
              <xdr:cNvSpPr/>
            </xdr:nvSpPr>
            <xdr:spPr bwMode="auto">
              <a:xfrm>
                <a:off x="1733550" y="1962034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30" name="Option Button 58" descr="5 Head" hidden="1">
                <a:extLst>
                  <a:ext uri="{63B3BB69-23CF-44E3-9099-C40C66FF867C}">
                    <a14:compatExt spid="_x0000_s3130"/>
                  </a:ext>
                </a:extLst>
              </xdr:cNvPr>
              <xdr:cNvSpPr/>
            </xdr:nvSpPr>
            <xdr:spPr bwMode="auto">
              <a:xfrm>
                <a:off x="1734394" y="2163751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31" name="Option Button 59" descr="Dog House" hidden="1">
                <a:extLst>
                  <a:ext uri="{63B3BB69-23CF-44E3-9099-C40C66FF867C}">
                    <a14:compatExt spid="_x0000_s3131"/>
                  </a:ext>
                </a:extLst>
              </xdr:cNvPr>
              <xdr:cNvSpPr/>
            </xdr:nvSpPr>
            <xdr:spPr bwMode="auto">
              <a:xfrm>
                <a:off x="1734880" y="2363418"/>
                <a:ext cx="541018" cy="28194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32" name="Option Button 60" descr="None" hidden="1">
                <a:extLst>
                  <a:ext uri="{63B3BB69-23CF-44E3-9099-C40C66FF867C}">
                    <a14:compatExt spid="_x0000_s3132"/>
                  </a:ext>
                </a:extLst>
              </xdr:cNvPr>
              <xdr:cNvSpPr/>
            </xdr:nvSpPr>
            <xdr:spPr bwMode="auto">
              <a:xfrm>
                <a:off x="1733552" y="2583935"/>
                <a:ext cx="541382" cy="268494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180975</xdr:rowOff>
        </xdr:from>
        <xdr:to>
          <xdr:col>13</xdr:col>
          <xdr:colOff>0</xdr:colOff>
          <xdr:row>7</xdr:row>
          <xdr:rowOff>0</xdr:rowOff>
        </xdr:to>
        <xdr:sp macro="" textlink="">
          <xdr:nvSpPr>
            <xdr:cNvPr id="3133" name="Group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95252</xdr:colOff>
          <xdr:row>6</xdr:row>
          <xdr:rowOff>47625</xdr:rowOff>
        </xdr:from>
        <xdr:to>
          <xdr:col>12</xdr:col>
          <xdr:colOff>658306</xdr:colOff>
          <xdr:row>6</xdr:row>
          <xdr:rowOff>1106218</xdr:rowOff>
        </xdr:to>
        <xdr:grpSp>
          <xdr:nvGrpSpPr>
            <xdr:cNvPr id="75" name="Group 74"/>
            <xdr:cNvGrpSpPr/>
          </xdr:nvGrpSpPr>
          <xdr:grpSpPr>
            <a:xfrm>
              <a:off x="8953502" y="1247775"/>
              <a:ext cx="563054" cy="1058593"/>
              <a:chOff x="1733546" y="1558368"/>
              <a:chExt cx="516178" cy="1045700"/>
            </a:xfrm>
          </xdr:grpSpPr>
          <xdr:sp macro="" textlink="">
            <xdr:nvSpPr>
              <xdr:cNvPr id="3134" name="Option Button 62" descr="None" hidden="1">
                <a:extLst>
                  <a:ext uri="{63B3BB69-23CF-44E3-9099-C40C66FF867C}">
                    <a14:compatExt spid="_x0000_s3134"/>
                  </a:ext>
                </a:extLst>
              </xdr:cNvPr>
              <xdr:cNvSpPr/>
            </xdr:nvSpPr>
            <xdr:spPr bwMode="auto">
              <a:xfrm>
                <a:off x="1733552" y="1558368"/>
                <a:ext cx="515186" cy="238126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None</a:t>
                </a:r>
              </a:p>
            </xdr:txBody>
          </xdr:sp>
          <xdr:sp macro="" textlink="">
            <xdr:nvSpPr>
              <xdr:cNvPr id="3135" name="Option Button 63" descr="3 Head" hidden="1">
                <a:extLst>
                  <a:ext uri="{63B3BB69-23CF-44E3-9099-C40C66FF867C}">
                    <a14:compatExt spid="_x0000_s3135"/>
                  </a:ext>
                </a:extLst>
              </xdr:cNvPr>
              <xdr:cNvSpPr/>
            </xdr:nvSpPr>
            <xdr:spPr bwMode="auto">
              <a:xfrm>
                <a:off x="1733546" y="1750909"/>
                <a:ext cx="515187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 Head</a:t>
                </a:r>
              </a:p>
            </xdr:txBody>
          </xdr:sp>
          <xdr:sp macro="" textlink="">
            <xdr:nvSpPr>
              <xdr:cNvPr id="3136" name="Option Button 64" descr="4 Head" hidden="1">
                <a:extLst>
                  <a:ext uri="{63B3BB69-23CF-44E3-9099-C40C66FF867C}">
                    <a14:compatExt spid="_x0000_s3136"/>
                  </a:ext>
                </a:extLst>
              </xdr:cNvPr>
              <xdr:cNvSpPr/>
            </xdr:nvSpPr>
            <xdr:spPr bwMode="auto">
              <a:xfrm>
                <a:off x="1733551" y="1952625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4 Head</a:t>
                </a:r>
              </a:p>
            </xdr:txBody>
          </xdr:sp>
          <xdr:sp macro="" textlink="">
            <xdr:nvSpPr>
              <xdr:cNvPr id="3137" name="Option Button 65" descr="5 Head" hidden="1">
                <a:extLst>
                  <a:ext uri="{63B3BB69-23CF-44E3-9099-C40C66FF867C}">
                    <a14:compatExt spid="_x0000_s3137"/>
                  </a:ext>
                </a:extLst>
              </xdr:cNvPr>
              <xdr:cNvSpPr/>
            </xdr:nvSpPr>
            <xdr:spPr bwMode="auto">
              <a:xfrm>
                <a:off x="1734395" y="2154342"/>
                <a:ext cx="515186" cy="238125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Head</a:t>
                </a:r>
              </a:p>
            </xdr:txBody>
          </xdr:sp>
          <xdr:sp macro="" textlink="">
            <xdr:nvSpPr>
              <xdr:cNvPr id="3138" name="Option Button 66" descr="Dog House" hidden="1">
                <a:extLst>
                  <a:ext uri="{63B3BB69-23CF-44E3-9099-C40C66FF867C}">
                    <a14:compatExt spid="_x0000_s3138"/>
                  </a:ext>
                </a:extLst>
              </xdr:cNvPr>
              <xdr:cNvSpPr/>
            </xdr:nvSpPr>
            <xdr:spPr bwMode="auto">
              <a:xfrm>
                <a:off x="1734883" y="2354015"/>
                <a:ext cx="514841" cy="250053"/>
              </a:xfrm>
              <a:prstGeom prst="rect">
                <a:avLst/>
              </a:prstGeom>
              <a:solidFill>
                <a:srgbClr val="DDDDDD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Sign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6</xdr:row>
          <xdr:rowOff>57150</xdr:rowOff>
        </xdr:from>
        <xdr:to>
          <xdr:col>2</xdr:col>
          <xdr:colOff>1019175</xdr:colOff>
          <xdr:row>7</xdr:row>
          <xdr:rowOff>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Arm 2 Length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</xdr:row>
          <xdr:rowOff>219075</xdr:rowOff>
        </xdr:from>
        <xdr:to>
          <xdr:col>2</xdr:col>
          <xdr:colOff>885825</xdr:colOff>
          <xdr:row>6</xdr:row>
          <xdr:rowOff>1257300</xdr:rowOff>
        </xdr:to>
        <xdr:sp macro="" textlink="">
          <xdr:nvSpPr>
            <xdr:cNvPr id="3140" name="List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5</xdr:row>
          <xdr:rowOff>180975</xdr:rowOff>
        </xdr:from>
        <xdr:to>
          <xdr:col>12</xdr:col>
          <xdr:colOff>0</xdr:colOff>
          <xdr:row>7</xdr:row>
          <xdr:rowOff>9525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952500</xdr:colOff>
      <xdr:row>0</xdr:row>
      <xdr:rowOff>254000</xdr:rowOff>
    </xdr:from>
    <xdr:to>
      <xdr:col>25</xdr:col>
      <xdr:colOff>47000</xdr:colOff>
      <xdr:row>0</xdr:row>
      <xdr:rowOff>2834952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2000" y="254000"/>
          <a:ext cx="5000000" cy="258095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927100</xdr:colOff>
      <xdr:row>0</xdr:row>
      <xdr:rowOff>270040</xdr:rowOff>
    </xdr:from>
    <xdr:to>
      <xdr:col>20</xdr:col>
      <xdr:colOff>656238</xdr:colOff>
      <xdr:row>0</xdr:row>
      <xdr:rowOff>2815981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0200" y="270040"/>
          <a:ext cx="10295538" cy="2545941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361951</xdr:colOff>
      <xdr:row>30</xdr:row>
      <xdr:rowOff>28575</xdr:rowOff>
    </xdr:from>
    <xdr:to>
      <xdr:col>23</xdr:col>
      <xdr:colOff>381001</xdr:colOff>
      <xdr:row>49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600075</xdr:colOff>
      <xdr:row>0</xdr:row>
      <xdr:rowOff>76200</xdr:rowOff>
    </xdr:from>
    <xdr:to>
      <xdr:col>26</xdr:col>
      <xdr:colOff>428189</xdr:colOff>
      <xdr:row>1</xdr:row>
      <xdr:rowOff>47532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4900" y="76200"/>
          <a:ext cx="3485714" cy="74285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26" Type="http://schemas.openxmlformats.org/officeDocument/2006/relationships/ctrlProp" Target="../ctrlProps/ctrlProp98.xml"/><Relationship Id="rId39" Type="http://schemas.openxmlformats.org/officeDocument/2006/relationships/ctrlProp" Target="../ctrlProps/ctrlProp111.xml"/><Relationship Id="rId21" Type="http://schemas.openxmlformats.org/officeDocument/2006/relationships/ctrlProp" Target="../ctrlProps/ctrlProp93.xml"/><Relationship Id="rId34" Type="http://schemas.openxmlformats.org/officeDocument/2006/relationships/ctrlProp" Target="../ctrlProps/ctrlProp106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63" Type="http://schemas.openxmlformats.org/officeDocument/2006/relationships/ctrlProp" Target="../ctrlProps/ctrlProp135.xml"/><Relationship Id="rId7" Type="http://schemas.openxmlformats.org/officeDocument/2006/relationships/ctrlProp" Target="../ctrlProps/ctrlProp7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8.xml"/><Relationship Id="rId20" Type="http://schemas.openxmlformats.org/officeDocument/2006/relationships/ctrlProp" Target="../ctrlProps/ctrlProp92.xml"/><Relationship Id="rId29" Type="http://schemas.openxmlformats.org/officeDocument/2006/relationships/ctrlProp" Target="../ctrlProps/ctrlProp101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5" Type="http://schemas.openxmlformats.org/officeDocument/2006/relationships/ctrlProp" Target="../ctrlProps/ctrlProp77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61" Type="http://schemas.openxmlformats.org/officeDocument/2006/relationships/ctrlProp" Target="../ctrlProps/ctrlProp133.xml"/><Relationship Id="rId10" Type="http://schemas.openxmlformats.org/officeDocument/2006/relationships/ctrlProp" Target="../ctrlProps/ctrlProp82.xml"/><Relationship Id="rId19" Type="http://schemas.openxmlformats.org/officeDocument/2006/relationships/ctrlProp" Target="../ctrlProps/ctrlProp91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30"/>
  <sheetViews>
    <sheetView workbookViewId="0"/>
  </sheetViews>
  <sheetFormatPr defaultRowHeight="15"/>
  <cols>
    <col min="1" max="1" width="5.140625" customWidth="1"/>
  </cols>
  <sheetData>
    <row r="1" spans="1:14" ht="25.5">
      <c r="A1" s="269" t="s">
        <v>122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</row>
    <row r="2" spans="1:14">
      <c r="A2" s="272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4"/>
    </row>
    <row r="3" spans="1:14" ht="18.75">
      <c r="A3" s="275" t="s">
        <v>131</v>
      </c>
      <c r="B3" s="276"/>
      <c r="C3" s="277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</row>
    <row r="4" spans="1:14" ht="15.75">
      <c r="A4" s="278" t="s">
        <v>221</v>
      </c>
      <c r="B4" s="279"/>
      <c r="C4" s="280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4"/>
    </row>
    <row r="5" spans="1:14" ht="15.75">
      <c r="A5" s="281"/>
      <c r="B5" s="282" t="s">
        <v>215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4"/>
    </row>
    <row r="6" spans="1:14" ht="15.75">
      <c r="A6" s="281"/>
      <c r="B6" s="282" t="s">
        <v>216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4"/>
    </row>
    <row r="7" spans="1:14" ht="15.75">
      <c r="A7" s="281"/>
      <c r="B7" s="282" t="s">
        <v>129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4"/>
    </row>
    <row r="8" spans="1:14" s="3" customFormat="1" ht="15.75">
      <c r="A8" s="278" t="s">
        <v>229</v>
      </c>
      <c r="B8" s="282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>
      <c r="A9" s="283"/>
      <c r="B9" s="282" t="s">
        <v>224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4"/>
    </row>
    <row r="10" spans="1:14" s="3" customFormat="1" ht="15.75">
      <c r="A10" s="284"/>
      <c r="B10" s="282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4"/>
    </row>
    <row r="11" spans="1:14" s="3" customFormat="1" ht="18.75">
      <c r="A11" s="275" t="s">
        <v>132</v>
      </c>
      <c r="B11" s="276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4"/>
    </row>
    <row r="12" spans="1:14" s="3" customFormat="1" ht="15.75">
      <c r="A12" s="278" t="s">
        <v>222</v>
      </c>
      <c r="B12" s="279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4"/>
    </row>
    <row r="13" spans="1:14" s="3" customFormat="1" ht="15.75">
      <c r="A13" s="278" t="s">
        <v>223</v>
      </c>
      <c r="B13" s="276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4"/>
    </row>
    <row r="14" spans="1:14" s="3" customFormat="1" ht="15.75">
      <c r="A14" s="281"/>
      <c r="B14" s="282" t="s">
        <v>217</v>
      </c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4"/>
    </row>
    <row r="15" spans="1:14" s="3" customFormat="1" ht="15.75">
      <c r="A15" s="281"/>
      <c r="B15" s="282" t="s">
        <v>128</v>
      </c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4"/>
    </row>
    <row r="16" spans="1:14" s="3" customFormat="1" ht="15.75">
      <c r="A16" s="285" t="s">
        <v>228</v>
      </c>
      <c r="B16" s="279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4"/>
    </row>
    <row r="17" spans="1:14" s="3" customFormat="1" ht="15.75">
      <c r="A17" s="285"/>
      <c r="B17" s="279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4"/>
    </row>
    <row r="18" spans="1:14" s="3" customFormat="1" ht="18.75">
      <c r="A18" s="275" t="s">
        <v>225</v>
      </c>
      <c r="B18" s="286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4"/>
    </row>
    <row r="19" spans="1:14" s="3" customFormat="1" ht="15.75">
      <c r="A19" s="282" t="s">
        <v>226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4"/>
    </row>
    <row r="20" spans="1:14" s="3" customFormat="1" ht="15.75">
      <c r="A20" s="282" t="s">
        <v>227</v>
      </c>
      <c r="B20" s="28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4"/>
    </row>
    <row r="21" spans="1:14" s="3" customFormat="1" ht="18.75">
      <c r="A21" s="275"/>
      <c r="B21" s="286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4"/>
    </row>
    <row r="22" spans="1:14" ht="15.75">
      <c r="A22" s="287" t="s">
        <v>73</v>
      </c>
      <c r="B22" s="273"/>
      <c r="C22" s="273"/>
      <c r="D22" s="273"/>
      <c r="E22" s="273"/>
      <c r="F22" s="273"/>
      <c r="G22" s="273"/>
      <c r="H22" s="273"/>
      <c r="I22" s="273"/>
      <c r="J22" s="283"/>
      <c r="K22" s="273"/>
      <c r="L22" s="273"/>
      <c r="M22" s="273"/>
      <c r="N22" s="274"/>
    </row>
    <row r="23" spans="1:14" s="3" customFormat="1" ht="15.75">
      <c r="A23" s="287" t="s">
        <v>130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4"/>
    </row>
    <row r="24" spans="1:14" s="3" customFormat="1" ht="15.75">
      <c r="A24" s="278" t="s">
        <v>230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4"/>
    </row>
    <row r="25" spans="1:14" ht="15.75">
      <c r="A25" s="278" t="s">
        <v>214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4"/>
    </row>
    <row r="26" spans="1:14" ht="15.75">
      <c r="A26" s="287" t="s">
        <v>153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4"/>
    </row>
    <row r="27" spans="1:14" ht="15.75">
      <c r="A27" s="287" t="s">
        <v>151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4"/>
    </row>
    <row r="28" spans="1:14" ht="15.75">
      <c r="A28" s="287" t="s">
        <v>109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4"/>
    </row>
    <row r="29" spans="1:14" s="3" customFormat="1" ht="15.75">
      <c r="A29" s="287" t="s">
        <v>232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4"/>
    </row>
    <row r="30" spans="1:14" ht="15.75" thickBot="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90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 tint="0.59999389629810485"/>
    <pageSetUpPr fitToPage="1"/>
  </sheetPr>
  <dimension ref="A1:Q47"/>
  <sheetViews>
    <sheetView tabSelected="1" zoomScaleNormal="100" workbookViewId="0"/>
  </sheetViews>
  <sheetFormatPr defaultRowHeight="15"/>
  <cols>
    <col min="1" max="1" width="2.85546875" style="37" customWidth="1"/>
    <col min="2" max="2" width="14" style="37" customWidth="1"/>
    <col min="3" max="3" width="17" style="37" customWidth="1"/>
    <col min="4" max="12" width="11" style="37" customWidth="1"/>
    <col min="13" max="13" width="11.28515625" style="37" customWidth="1"/>
    <col min="14" max="14" width="3.7109375" style="37" customWidth="1"/>
    <col min="15" max="15" width="14.7109375" style="37" customWidth="1"/>
    <col min="16" max="18" width="9.140625" style="37"/>
    <col min="19" max="19" width="12.140625" style="37" customWidth="1"/>
    <col min="20" max="21" width="12.28515625" style="37" customWidth="1"/>
    <col min="22" max="25" width="12.140625" style="37" bestFit="1" customWidth="1"/>
    <col min="26" max="26" width="12.140625" style="37" customWidth="1"/>
    <col min="27" max="27" width="12.140625" style="37" bestFit="1" customWidth="1"/>
    <col min="28" max="28" width="13.140625" style="37" customWidth="1"/>
    <col min="29" max="16384" width="9.140625" style="37"/>
  </cols>
  <sheetData>
    <row r="1" spans="1:17" ht="9.9499999999999993" customHeight="1" thickBot="1">
      <c r="A1" s="75"/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6"/>
      <c r="N1" s="78"/>
      <c r="O1" s="36"/>
    </row>
    <row r="2" spans="1:17" ht="15" customHeight="1" thickBot="1">
      <c r="A2" s="79"/>
      <c r="D2" s="382" t="s">
        <v>119</v>
      </c>
      <c r="E2" s="383"/>
      <c r="F2" s="383"/>
      <c r="G2" s="383"/>
      <c r="H2" s="383"/>
      <c r="I2" s="383"/>
      <c r="J2" s="384"/>
      <c r="K2" s="364"/>
      <c r="N2" s="80"/>
      <c r="O2" s="38"/>
    </row>
    <row r="3" spans="1:17" ht="9.9499999999999993" customHeight="1" thickBot="1">
      <c r="A3" s="79"/>
      <c r="B3" s="36"/>
      <c r="C3" s="36"/>
      <c r="D3" s="36"/>
      <c r="E3" s="36"/>
      <c r="F3" s="38"/>
      <c r="G3" s="36"/>
      <c r="H3" s="36"/>
      <c r="I3" s="36"/>
      <c r="J3" s="38"/>
      <c r="K3" s="36"/>
      <c r="L3" s="36"/>
      <c r="M3" s="36"/>
      <c r="N3" s="80"/>
      <c r="O3" s="36"/>
      <c r="Q3" s="38"/>
    </row>
    <row r="4" spans="1:17" ht="15" customHeight="1" thickTop="1" thickBot="1">
      <c r="A4" s="79"/>
      <c r="B4" s="380" t="s">
        <v>298</v>
      </c>
      <c r="C4" s="381"/>
      <c r="D4" s="395" t="s">
        <v>158</v>
      </c>
      <c r="E4" s="396"/>
      <c r="F4" s="396"/>
      <c r="G4" s="396"/>
      <c r="H4" s="396"/>
      <c r="I4" s="396"/>
      <c r="J4" s="396"/>
      <c r="K4" s="396"/>
      <c r="L4" s="396"/>
      <c r="M4" s="397"/>
      <c r="N4" s="81"/>
      <c r="O4" s="36"/>
    </row>
    <row r="5" spans="1:17" ht="30" customHeight="1" thickBot="1">
      <c r="A5" s="82"/>
      <c r="B5" s="385"/>
      <c r="C5" s="386"/>
      <c r="D5" s="174" t="s">
        <v>16</v>
      </c>
      <c r="E5" s="175" t="s">
        <v>45</v>
      </c>
      <c r="F5" s="175" t="s">
        <v>5</v>
      </c>
      <c r="G5" s="175" t="s">
        <v>41</v>
      </c>
      <c r="H5" s="175" t="s">
        <v>4</v>
      </c>
      <c r="I5" s="175" t="s">
        <v>3</v>
      </c>
      <c r="J5" s="175" t="s">
        <v>2</v>
      </c>
      <c r="K5" s="175" t="s">
        <v>1</v>
      </c>
      <c r="L5" s="175" t="s">
        <v>0</v>
      </c>
      <c r="M5" s="243" t="s">
        <v>44</v>
      </c>
      <c r="N5" s="81"/>
      <c r="O5" s="36"/>
    </row>
    <row r="6" spans="1:17" ht="15" customHeight="1">
      <c r="A6" s="82"/>
      <c r="B6" s="363"/>
      <c r="C6" s="39" t="s">
        <v>57</v>
      </c>
      <c r="D6" s="40">
        <v>75</v>
      </c>
      <c r="E6" s="41">
        <v>70</v>
      </c>
      <c r="F6" s="42">
        <v>65</v>
      </c>
      <c r="G6" s="43">
        <v>60</v>
      </c>
      <c r="H6" s="44">
        <v>55</v>
      </c>
      <c r="I6" s="45">
        <v>45</v>
      </c>
      <c r="J6" s="46">
        <v>35</v>
      </c>
      <c r="K6" s="47">
        <v>28</v>
      </c>
      <c r="L6" s="173">
        <v>22</v>
      </c>
      <c r="M6" s="48">
        <v>12</v>
      </c>
      <c r="N6" s="81"/>
      <c r="O6" s="36"/>
    </row>
    <row r="7" spans="1:17" ht="107.25" customHeight="1">
      <c r="A7" s="79"/>
      <c r="B7" s="171"/>
      <c r="C7" s="49"/>
      <c r="D7" s="40">
        <v>1</v>
      </c>
      <c r="E7" s="41">
        <v>1</v>
      </c>
      <c r="F7" s="42">
        <v>1</v>
      </c>
      <c r="G7" s="43">
        <v>1</v>
      </c>
      <c r="H7" s="44">
        <v>2</v>
      </c>
      <c r="I7" s="45">
        <v>2</v>
      </c>
      <c r="J7" s="50">
        <v>2</v>
      </c>
      <c r="K7" s="47">
        <v>2</v>
      </c>
      <c r="L7" s="51">
        <v>2</v>
      </c>
      <c r="M7" s="48">
        <v>5</v>
      </c>
      <c r="N7" s="81"/>
      <c r="O7" s="36"/>
    </row>
    <row r="8" spans="1:17" ht="15" customHeight="1">
      <c r="A8" s="79"/>
      <c r="B8" s="361"/>
      <c r="C8" s="52" t="s">
        <v>14</v>
      </c>
      <c r="D8" s="53">
        <v>24</v>
      </c>
      <c r="E8" s="53">
        <v>24</v>
      </c>
      <c r="F8" s="53">
        <v>24</v>
      </c>
      <c r="G8" s="53">
        <v>24</v>
      </c>
      <c r="H8" s="53">
        <v>24</v>
      </c>
      <c r="I8" s="53">
        <v>36</v>
      </c>
      <c r="J8" s="53">
        <v>60</v>
      </c>
      <c r="K8" s="53">
        <v>120</v>
      </c>
      <c r="L8" s="53">
        <v>120</v>
      </c>
      <c r="M8" s="54">
        <v>120</v>
      </c>
      <c r="N8" s="81"/>
      <c r="O8" s="36"/>
    </row>
    <row r="9" spans="1:17" ht="15" customHeight="1" thickBot="1">
      <c r="A9" s="79"/>
      <c r="B9" s="361"/>
      <c r="C9" s="55" t="s">
        <v>15</v>
      </c>
      <c r="D9" s="56">
        <v>36</v>
      </c>
      <c r="E9" s="56">
        <v>36</v>
      </c>
      <c r="F9" s="56">
        <v>36</v>
      </c>
      <c r="G9" s="56">
        <v>36</v>
      </c>
      <c r="H9" s="56">
        <v>36</v>
      </c>
      <c r="I9" s="56">
        <v>36</v>
      </c>
      <c r="J9" s="56">
        <v>36</v>
      </c>
      <c r="K9" s="56">
        <v>24</v>
      </c>
      <c r="L9" s="56">
        <v>24</v>
      </c>
      <c r="M9" s="57">
        <v>24</v>
      </c>
      <c r="N9" s="81"/>
      <c r="O9" s="36"/>
    </row>
    <row r="10" spans="1:17" ht="15" customHeight="1" thickTop="1">
      <c r="A10" s="79"/>
      <c r="B10" s="361"/>
      <c r="C10" s="58" t="s">
        <v>21</v>
      </c>
      <c r="D10" s="60">
        <f>IF(D7=1,0,IF(AND(D7=5,D8&lt;&gt;0,D9&lt;&gt;0),Dimensions!S4,IF(Arm1Design!D7=2,Dimensions!I4,IF(D7=3,Dimensions!I11,IF(D7=4,Dimensions!I18,"")))))</f>
        <v>0</v>
      </c>
      <c r="E10" s="60">
        <f>IF(E7=1,0,IF(AND(E7=5,E8&lt;&gt;0,E9&lt;&gt;0),Dimensions!S11,IF(Arm1Design!E7=2,Dimensions!I4,IF(E7=3,Dimensions!I11,IF(E7=4,Dimensions!I18,"")))))</f>
        <v>0</v>
      </c>
      <c r="F10" s="60">
        <f>IF(F7=1,0,IF(AND(F7=5,F8&lt;&gt;0,F9&lt;&gt;0),Dimensions!S18,IF(Arm1Design!F7=2,Dimensions!I4,IF(F7=3,Dimensions!I11,IF(F7=4,Dimensions!I18,"")))))</f>
        <v>0</v>
      </c>
      <c r="G10" s="60">
        <f>IF(G7=1,0,IF(AND(G7=5,G8&lt;&gt;0,G9&lt;&gt;0),Dimensions!S25,IF(Arm1Design!G7=2,Dimensions!I4,IF(G7=3,Dimensions!I11,IF(G7=4,Dimensions!I18,"")))))</f>
        <v>0</v>
      </c>
      <c r="H10" s="60">
        <f>IF(H7=1,0,IF(AND(H7=5,H8&lt;&gt;0,H9&lt;&gt;0),Dimensions!S32,IF(Arm1Design!H7=2,Dimensions!I4,IF(H7=3,Dimensions!I11,IF(H7=4,Dimensions!I18,"")))))</f>
        <v>9.75</v>
      </c>
      <c r="I10" s="60">
        <f>IF(I7=1,0,IF(AND(I7=5,I8&lt;&gt;0,I9&lt;&gt;0),Dimensions!S39,IF(Arm1Design!I7=2,Dimensions!I4,IF(I7=3,Dimensions!I11,IF(I7=4,Dimensions!I18,"")))))</f>
        <v>9.75</v>
      </c>
      <c r="J10" s="60">
        <f>IF(J7=1,0,IF(AND(J7=5,J8&lt;&gt;0,J9&lt;&gt;0),Dimensions!S46,IF(Arm1Design!J7=2,Dimensions!I4,IF(J7=3,Dimensions!I11,IF(J7=4,Dimensions!I18,"")))))</f>
        <v>9.75</v>
      </c>
      <c r="K10" s="60">
        <f>IF(K7=1,0,IF(AND(K7=5,K8&lt;&gt;0,K9&lt;&gt;0),Dimensions!S53,IF(Arm1Design!K7=2,Dimensions!I4,IF(K7=3,Dimensions!I11,IF(K7=4,Dimensions!I18,"")))))</f>
        <v>9.75</v>
      </c>
      <c r="L10" s="60">
        <f>IF(L7=1,0,IF(AND(L7=5,L8&lt;&gt;0,L9&lt;&gt;0),Dimensions!S60,IF(Arm1Design!L7=2,Dimensions!I4,IF(L7=3,Dimensions!I11,IF(L7=4,Dimensions!I18,"")))))</f>
        <v>9.75</v>
      </c>
      <c r="M10" s="61">
        <f>IF(M7=1,0,IF(AND(M7=5,M8&lt;&gt;0,M9&lt;&gt;0),Dimensions!S67,IF(Arm1Design!M7=2,Dimensions!I4,IF(M7=3,Dimensions!I11,IF(M7=4,Dimensions!I18,"")))))</f>
        <v>20</v>
      </c>
      <c r="N10" s="81"/>
      <c r="O10" s="36"/>
    </row>
    <row r="11" spans="1:17" ht="15" customHeight="1" thickBot="1">
      <c r="A11" s="79"/>
      <c r="B11" s="362"/>
      <c r="C11" s="59" t="s">
        <v>56</v>
      </c>
      <c r="D11" s="62">
        <f>'CFI&amp;Designation'!B17</f>
        <v>0</v>
      </c>
      <c r="E11" s="62">
        <f>'CFI&amp;Designation'!C17</f>
        <v>0</v>
      </c>
      <c r="F11" s="62">
        <f>'CFI&amp;Designation'!D17</f>
        <v>0</v>
      </c>
      <c r="G11" s="62">
        <f>'CFI&amp;Designation'!E17</f>
        <v>0</v>
      </c>
      <c r="H11" s="62">
        <f>'CFI&amp;Designation'!F17</f>
        <v>35.916566399999994</v>
      </c>
      <c r="I11" s="62">
        <f>'CFI&amp;Designation'!G17</f>
        <v>29.386281599999997</v>
      </c>
      <c r="J11" s="62">
        <f>'CFI&amp;Designation'!H17</f>
        <v>22.855996799999996</v>
      </c>
      <c r="K11" s="62">
        <f>'CFI&amp;Designation'!I17</f>
        <v>18.284797439999998</v>
      </c>
      <c r="L11" s="62">
        <f>'CFI&amp;Designation'!J17</f>
        <v>14.366626559999998</v>
      </c>
      <c r="M11" s="244">
        <f>'CFI&amp;Designation'!K17</f>
        <v>16.074547199999998</v>
      </c>
      <c r="N11" s="81"/>
      <c r="O11" s="36"/>
    </row>
    <row r="12" spans="1:17" ht="15" customHeight="1" thickTop="1">
      <c r="A12" s="79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81"/>
      <c r="O12" s="36"/>
    </row>
    <row r="13" spans="1:17" ht="15" customHeight="1">
      <c r="A13" s="7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81"/>
      <c r="O13" s="36"/>
    </row>
    <row r="14" spans="1:17" ht="15" customHeight="1">
      <c r="A14" s="79"/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81"/>
      <c r="O14" s="36"/>
    </row>
    <row r="15" spans="1:17" ht="15" customHeight="1">
      <c r="A15" s="79"/>
      <c r="B15" s="36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81"/>
      <c r="O15" s="36"/>
    </row>
    <row r="16" spans="1:17" ht="15" customHeight="1">
      <c r="A16" s="79"/>
      <c r="B16" s="36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81"/>
      <c r="O16" s="36"/>
    </row>
    <row r="17" spans="1:15" ht="15" customHeight="1">
      <c r="A17" s="79"/>
      <c r="B17" s="36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81"/>
      <c r="O17" s="36"/>
    </row>
    <row r="18" spans="1:15" ht="15" customHeight="1">
      <c r="A18" s="79"/>
      <c r="B18" s="3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81"/>
      <c r="O18" s="36"/>
    </row>
    <row r="19" spans="1:15" ht="15" customHeight="1">
      <c r="A19" s="79"/>
      <c r="B19" s="36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81"/>
      <c r="O19" s="36"/>
    </row>
    <row r="20" spans="1:15" ht="15" customHeight="1">
      <c r="A20" s="79"/>
      <c r="B20" s="36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81"/>
      <c r="O20" s="36"/>
    </row>
    <row r="21" spans="1:15" ht="15" customHeight="1">
      <c r="A21" s="79"/>
      <c r="B21" s="36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81"/>
      <c r="O21" s="36"/>
    </row>
    <row r="22" spans="1:15" ht="15" customHeight="1">
      <c r="A22" s="79"/>
      <c r="B22" s="36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81"/>
      <c r="O22" s="36"/>
    </row>
    <row r="23" spans="1:15" ht="15" customHeight="1" thickBot="1">
      <c r="A23" s="7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81"/>
      <c r="O23" s="36"/>
    </row>
    <row r="24" spans="1:15" ht="15" customHeight="1" thickTop="1" thickBot="1">
      <c r="A24" s="79"/>
      <c r="B24" s="389" t="s">
        <v>159</v>
      </c>
      <c r="C24" s="390"/>
      <c r="D24" s="245">
        <f>Dimensions!D40</f>
        <v>70</v>
      </c>
      <c r="E24" s="369"/>
      <c r="F24" s="370" t="s">
        <v>160</v>
      </c>
      <c r="G24" s="371"/>
      <c r="H24" s="250" t="s">
        <v>25</v>
      </c>
      <c r="I24" s="251" t="s">
        <v>46</v>
      </c>
      <c r="J24" s="36"/>
      <c r="K24" s="398" t="str">
        <f>"Mast Arm Assembly Designation"</f>
        <v>Mast Arm Assembly Designation</v>
      </c>
      <c r="L24" s="399"/>
      <c r="M24" s="400"/>
      <c r="N24" s="81"/>
      <c r="O24" s="36"/>
    </row>
    <row r="25" spans="1:15" ht="15" customHeight="1" thickBot="1">
      <c r="A25" s="79"/>
      <c r="B25" s="391" t="s">
        <v>65</v>
      </c>
      <c r="C25" s="392"/>
      <c r="D25" s="88" t="s">
        <v>25</v>
      </c>
      <c r="E25" s="121" t="s">
        <v>46</v>
      </c>
      <c r="F25" s="372" t="s">
        <v>67</v>
      </c>
      <c r="G25" s="373"/>
      <c r="H25" s="63">
        <f>'CFI&amp;Designation'!L20</f>
        <v>93.500000000000014</v>
      </c>
      <c r="I25" s="246">
        <f>'CFI&amp;Designation'!M20</f>
        <v>110.00000000000001</v>
      </c>
      <c r="J25" s="36"/>
      <c r="K25" s="374" t="str">
        <f>IF(Dimensions!C41&gt;1,"Two Arm Assembly"&amp;CHAR(10)&amp;'CFI&amp;Designation'!C43,"One Arm Assembly"&amp;CHAR(10)&amp;'CFI&amp;Designation'!C43)</f>
        <v>Two Arm Assembly
A70/D-A40/D-P5/D/L-DS/14/5</v>
      </c>
      <c r="L25" s="375"/>
      <c r="M25" s="376"/>
      <c r="N25" s="81"/>
      <c r="O25" s="36"/>
    </row>
    <row r="26" spans="1:15" ht="15" customHeight="1" thickBot="1">
      <c r="A26" s="79"/>
      <c r="B26" s="393" t="s">
        <v>58</v>
      </c>
      <c r="C26" s="394"/>
      <c r="D26" s="63">
        <f>VLOOKUP(Dimensions!$D$40,'CFI&amp;Designation'!$A$4:$O$11,3)</f>
        <v>17</v>
      </c>
      <c r="E26" s="122">
        <f>VLOOKUP(Dimensions!$D$40,'CFI&amp;Designation'!$A$4:$O$11,10)</f>
        <v>18</v>
      </c>
      <c r="F26" s="387" t="s">
        <v>53</v>
      </c>
      <c r="G26" s="388"/>
      <c r="H26" s="237">
        <f>'CFI&amp;Designation'!L19</f>
        <v>94.526627218934891</v>
      </c>
      <c r="I26" s="252">
        <f>'CFI&amp;Designation'!M19</f>
        <v>102.51479289940826</v>
      </c>
      <c r="J26" s="36"/>
      <c r="K26" s="377"/>
      <c r="L26" s="378"/>
      <c r="M26" s="379"/>
      <c r="N26" s="81"/>
      <c r="O26" s="36"/>
    </row>
    <row r="27" spans="1:15" ht="15" customHeight="1" thickTop="1">
      <c r="A27" s="79"/>
      <c r="B27" s="411" t="s">
        <v>47</v>
      </c>
      <c r="C27" s="412"/>
      <c r="D27" s="64">
        <f>VLOOKUP(Dimensions!$D$40,'CFI&amp;Designation'!$A$4:$O$11,2)</f>
        <v>0.375</v>
      </c>
      <c r="E27" s="123">
        <f>VLOOKUP(Dimensions!$D$40,'CFI&amp;Designation'!$A$4:$O$11,9)</f>
        <v>0.375</v>
      </c>
      <c r="F27" s="409" t="s">
        <v>68</v>
      </c>
      <c r="G27" s="410"/>
      <c r="H27" s="407">
        <f>'CFI&amp;Designation'!L18</f>
        <v>11.231000000000002</v>
      </c>
      <c r="I27" s="408"/>
      <c r="J27" s="36"/>
      <c r="K27" s="36"/>
      <c r="L27" s="36"/>
      <c r="M27" s="36"/>
      <c r="N27" s="83"/>
      <c r="O27" s="36"/>
    </row>
    <row r="28" spans="1:15" ht="15" customHeight="1" thickBot="1">
      <c r="A28" s="79"/>
      <c r="B28" s="403" t="s">
        <v>66</v>
      </c>
      <c r="C28" s="404"/>
      <c r="D28" s="247">
        <f>VLOOKUP(Dimensions!$D$40,'CFI&amp;Designation'!$A$4:$O$11,8)</f>
        <v>380</v>
      </c>
      <c r="E28" s="249">
        <f>VLOOKUP(Dimensions!D40,'CFI&amp;Designation'!A4:$O$11,15)</f>
        <v>422</v>
      </c>
      <c r="F28" s="387" t="s">
        <v>52</v>
      </c>
      <c r="G28" s="388"/>
      <c r="H28" s="407">
        <f>'CFI&amp;Designation'!L17</f>
        <v>136.88481599999997</v>
      </c>
      <c r="I28" s="408"/>
      <c r="J28" s="36"/>
      <c r="K28" s="36"/>
      <c r="L28" s="36"/>
      <c r="M28" s="36"/>
      <c r="N28" s="83"/>
      <c r="O28" s="36"/>
    </row>
    <row r="29" spans="1:15" ht="15" customHeight="1" thickTop="1" thickBot="1">
      <c r="A29" s="82"/>
      <c r="B29" s="401"/>
      <c r="C29" s="401"/>
      <c r="D29" s="401"/>
      <c r="E29" s="401"/>
      <c r="F29" s="405" t="s">
        <v>59</v>
      </c>
      <c r="G29" s="406"/>
      <c r="H29" s="247">
        <f>'CFI&amp;Designation'!L21</f>
        <v>254.00755582003919</v>
      </c>
      <c r="I29" s="248">
        <f>'CFI&amp;Designation'!M21</f>
        <v>268.84516597507326</v>
      </c>
      <c r="J29" s="36"/>
      <c r="K29" s="36"/>
      <c r="L29" s="36"/>
      <c r="M29" s="36"/>
      <c r="N29" s="83"/>
      <c r="O29" s="36"/>
    </row>
    <row r="30" spans="1:15" ht="9.9499999999999993" customHeight="1" thickTop="1" thickBot="1">
      <c r="A30" s="84"/>
      <c r="B30" s="402"/>
      <c r="C30" s="402"/>
      <c r="D30" s="402"/>
      <c r="E30" s="402"/>
      <c r="F30" s="85"/>
      <c r="G30" s="85"/>
      <c r="H30" s="85"/>
      <c r="I30" s="85"/>
      <c r="J30" s="85"/>
      <c r="K30" s="85"/>
      <c r="L30" s="85"/>
      <c r="M30" s="179"/>
      <c r="N30" s="86"/>
      <c r="O30" s="36"/>
    </row>
    <row r="31" spans="1:15" ht="15" customHeight="1" thickBot="1">
      <c r="A31" s="36"/>
      <c r="C31" s="93"/>
      <c r="D31" s="93"/>
      <c r="E31" s="36"/>
      <c r="F31" s="36"/>
      <c r="G31" s="95"/>
      <c r="H31" s="36"/>
      <c r="I31" s="36"/>
      <c r="J31" s="36"/>
      <c r="N31" s="36"/>
      <c r="O31" s="36"/>
    </row>
    <row r="32" spans="1:15">
      <c r="A32" s="36"/>
      <c r="B32" s="75" t="s">
        <v>73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8"/>
      <c r="N32" s="36"/>
      <c r="O32" s="36"/>
    </row>
    <row r="33" spans="1:15">
      <c r="A33" s="36"/>
      <c r="B33" s="253" t="s">
        <v>218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81"/>
      <c r="N33" s="36"/>
      <c r="O33" s="36"/>
    </row>
    <row r="34" spans="1:15">
      <c r="A34" s="36"/>
      <c r="B34" s="253" t="s">
        <v>149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81"/>
      <c r="N34" s="36"/>
      <c r="O34" s="36"/>
    </row>
    <row r="35" spans="1:15">
      <c r="A35" s="36"/>
      <c r="B35" s="253" t="s">
        <v>156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81"/>
      <c r="N35" s="36"/>
      <c r="O35" s="36"/>
    </row>
    <row r="36" spans="1:15">
      <c r="A36" s="36"/>
      <c r="B36" s="253" t="s">
        <v>109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81"/>
      <c r="N36" s="36"/>
      <c r="O36" s="36"/>
    </row>
    <row r="37" spans="1:15">
      <c r="A37" s="82"/>
      <c r="B37" s="79" t="s">
        <v>113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81"/>
      <c r="N37" s="36"/>
      <c r="O37" s="36"/>
    </row>
    <row r="38" spans="1:15">
      <c r="A38" s="36"/>
      <c r="B38" s="253" t="s">
        <v>74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81"/>
      <c r="N38" s="36"/>
      <c r="O38" s="36"/>
    </row>
    <row r="39" spans="1:15">
      <c r="A39" s="36"/>
      <c r="B39" s="253" t="s">
        <v>133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81"/>
      <c r="N39" s="36"/>
      <c r="O39" s="36"/>
    </row>
    <row r="40" spans="1:15">
      <c r="A40" s="36"/>
      <c r="B40" s="253" t="s">
        <v>111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81"/>
      <c r="N40" s="36"/>
      <c r="O40" s="36"/>
    </row>
    <row r="41" spans="1:15">
      <c r="A41" s="36"/>
      <c r="B41" s="253" t="s">
        <v>219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81"/>
      <c r="N41" s="36"/>
      <c r="O41" s="36"/>
    </row>
    <row r="42" spans="1:15">
      <c r="A42" s="36"/>
      <c r="B42" s="253" t="s">
        <v>220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81"/>
      <c r="N42" s="36"/>
      <c r="O42" s="36"/>
    </row>
    <row r="43" spans="1:15">
      <c r="A43" s="36"/>
      <c r="B43" s="253" t="s">
        <v>112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81"/>
      <c r="N43" s="36"/>
      <c r="O43" s="36"/>
    </row>
    <row r="44" spans="1:15">
      <c r="A44" s="36"/>
      <c r="B44" s="253" t="s">
        <v>110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81"/>
      <c r="N44" s="36"/>
      <c r="O44" s="36"/>
    </row>
    <row r="45" spans="1:15">
      <c r="A45" s="36"/>
      <c r="B45" s="253" t="s">
        <v>136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81"/>
      <c r="N45" s="36"/>
      <c r="O45" s="36"/>
    </row>
    <row r="46" spans="1:15" ht="15.75" thickBot="1">
      <c r="B46" s="254" t="s">
        <v>137</v>
      </c>
      <c r="C46" s="179"/>
      <c r="D46" s="179"/>
      <c r="E46" s="179"/>
      <c r="F46" s="179"/>
      <c r="G46" s="179"/>
      <c r="H46" s="179"/>
      <c r="I46" s="179"/>
      <c r="J46" s="179"/>
      <c r="K46" s="85"/>
      <c r="L46" s="85"/>
      <c r="M46" s="182"/>
      <c r="N46" s="36"/>
      <c r="O46" s="36"/>
    </row>
    <row r="47" spans="1: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</sheetData>
  <sheetProtection sheet="1" objects="1" scenarios="1"/>
  <protectedRanges>
    <protectedRange sqref="D6:M6 B7:M7 C8:M9" name="Range1"/>
  </protectedRanges>
  <mergeCells count="20">
    <mergeCell ref="B29:E30"/>
    <mergeCell ref="B28:C28"/>
    <mergeCell ref="F29:G29"/>
    <mergeCell ref="H27:I27"/>
    <mergeCell ref="H28:I28"/>
    <mergeCell ref="F27:G27"/>
    <mergeCell ref="F28:G28"/>
    <mergeCell ref="B27:C27"/>
    <mergeCell ref="F24:G24"/>
    <mergeCell ref="F25:G25"/>
    <mergeCell ref="K25:M26"/>
    <mergeCell ref="B4:C4"/>
    <mergeCell ref="D2:J2"/>
    <mergeCell ref="B5:C5"/>
    <mergeCell ref="F26:G26"/>
    <mergeCell ref="B24:C24"/>
    <mergeCell ref="B25:C25"/>
    <mergeCell ref="B26:C26"/>
    <mergeCell ref="D4:M4"/>
    <mergeCell ref="K24:M24"/>
  </mergeCells>
  <conditionalFormatting sqref="M6">
    <cfRule type="cellIs" dxfId="25" priority="26" operator="lessThan">
      <formula>1</formula>
    </cfRule>
  </conditionalFormatting>
  <conditionalFormatting sqref="D6:M6">
    <cfRule type="cellIs" dxfId="24" priority="22" operator="lessThan">
      <formula>1</formula>
    </cfRule>
  </conditionalFormatting>
  <conditionalFormatting sqref="D8:D9">
    <cfRule type="expression" dxfId="23" priority="20">
      <formula>$D$7=5</formula>
    </cfRule>
  </conditionalFormatting>
  <conditionalFormatting sqref="E8:E9">
    <cfRule type="expression" dxfId="22" priority="19">
      <formula>$E$7=5</formula>
    </cfRule>
  </conditionalFormatting>
  <conditionalFormatting sqref="F8:F9">
    <cfRule type="expression" dxfId="21" priority="18">
      <formula>$F$7=5</formula>
    </cfRule>
  </conditionalFormatting>
  <conditionalFormatting sqref="G8:G9">
    <cfRule type="expression" dxfId="20" priority="17">
      <formula>$G$7=5</formula>
    </cfRule>
  </conditionalFormatting>
  <conditionalFormatting sqref="H8:H9">
    <cfRule type="expression" dxfId="19" priority="16">
      <formula>$H$7=5</formula>
    </cfRule>
  </conditionalFormatting>
  <conditionalFormatting sqref="I8:I9">
    <cfRule type="expression" dxfId="18" priority="15">
      <formula>$I$7=5</formula>
    </cfRule>
  </conditionalFormatting>
  <conditionalFormatting sqref="J8:J9">
    <cfRule type="expression" dxfId="17" priority="14">
      <formula>$J$7=5</formula>
    </cfRule>
  </conditionalFormatting>
  <conditionalFormatting sqref="K8:K9">
    <cfRule type="expression" dxfId="16" priority="13">
      <formula>$K$7=5</formula>
    </cfRule>
  </conditionalFormatting>
  <conditionalFormatting sqref="L8:L9">
    <cfRule type="expression" dxfId="15" priority="12">
      <formula>$L$7=5</formula>
    </cfRule>
  </conditionalFormatting>
  <conditionalFormatting sqref="M8:M9">
    <cfRule type="expression" dxfId="14" priority="11">
      <formula>$M$7=5</formula>
    </cfRule>
  </conditionalFormatting>
  <conditionalFormatting sqref="B8:B11">
    <cfRule type="expression" dxfId="13" priority="1">
      <formula>"""if('Sign &amp; Sig. Dim.'!$C$42=1)"""</formula>
    </cfRule>
  </conditionalFormatting>
  <pageMargins left="0.25" right="0.25" top="0.75" bottom="0.75" header="0.3" footer="0.3"/>
  <pageSetup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2" r:id="rId4" name="Group Box 198">
              <controlPr defaultSize="0" autoFill="0" autoPict="0">
                <anchor moveWithCells="1">
                  <from>
                    <xdr:col>2</xdr:col>
                    <xdr:colOff>1123950</xdr:colOff>
                    <xdr:row>5</xdr:row>
                    <xdr:rowOff>180975</xdr:rowOff>
                  </from>
                  <to>
                    <xdr:col>4</xdr:col>
                    <xdr:colOff>0</xdr:colOff>
                    <xdr:row>6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Option Button 21">
              <controlPr defaultSize="0" autoFill="0" autoLine="0" autoPict="0">
                <anchor moveWithCells="1">
                  <from>
                    <xdr:col>1</xdr:col>
                    <xdr:colOff>171450</xdr:colOff>
                    <xdr:row>6</xdr:row>
                    <xdr:rowOff>200025</xdr:rowOff>
                  </from>
                  <to>
                    <xdr:col>2</xdr:col>
                    <xdr:colOff>95250</xdr:colOff>
                    <xdr:row>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Option Button 22">
              <controlPr defaultSize="0" autoFill="0" autoLine="0" autoPict="0">
                <anchor moveWithCells="1">
                  <from>
                    <xdr:col>1</xdr:col>
                    <xdr:colOff>171450</xdr:colOff>
                    <xdr:row>6</xdr:row>
                    <xdr:rowOff>390525</xdr:rowOff>
                  </from>
                  <to>
                    <xdr:col>2</xdr:col>
                    <xdr:colOff>95250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Option Button 26">
              <controlPr defaultSize="0" autoFill="0" autoLine="0" autoPict="0">
                <anchor moveWithCells="1">
                  <from>
                    <xdr:col>1</xdr:col>
                    <xdr:colOff>228600</xdr:colOff>
                    <xdr:row>6</xdr:row>
                    <xdr:rowOff>876300</xdr:rowOff>
                  </from>
                  <to>
                    <xdr:col>2</xdr:col>
                    <xdr:colOff>114300</xdr:colOff>
                    <xdr:row>6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Option Button 27">
              <controlPr defaultSize="0" autoFill="0" autoLine="0" autoPict="0">
                <anchor moveWithCells="1">
                  <from>
                    <xdr:col>1</xdr:col>
                    <xdr:colOff>228600</xdr:colOff>
                    <xdr:row>6</xdr:row>
                    <xdr:rowOff>1028700</xdr:rowOff>
                  </from>
                  <to>
                    <xdr:col>2</xdr:col>
                    <xdr:colOff>114300</xdr:colOff>
                    <xdr:row>6</xdr:row>
                    <xdr:rowOff>1200150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Group Box 31">
              <controlPr defaultSize="0" autoFill="0" autoPict="0" altText="Signal Orientation">
                <anchor moveWithCells="1">
                  <from>
                    <xdr:col>1</xdr:col>
                    <xdr:colOff>57150</xdr:colOff>
                    <xdr:row>6</xdr:row>
                    <xdr:rowOff>47625</xdr:rowOff>
                  </from>
                  <to>
                    <xdr:col>2</xdr:col>
                    <xdr:colOff>133350</xdr:colOff>
                    <xdr:row>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Group Box 32">
              <controlPr defaultSize="0" autoFill="0" autoPict="0" altText="Back Plates">
                <anchor moveWithCells="1">
                  <from>
                    <xdr:col>1</xdr:col>
                    <xdr:colOff>57150</xdr:colOff>
                    <xdr:row>6</xdr:row>
                    <xdr:rowOff>742950</xdr:rowOff>
                  </from>
                  <to>
                    <xdr:col>2</xdr:col>
                    <xdr:colOff>133350</xdr:colOff>
                    <xdr:row>6</xdr:row>
                    <xdr:rowOff>1266825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Option Button 38">
              <controlPr defaultSize="0" autoFill="0" autoLine="0" autoPict="0" altText="None">
                <anchor moveWithCells="1">
                  <from>
                    <xdr:col>3</xdr:col>
                    <xdr:colOff>76200</xdr:colOff>
                    <xdr:row>6</xdr:row>
                    <xdr:rowOff>76200</xdr:rowOff>
                  </from>
                  <to>
                    <xdr:col>3</xdr:col>
                    <xdr:colOff>657225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Option Button 39">
              <controlPr defaultSize="0" autoFill="0" autoLine="0" autoPict="0" altText="3 Head">
                <anchor moveWithCells="1">
                  <from>
                    <xdr:col>3</xdr:col>
                    <xdr:colOff>76200</xdr:colOff>
                    <xdr:row>6</xdr:row>
                    <xdr:rowOff>266700</xdr:rowOff>
                  </from>
                  <to>
                    <xdr:col>3</xdr:col>
                    <xdr:colOff>657225</xdr:colOff>
                    <xdr:row>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Option Button 40">
              <controlPr defaultSize="0" autoFill="0" autoLine="0" autoPict="0" altText="4 Head">
                <anchor moveWithCells="1">
                  <from>
                    <xdr:col>3</xdr:col>
                    <xdr:colOff>76200</xdr:colOff>
                    <xdr:row>6</xdr:row>
                    <xdr:rowOff>466725</xdr:rowOff>
                  </from>
                  <to>
                    <xdr:col>3</xdr:col>
                    <xdr:colOff>657225</xdr:colOff>
                    <xdr:row>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Option Button 41">
              <controlPr defaultSize="0" autoFill="0" autoLine="0" autoPict="0" altText="5 Head">
                <anchor moveWithCells="1">
                  <from>
                    <xdr:col>3</xdr:col>
                    <xdr:colOff>76200</xdr:colOff>
                    <xdr:row>6</xdr:row>
                    <xdr:rowOff>666750</xdr:rowOff>
                  </from>
                  <to>
                    <xdr:col>3</xdr:col>
                    <xdr:colOff>657225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Option Button 45">
              <controlPr defaultSize="0" autoFill="0" autoLine="0" autoPict="0" altText="Dog House">
                <anchor moveWithCells="1">
                  <from>
                    <xdr:col>3</xdr:col>
                    <xdr:colOff>76200</xdr:colOff>
                    <xdr:row>6</xdr:row>
                    <xdr:rowOff>876300</xdr:rowOff>
                  </from>
                  <to>
                    <xdr:col>3</xdr:col>
                    <xdr:colOff>657225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6" name="Option Button 83">
              <controlPr defaultSize="0" autoFill="0" autoLine="0" autoPict="0" altText="None">
                <anchor moveWithCells="1">
                  <from>
                    <xdr:col>4</xdr:col>
                    <xdr:colOff>85725</xdr:colOff>
                    <xdr:row>6</xdr:row>
                    <xdr:rowOff>76200</xdr:rowOff>
                  </from>
                  <to>
                    <xdr:col>4</xdr:col>
                    <xdr:colOff>666750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7" name="Option Button 84">
              <controlPr defaultSize="0" autoFill="0" autoLine="0" autoPict="0" altText="3 Head">
                <anchor moveWithCells="1">
                  <from>
                    <xdr:col>4</xdr:col>
                    <xdr:colOff>85725</xdr:colOff>
                    <xdr:row>6</xdr:row>
                    <xdr:rowOff>266700</xdr:rowOff>
                  </from>
                  <to>
                    <xdr:col>4</xdr:col>
                    <xdr:colOff>666750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8" name="Option Button 85">
              <controlPr defaultSize="0" autoFill="0" autoLine="0" autoPict="0" altText="4 Head">
                <anchor moveWithCells="1">
                  <from>
                    <xdr:col>4</xdr:col>
                    <xdr:colOff>85725</xdr:colOff>
                    <xdr:row>6</xdr:row>
                    <xdr:rowOff>466725</xdr:rowOff>
                  </from>
                  <to>
                    <xdr:col>4</xdr:col>
                    <xdr:colOff>666750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9" name="Option Button 86">
              <controlPr defaultSize="0" autoFill="0" autoLine="0" autoPict="0" altText="5 Head">
                <anchor moveWithCells="1">
                  <from>
                    <xdr:col>4</xdr:col>
                    <xdr:colOff>85725</xdr:colOff>
                    <xdr:row>6</xdr:row>
                    <xdr:rowOff>676275</xdr:rowOff>
                  </from>
                  <to>
                    <xdr:col>4</xdr:col>
                    <xdr:colOff>666750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" name="Option Button 87">
              <controlPr defaultSize="0" autoFill="0" autoLine="0" autoPict="0" altText="Dog House">
                <anchor moveWithCells="1">
                  <from>
                    <xdr:col>4</xdr:col>
                    <xdr:colOff>85725</xdr:colOff>
                    <xdr:row>6</xdr:row>
                    <xdr:rowOff>885825</xdr:rowOff>
                  </from>
                  <to>
                    <xdr:col>4</xdr:col>
                    <xdr:colOff>666750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" name="Option Button 90">
              <controlPr defaultSize="0" autoFill="0" autoLine="0" autoPict="0" altText="None">
                <anchor moveWithCells="1">
                  <from>
                    <xdr:col>5</xdr:col>
                    <xdr:colOff>85725</xdr:colOff>
                    <xdr:row>6</xdr:row>
                    <xdr:rowOff>76200</xdr:rowOff>
                  </from>
                  <to>
                    <xdr:col>5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Option Button 91">
              <controlPr defaultSize="0" autoFill="0" autoLine="0" autoPict="0" altText="3 Head">
                <anchor moveWithCells="1">
                  <from>
                    <xdr:col>5</xdr:col>
                    <xdr:colOff>85725</xdr:colOff>
                    <xdr:row>6</xdr:row>
                    <xdr:rowOff>266700</xdr:rowOff>
                  </from>
                  <to>
                    <xdr:col>5</xdr:col>
                    <xdr:colOff>676275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3" name="Option Button 92">
              <controlPr defaultSize="0" autoFill="0" autoLine="0" autoPict="0" altText="4 Head">
                <anchor moveWithCells="1">
                  <from>
                    <xdr:col>5</xdr:col>
                    <xdr:colOff>85725</xdr:colOff>
                    <xdr:row>6</xdr:row>
                    <xdr:rowOff>466725</xdr:rowOff>
                  </from>
                  <to>
                    <xdr:col>5</xdr:col>
                    <xdr:colOff>676275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4" name="Option Button 93">
              <controlPr defaultSize="0" autoFill="0" autoLine="0" autoPict="0" altText="5 Head">
                <anchor moveWithCells="1">
                  <from>
                    <xdr:col>5</xdr:col>
                    <xdr:colOff>85725</xdr:colOff>
                    <xdr:row>6</xdr:row>
                    <xdr:rowOff>676275</xdr:rowOff>
                  </from>
                  <to>
                    <xdr:col>5</xdr:col>
                    <xdr:colOff>676275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5" name="Option Button 94">
              <controlPr defaultSize="0" autoFill="0" autoLine="0" autoPict="0" altText="Dog House">
                <anchor moveWithCells="1">
                  <from>
                    <xdr:col>5</xdr:col>
                    <xdr:colOff>85725</xdr:colOff>
                    <xdr:row>6</xdr:row>
                    <xdr:rowOff>885825</xdr:rowOff>
                  </from>
                  <to>
                    <xdr:col>5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6" name="Option Button 109">
              <controlPr defaultSize="0" autoFill="0" autoLine="0" autoPict="0" altText="None">
                <anchor moveWithCells="1">
                  <from>
                    <xdr:col>6</xdr:col>
                    <xdr:colOff>95250</xdr:colOff>
                    <xdr:row>6</xdr:row>
                    <xdr:rowOff>76200</xdr:rowOff>
                  </from>
                  <to>
                    <xdr:col>6</xdr:col>
                    <xdr:colOff>676275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7" name="Option Button 110">
              <controlPr defaultSize="0" autoFill="0" autoLine="0" autoPict="0" altText="3 Head">
                <anchor moveWithCells="1">
                  <from>
                    <xdr:col>6</xdr:col>
                    <xdr:colOff>95250</xdr:colOff>
                    <xdr:row>6</xdr:row>
                    <xdr:rowOff>266700</xdr:rowOff>
                  </from>
                  <to>
                    <xdr:col>6</xdr:col>
                    <xdr:colOff>676275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8" name="Option Button 111">
              <controlPr defaultSize="0" autoFill="0" autoLine="0" autoPict="0" altText="4 Head">
                <anchor moveWithCells="1">
                  <from>
                    <xdr:col>6</xdr:col>
                    <xdr:colOff>95250</xdr:colOff>
                    <xdr:row>6</xdr:row>
                    <xdr:rowOff>466725</xdr:rowOff>
                  </from>
                  <to>
                    <xdr:col>6</xdr:col>
                    <xdr:colOff>676275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9" name="Option Button 112">
              <controlPr defaultSize="0" autoFill="0" autoLine="0" autoPict="0" altText="5 Head">
                <anchor moveWithCells="1">
                  <from>
                    <xdr:col>6</xdr:col>
                    <xdr:colOff>95250</xdr:colOff>
                    <xdr:row>6</xdr:row>
                    <xdr:rowOff>666750</xdr:rowOff>
                  </from>
                  <to>
                    <xdr:col>6</xdr:col>
                    <xdr:colOff>676275</xdr:colOff>
                    <xdr:row>6</xdr:row>
                    <xdr:rowOff>923925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0" name="Option Button 113">
              <controlPr defaultSize="0" autoFill="0" autoLine="0" autoPict="0" altText="Dog House">
                <anchor moveWithCells="1">
                  <from>
                    <xdr:col>6</xdr:col>
                    <xdr:colOff>95250</xdr:colOff>
                    <xdr:row>6</xdr:row>
                    <xdr:rowOff>857250</xdr:rowOff>
                  </from>
                  <to>
                    <xdr:col>6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1" name="Group Box 197">
              <controlPr defaultSize="0" autoFill="0" autoPict="0">
                <anchor moveWithCells="1">
                  <from>
                    <xdr:col>4</xdr:col>
                    <xdr:colOff>9525</xdr:colOff>
                    <xdr:row>6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2" name="Group Box 199">
              <controlPr defaultSize="0" autoFill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3" name="Group Box 238">
              <controlPr defaultSize="0" autoFill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7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4" name="Group Box 253">
              <controlPr defaultSize="0" autoFill="0" autoPict="0">
                <anchor moveWithCells="1">
                  <from>
                    <xdr:col>6</xdr:col>
                    <xdr:colOff>19050</xdr:colOff>
                    <xdr:row>6</xdr:row>
                    <xdr:rowOff>9525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35" name="Option Button 258">
              <controlPr defaultSize="0" autoFill="0" autoLine="0" autoPict="0" altText="None">
                <anchor moveWithCells="1">
                  <from>
                    <xdr:col>7</xdr:col>
                    <xdr:colOff>85725</xdr:colOff>
                    <xdr:row>6</xdr:row>
                    <xdr:rowOff>76200</xdr:rowOff>
                  </from>
                  <to>
                    <xdr:col>7</xdr:col>
                    <xdr:colOff>676275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36" name="Option Button 259">
              <controlPr defaultSize="0" autoFill="0" autoLine="0" autoPict="0" altText="3 Head">
                <anchor moveWithCells="1">
                  <from>
                    <xdr:col>7</xdr:col>
                    <xdr:colOff>85725</xdr:colOff>
                    <xdr:row>6</xdr:row>
                    <xdr:rowOff>266700</xdr:rowOff>
                  </from>
                  <to>
                    <xdr:col>7</xdr:col>
                    <xdr:colOff>676275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37" name="Option Button 260">
              <controlPr defaultSize="0" autoFill="0" autoLine="0" autoPict="0" altText="4 Head">
                <anchor moveWithCells="1">
                  <from>
                    <xdr:col>7</xdr:col>
                    <xdr:colOff>85725</xdr:colOff>
                    <xdr:row>6</xdr:row>
                    <xdr:rowOff>466725</xdr:rowOff>
                  </from>
                  <to>
                    <xdr:col>7</xdr:col>
                    <xdr:colOff>676275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8" name="Option Button 261">
              <controlPr defaultSize="0" autoFill="0" autoLine="0" autoPict="0" altText="5 Head">
                <anchor moveWithCells="1">
                  <from>
                    <xdr:col>7</xdr:col>
                    <xdr:colOff>85725</xdr:colOff>
                    <xdr:row>6</xdr:row>
                    <xdr:rowOff>657225</xdr:rowOff>
                  </from>
                  <to>
                    <xdr:col>7</xdr:col>
                    <xdr:colOff>676275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9" name="Option Button 262">
              <controlPr defaultSize="0" autoFill="0" autoLine="0" autoPict="0" altText="Dog House">
                <anchor moveWithCells="1">
                  <from>
                    <xdr:col>7</xdr:col>
                    <xdr:colOff>85725</xdr:colOff>
                    <xdr:row>6</xdr:row>
                    <xdr:rowOff>857250</xdr:rowOff>
                  </from>
                  <to>
                    <xdr:col>7</xdr:col>
                    <xdr:colOff>676275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0" name="Group Box 265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8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1" name="Option Button 266">
              <controlPr defaultSize="0" autoFill="0" autoLine="0" autoPict="0" altText="None">
                <anchor moveWithCells="1">
                  <from>
                    <xdr:col>8</xdr:col>
                    <xdr:colOff>85725</xdr:colOff>
                    <xdr:row>6</xdr:row>
                    <xdr:rowOff>66675</xdr:rowOff>
                  </from>
                  <to>
                    <xdr:col>8</xdr:col>
                    <xdr:colOff>666750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42" name="Option Button 267">
              <controlPr defaultSize="0" autoFill="0" autoLine="0" autoPict="0" altText="3 Head">
                <anchor moveWithCells="1">
                  <from>
                    <xdr:col>8</xdr:col>
                    <xdr:colOff>85725</xdr:colOff>
                    <xdr:row>6</xdr:row>
                    <xdr:rowOff>266700</xdr:rowOff>
                  </from>
                  <to>
                    <xdr:col>8</xdr:col>
                    <xdr:colOff>666750</xdr:colOff>
                    <xdr:row>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3" name="Option Button 268">
              <controlPr defaultSize="0" autoFill="0" autoLine="0" autoPict="0" altText="4 Head">
                <anchor moveWithCells="1">
                  <from>
                    <xdr:col>8</xdr:col>
                    <xdr:colOff>85725</xdr:colOff>
                    <xdr:row>6</xdr:row>
                    <xdr:rowOff>466725</xdr:rowOff>
                  </from>
                  <to>
                    <xdr:col>8</xdr:col>
                    <xdr:colOff>666750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4" name="Option Button 269">
              <controlPr defaultSize="0" autoFill="0" autoLine="0" autoPict="0" altText="5 Head">
                <anchor moveWithCells="1">
                  <from>
                    <xdr:col>8</xdr:col>
                    <xdr:colOff>85725</xdr:colOff>
                    <xdr:row>6</xdr:row>
                    <xdr:rowOff>666750</xdr:rowOff>
                  </from>
                  <to>
                    <xdr:col>8</xdr:col>
                    <xdr:colOff>666750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5" name="Option Button 270">
              <controlPr defaultSize="0" autoFill="0" autoLine="0" autoPict="0" altText="Dog House">
                <anchor moveWithCells="1">
                  <from>
                    <xdr:col>8</xdr:col>
                    <xdr:colOff>85725</xdr:colOff>
                    <xdr:row>6</xdr:row>
                    <xdr:rowOff>876300</xdr:rowOff>
                  </from>
                  <to>
                    <xdr:col>8</xdr:col>
                    <xdr:colOff>666750</xdr:colOff>
                    <xdr:row>6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46" name="Group Box 272">
              <controlPr defaultSize="0" autoFill="0" autoPict="0">
                <anchor moveWithCells="1">
                  <from>
                    <xdr:col>9</xdr:col>
                    <xdr:colOff>0</xdr:colOff>
                    <xdr:row>5</xdr:row>
                    <xdr:rowOff>180975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47" name="Option Button 273">
              <controlPr defaultSize="0" autoFill="0" autoLine="0" autoPict="0" altText="None">
                <anchor moveWithCells="1">
                  <from>
                    <xdr:col>9</xdr:col>
                    <xdr:colOff>85725</xdr:colOff>
                    <xdr:row>6</xdr:row>
                    <xdr:rowOff>76200</xdr:rowOff>
                  </from>
                  <to>
                    <xdr:col>9</xdr:col>
                    <xdr:colOff>647700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48" name="Option Button 274">
              <controlPr defaultSize="0" autoFill="0" autoLine="0" autoPict="0" altText="3 Head">
                <anchor moveWithCells="1">
                  <from>
                    <xdr:col>9</xdr:col>
                    <xdr:colOff>85725</xdr:colOff>
                    <xdr:row>6</xdr:row>
                    <xdr:rowOff>266700</xdr:rowOff>
                  </from>
                  <to>
                    <xdr:col>9</xdr:col>
                    <xdr:colOff>647700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49" name="Option Button 275">
              <controlPr defaultSize="0" autoFill="0" autoLine="0" autoPict="0" altText="4 Head">
                <anchor moveWithCells="1">
                  <from>
                    <xdr:col>9</xdr:col>
                    <xdr:colOff>85725</xdr:colOff>
                    <xdr:row>6</xdr:row>
                    <xdr:rowOff>466725</xdr:rowOff>
                  </from>
                  <to>
                    <xdr:col>9</xdr:col>
                    <xdr:colOff>647700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50" name="Option Button 276">
              <controlPr defaultSize="0" autoFill="0" autoLine="0" autoPict="0" altText="5 Head">
                <anchor moveWithCells="1">
                  <from>
                    <xdr:col>9</xdr:col>
                    <xdr:colOff>85725</xdr:colOff>
                    <xdr:row>6</xdr:row>
                    <xdr:rowOff>666750</xdr:rowOff>
                  </from>
                  <to>
                    <xdr:col>9</xdr:col>
                    <xdr:colOff>647700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51" name="Option Button 277">
              <controlPr defaultSize="0" autoFill="0" autoLine="0" autoPict="0" altText="Dog House">
                <anchor moveWithCells="1">
                  <from>
                    <xdr:col>9</xdr:col>
                    <xdr:colOff>85725</xdr:colOff>
                    <xdr:row>6</xdr:row>
                    <xdr:rowOff>857250</xdr:rowOff>
                  </from>
                  <to>
                    <xdr:col>9</xdr:col>
                    <xdr:colOff>647700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52" name="Group Box 279">
              <controlPr defaultSize="0" autoFill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53" name="Option Button 280">
              <controlPr defaultSize="0" autoFill="0" autoLine="0" autoPict="0" altText="None">
                <anchor moveWithCells="1">
                  <from>
                    <xdr:col>10</xdr:col>
                    <xdr:colOff>95250</xdr:colOff>
                    <xdr:row>6</xdr:row>
                    <xdr:rowOff>85725</xdr:rowOff>
                  </from>
                  <to>
                    <xdr:col>10</xdr:col>
                    <xdr:colOff>647700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54" name="Option Button 281">
              <controlPr defaultSize="0" autoFill="0" autoLine="0" autoPict="0" altText="3 Head">
                <anchor moveWithCells="1">
                  <from>
                    <xdr:col>10</xdr:col>
                    <xdr:colOff>95250</xdr:colOff>
                    <xdr:row>6</xdr:row>
                    <xdr:rowOff>266700</xdr:rowOff>
                  </from>
                  <to>
                    <xdr:col>10</xdr:col>
                    <xdr:colOff>647700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55" name="Option Button 282">
              <controlPr defaultSize="0" autoFill="0" autoLine="0" autoPict="0" altText="4 Head">
                <anchor moveWithCells="1">
                  <from>
                    <xdr:col>10</xdr:col>
                    <xdr:colOff>95250</xdr:colOff>
                    <xdr:row>6</xdr:row>
                    <xdr:rowOff>447675</xdr:rowOff>
                  </from>
                  <to>
                    <xdr:col>10</xdr:col>
                    <xdr:colOff>647700</xdr:colOff>
                    <xdr:row>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56" name="Option Button 283">
              <controlPr defaultSize="0" autoFill="0" autoLine="0" autoPict="0" altText="5 Head">
                <anchor moveWithCells="1">
                  <from>
                    <xdr:col>10</xdr:col>
                    <xdr:colOff>95250</xdr:colOff>
                    <xdr:row>6</xdr:row>
                    <xdr:rowOff>638175</xdr:rowOff>
                  </from>
                  <to>
                    <xdr:col>10</xdr:col>
                    <xdr:colOff>647700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57" name="Option Button 284">
              <controlPr defaultSize="0" autoFill="0" autoLine="0" autoPict="0" altText="Dog House">
                <anchor moveWithCells="1">
                  <from>
                    <xdr:col>10</xdr:col>
                    <xdr:colOff>95250</xdr:colOff>
                    <xdr:row>6</xdr:row>
                    <xdr:rowOff>828675</xdr:rowOff>
                  </from>
                  <to>
                    <xdr:col>10</xdr:col>
                    <xdr:colOff>647700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58" name="Option Button 287">
              <controlPr defaultSize="0" autoFill="0" autoLine="0" autoPict="0" altText="3 Head">
                <anchor moveWithCells="1">
                  <from>
                    <xdr:col>11</xdr:col>
                    <xdr:colOff>66675</xdr:colOff>
                    <xdr:row>6</xdr:row>
                    <xdr:rowOff>95250</xdr:rowOff>
                  </from>
                  <to>
                    <xdr:col>11</xdr:col>
                    <xdr:colOff>657225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59" name="Option Button 288">
              <controlPr defaultSize="0" autoFill="0" autoLine="0" autoPict="0" altText="4 Head">
                <anchor moveWithCells="1">
                  <from>
                    <xdr:col>11</xdr:col>
                    <xdr:colOff>66675</xdr:colOff>
                    <xdr:row>6</xdr:row>
                    <xdr:rowOff>276225</xdr:rowOff>
                  </from>
                  <to>
                    <xdr:col>11</xdr:col>
                    <xdr:colOff>657225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60" name="Option Button 289">
              <controlPr defaultSize="0" autoFill="0" autoLine="0" autoPict="0" altText="5 Head">
                <anchor moveWithCells="1">
                  <from>
                    <xdr:col>11</xdr:col>
                    <xdr:colOff>66675</xdr:colOff>
                    <xdr:row>6</xdr:row>
                    <xdr:rowOff>466725</xdr:rowOff>
                  </from>
                  <to>
                    <xdr:col>11</xdr:col>
                    <xdr:colOff>657225</xdr:colOff>
                    <xdr:row>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61" name="Option Button 290">
              <controlPr defaultSize="0" autoFill="0" autoLine="0" autoPict="0" altText="Dog House">
                <anchor moveWithCells="1">
                  <from>
                    <xdr:col>11</xdr:col>
                    <xdr:colOff>66675</xdr:colOff>
                    <xdr:row>6</xdr:row>
                    <xdr:rowOff>647700</xdr:rowOff>
                  </from>
                  <to>
                    <xdr:col>11</xdr:col>
                    <xdr:colOff>657225</xdr:colOff>
                    <xdr:row>6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62" name="Group Box 292">
              <controlPr defaultSize="0" autoFill="0" autoPict="0">
                <anchor moveWithCells="1">
                  <from>
                    <xdr:col>12</xdr:col>
                    <xdr:colOff>0</xdr:colOff>
                    <xdr:row>5</xdr:row>
                    <xdr:rowOff>180975</xdr:rowOff>
                  </from>
                  <to>
                    <xdr:col>13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63" name="Option Button 293">
              <controlPr defaultSize="0" autoFill="0" autoLine="0" autoPict="0" altText="None">
                <anchor moveWithCells="1">
                  <from>
                    <xdr:col>12</xdr:col>
                    <xdr:colOff>95250</xdr:colOff>
                    <xdr:row>6</xdr:row>
                    <xdr:rowOff>76200</xdr:rowOff>
                  </from>
                  <to>
                    <xdr:col>12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64" name="Option Button 294">
              <controlPr defaultSize="0" autoFill="0" autoLine="0" autoPict="0" altText="3 Head">
                <anchor moveWithCells="1">
                  <from>
                    <xdr:col>12</xdr:col>
                    <xdr:colOff>95250</xdr:colOff>
                    <xdr:row>6</xdr:row>
                    <xdr:rowOff>266700</xdr:rowOff>
                  </from>
                  <to>
                    <xdr:col>12</xdr:col>
                    <xdr:colOff>657225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65" name="Option Button 295">
              <controlPr defaultSize="0" autoFill="0" autoLine="0" autoPict="0" altText="4 Head">
                <anchor moveWithCells="1">
                  <from>
                    <xdr:col>12</xdr:col>
                    <xdr:colOff>95250</xdr:colOff>
                    <xdr:row>6</xdr:row>
                    <xdr:rowOff>466725</xdr:rowOff>
                  </from>
                  <to>
                    <xdr:col>12</xdr:col>
                    <xdr:colOff>657225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66" name="Option Button 296">
              <controlPr defaultSize="0" autoFill="0" autoLine="0" autoPict="0" altText="5 Head">
                <anchor moveWithCells="1">
                  <from>
                    <xdr:col>12</xdr:col>
                    <xdr:colOff>95250</xdr:colOff>
                    <xdr:row>6</xdr:row>
                    <xdr:rowOff>666750</xdr:rowOff>
                  </from>
                  <to>
                    <xdr:col>12</xdr:col>
                    <xdr:colOff>657225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67" name="Option Button 297">
              <controlPr defaultSize="0" autoFill="0" autoLine="0" autoPict="0" altText="Dog House">
                <anchor moveWithCells="1">
                  <from>
                    <xdr:col>12</xdr:col>
                    <xdr:colOff>95250</xdr:colOff>
                    <xdr:row>6</xdr:row>
                    <xdr:rowOff>857250</xdr:rowOff>
                  </from>
                  <to>
                    <xdr:col>12</xdr:col>
                    <xdr:colOff>657225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68" name="Option Button 286">
              <controlPr defaultSize="0" autoFill="0" autoLine="0" autoPict="0" altText="None">
                <anchor moveWithCells="1">
                  <from>
                    <xdr:col>11</xdr:col>
                    <xdr:colOff>66675</xdr:colOff>
                    <xdr:row>6</xdr:row>
                    <xdr:rowOff>847725</xdr:rowOff>
                  </from>
                  <to>
                    <xdr:col>11</xdr:col>
                    <xdr:colOff>657225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69" name="Group Box 299">
              <controlPr defaultSize="0" autoFill="0" autoPict="0">
                <anchor moveWithCells="1">
                  <from>
                    <xdr:col>2</xdr:col>
                    <xdr:colOff>257175</xdr:colOff>
                    <xdr:row>6</xdr:row>
                    <xdr:rowOff>171450</xdr:rowOff>
                  </from>
                  <to>
                    <xdr:col>2</xdr:col>
                    <xdr:colOff>1038225</xdr:colOff>
                    <xdr:row>6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70" name="List Box 301">
              <controlPr locked="0" defaultSize="0" autoLine="0" autoPict="0">
                <anchor moveWithCells="1">
                  <from>
                    <xdr:col>2</xdr:col>
                    <xdr:colOff>371475</xdr:colOff>
                    <xdr:row>6</xdr:row>
                    <xdr:rowOff>323850</xdr:rowOff>
                  </from>
                  <to>
                    <xdr:col>2</xdr:col>
                    <xdr:colOff>904875</xdr:colOff>
                    <xdr:row>6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1" name="Group Box 302">
              <controlPr locked="0" defaultSize="0" autoFill="0" autoPict="0">
                <anchor moveWithCells="1">
                  <from>
                    <xdr:col>1</xdr:col>
                    <xdr:colOff>57150</xdr:colOff>
                    <xdr:row>4</xdr:row>
                    <xdr:rowOff>57150</xdr:rowOff>
                  </from>
                  <to>
                    <xdr:col>2</xdr:col>
                    <xdr:colOff>1095375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72" name="Option Button 303">
              <controlPr defaultSize="0" autoFill="0" autoLine="0" autoPict="0">
                <anchor moveWithCells="1">
                  <from>
                    <xdr:col>1</xdr:col>
                    <xdr:colOff>66675</xdr:colOff>
                    <xdr:row>4</xdr:row>
                    <xdr:rowOff>161925</xdr:rowOff>
                  </from>
                  <to>
                    <xdr:col>1</xdr:col>
                    <xdr:colOff>742950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73" name="Option Button 305">
              <controlPr defaultSize="0" autoFill="0" autoLine="0" autoPict="0">
                <anchor moveWithCells="1">
                  <from>
                    <xdr:col>1</xdr:col>
                    <xdr:colOff>685800</xdr:colOff>
                    <xdr:row>4</xdr:row>
                    <xdr:rowOff>152400</xdr:rowOff>
                  </from>
                  <to>
                    <xdr:col>2</xdr:col>
                    <xdr:colOff>428625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74" name="Group Box 307">
              <controlPr defaultSize="0" autoFill="0" autoPict="0">
                <anchor moveWithCells="1">
                  <from>
                    <xdr:col>10</xdr:col>
                    <xdr:colOff>723900</xdr:colOff>
                    <xdr:row>5</xdr:row>
                    <xdr:rowOff>180975</xdr:rowOff>
                  </from>
                  <to>
                    <xdr:col>12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75" name="Group Box 320">
              <controlPr defaultSize="0" autoFill="0" autoPict="0">
                <anchor moveWithCells="1">
                  <from>
                    <xdr:col>1</xdr:col>
                    <xdr:colOff>76200</xdr:colOff>
                    <xdr:row>7</xdr:row>
                    <xdr:rowOff>28575</xdr:rowOff>
                  </from>
                  <to>
                    <xdr:col>1</xdr:col>
                    <xdr:colOff>838200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76" name="Option Button 324">
              <controlPr defaultSize="0" autoFill="0" autoLine="0" autoPict="0" altText="No">
                <anchor moveWithCells="1">
                  <from>
                    <xdr:col>1</xdr:col>
                    <xdr:colOff>219075</xdr:colOff>
                    <xdr:row>8</xdr:row>
                    <xdr:rowOff>142875</xdr:rowOff>
                  </from>
                  <to>
                    <xdr:col>1</xdr:col>
                    <xdr:colOff>552450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77" name="Option Button 325">
              <controlPr defaultSize="0" autoFill="0" autoLine="0" autoPict="0">
                <anchor moveWithCells="1">
                  <from>
                    <xdr:col>1</xdr:col>
                    <xdr:colOff>228600</xdr:colOff>
                    <xdr:row>7</xdr:row>
                    <xdr:rowOff>142875</xdr:rowOff>
                  </from>
                  <to>
                    <xdr:col>1</xdr:col>
                    <xdr:colOff>571500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78" name="Option Button 337">
              <controlPr defaultSize="0" autoFill="0" autoLine="0" autoPict="0">
                <anchor moveWithCells="1">
                  <from>
                    <xdr:col>2</xdr:col>
                    <xdr:colOff>381000</xdr:colOff>
                    <xdr:row>4</xdr:row>
                    <xdr:rowOff>142875</xdr:rowOff>
                  </from>
                  <to>
                    <xdr:col>2</xdr:col>
                    <xdr:colOff>990600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9" tint="0.59999389629810485"/>
    <pageSetUpPr fitToPage="1"/>
  </sheetPr>
  <dimension ref="A1:Q46"/>
  <sheetViews>
    <sheetView zoomScaleNormal="100" workbookViewId="0"/>
  </sheetViews>
  <sheetFormatPr defaultRowHeight="15"/>
  <cols>
    <col min="1" max="1" width="2.85546875" style="37" customWidth="1"/>
    <col min="2" max="2" width="14" style="37" customWidth="1"/>
    <col min="3" max="3" width="17" style="37" customWidth="1"/>
    <col min="4" max="12" width="11" style="37" customWidth="1"/>
    <col min="13" max="13" width="11.28515625" style="37" customWidth="1"/>
    <col min="14" max="14" width="3.7109375" style="37" customWidth="1"/>
    <col min="15" max="15" width="14.7109375" style="37" customWidth="1"/>
    <col min="16" max="18" width="9.140625" style="37"/>
    <col min="19" max="19" width="12.140625" style="37" customWidth="1"/>
    <col min="20" max="21" width="12.28515625" style="37" customWidth="1"/>
    <col min="22" max="25" width="12.140625" style="37" bestFit="1" customWidth="1"/>
    <col min="26" max="26" width="12.140625" style="37" customWidth="1"/>
    <col min="27" max="27" width="12.140625" style="37" bestFit="1" customWidth="1"/>
    <col min="28" max="28" width="13.140625" style="37" customWidth="1"/>
    <col min="29" max="16384" width="9.140625" style="37"/>
  </cols>
  <sheetData>
    <row r="1" spans="1:17" ht="9.9499999999999993" customHeight="1" thickBot="1">
      <c r="A1" s="75"/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6"/>
      <c r="N1" s="78"/>
      <c r="O1" s="36"/>
    </row>
    <row r="2" spans="1:17" ht="15" customHeight="1" thickBot="1">
      <c r="A2" s="79"/>
      <c r="B2" s="36"/>
      <c r="C2" s="36"/>
      <c r="D2" s="382" t="s">
        <v>119</v>
      </c>
      <c r="E2" s="383"/>
      <c r="F2" s="383"/>
      <c r="G2" s="383"/>
      <c r="H2" s="383"/>
      <c r="I2" s="383"/>
      <c r="J2" s="384"/>
      <c r="K2" s="36"/>
      <c r="L2" s="36"/>
      <c r="M2" s="36"/>
      <c r="N2" s="80"/>
      <c r="O2" s="36"/>
      <c r="Q2" s="38"/>
    </row>
    <row r="3" spans="1:17" ht="9.9499999999999993" customHeight="1" thickBot="1">
      <c r="A3" s="79"/>
      <c r="B3" s="36"/>
      <c r="C3" s="36"/>
      <c r="D3" s="36"/>
      <c r="E3" s="36"/>
      <c r="F3" s="38"/>
      <c r="G3" s="36"/>
      <c r="H3" s="36"/>
      <c r="I3" s="36"/>
      <c r="J3" s="38"/>
      <c r="K3" s="36"/>
      <c r="L3" s="36"/>
      <c r="M3" s="36"/>
      <c r="N3" s="80"/>
      <c r="O3" s="36"/>
      <c r="Q3" s="38"/>
    </row>
    <row r="4" spans="1:17" ht="15" customHeight="1" thickTop="1" thickBot="1">
      <c r="A4" s="79"/>
      <c r="B4" s="414" t="s">
        <v>298</v>
      </c>
      <c r="C4" s="415"/>
      <c r="D4" s="395" t="s">
        <v>162</v>
      </c>
      <c r="E4" s="396"/>
      <c r="F4" s="396"/>
      <c r="G4" s="396"/>
      <c r="H4" s="396"/>
      <c r="I4" s="396"/>
      <c r="J4" s="396"/>
      <c r="K4" s="396"/>
      <c r="L4" s="396"/>
      <c r="M4" s="397"/>
      <c r="N4" s="81"/>
      <c r="O4" s="36"/>
    </row>
    <row r="5" spans="1:17" ht="30" customHeight="1" thickBot="1">
      <c r="A5" s="82"/>
      <c r="B5" s="366"/>
      <c r="C5" s="367"/>
      <c r="D5" s="174" t="s">
        <v>16</v>
      </c>
      <c r="E5" s="175" t="s">
        <v>45</v>
      </c>
      <c r="F5" s="175" t="s">
        <v>5</v>
      </c>
      <c r="G5" s="175" t="s">
        <v>41</v>
      </c>
      <c r="H5" s="175" t="s">
        <v>4</v>
      </c>
      <c r="I5" s="175" t="s">
        <v>3</v>
      </c>
      <c r="J5" s="175" t="s">
        <v>2</v>
      </c>
      <c r="K5" s="175" t="s">
        <v>1</v>
      </c>
      <c r="L5" s="175" t="s">
        <v>0</v>
      </c>
      <c r="M5" s="243" t="s">
        <v>44</v>
      </c>
      <c r="N5" s="81"/>
      <c r="O5" s="36"/>
    </row>
    <row r="6" spans="1:17" ht="15" customHeight="1">
      <c r="A6" s="82"/>
      <c r="B6" s="368"/>
      <c r="C6" s="39" t="s">
        <v>57</v>
      </c>
      <c r="D6" s="40">
        <v>76</v>
      </c>
      <c r="E6" s="41">
        <v>71</v>
      </c>
      <c r="F6" s="42">
        <v>66</v>
      </c>
      <c r="G6" s="43">
        <v>61</v>
      </c>
      <c r="H6" s="44">
        <v>56</v>
      </c>
      <c r="I6" s="45">
        <v>48</v>
      </c>
      <c r="J6" s="46">
        <v>38</v>
      </c>
      <c r="K6" s="47">
        <v>28</v>
      </c>
      <c r="L6" s="173">
        <v>19</v>
      </c>
      <c r="M6" s="48">
        <v>10</v>
      </c>
      <c r="N6" s="81"/>
      <c r="O6" s="36"/>
    </row>
    <row r="7" spans="1:17" ht="107.25" customHeight="1">
      <c r="A7" s="79"/>
      <c r="B7" s="365" t="str">
        <f>"Wind Speed = "&amp;Dimensions!$D$42&amp;" mph"&amp;CHAR(10)&amp;"Luminaire = "&amp;IF(Dimensions!C44=1,"No","Yes")</f>
        <v>Wind Speed = 150 mph
Luminaire = Yes</v>
      </c>
      <c r="C7" s="187"/>
      <c r="D7" s="40">
        <v>1</v>
      </c>
      <c r="E7" s="41">
        <v>1</v>
      </c>
      <c r="F7" s="42">
        <v>1</v>
      </c>
      <c r="G7" s="43">
        <v>1</v>
      </c>
      <c r="H7" s="44">
        <v>1</v>
      </c>
      <c r="I7" s="45">
        <v>1</v>
      </c>
      <c r="J7" s="50">
        <v>2</v>
      </c>
      <c r="K7" s="47">
        <v>2</v>
      </c>
      <c r="L7" s="51">
        <v>2</v>
      </c>
      <c r="M7" s="48">
        <v>5</v>
      </c>
      <c r="N7" s="81"/>
      <c r="O7" s="36"/>
    </row>
    <row r="8" spans="1:17" ht="15" customHeight="1">
      <c r="A8" s="79"/>
      <c r="B8" s="416" t="str">
        <f>CONCATENATE(IF(Dimensions!C39=1,"Vertical Signal Orientation ","Horizontal Signal Orientation "),IF(Dimensions!C43=1,"with Backplates.","without Backplates."))</f>
        <v>Vertical Signal Orientation with Backplates.</v>
      </c>
      <c r="C8" s="52" t="s">
        <v>14</v>
      </c>
      <c r="D8" s="53">
        <v>24</v>
      </c>
      <c r="E8" s="53">
        <v>24</v>
      </c>
      <c r="F8" s="53">
        <v>24</v>
      </c>
      <c r="G8" s="53">
        <v>24</v>
      </c>
      <c r="H8" s="53">
        <v>24</v>
      </c>
      <c r="I8" s="53">
        <v>36</v>
      </c>
      <c r="J8" s="53">
        <v>60</v>
      </c>
      <c r="K8" s="53">
        <v>120</v>
      </c>
      <c r="L8" s="53">
        <v>120</v>
      </c>
      <c r="M8" s="54">
        <v>120</v>
      </c>
      <c r="N8" s="81"/>
      <c r="O8" s="36"/>
    </row>
    <row r="9" spans="1:17" ht="15" customHeight="1" thickBot="1">
      <c r="A9" s="79"/>
      <c r="B9" s="416"/>
      <c r="C9" s="55" t="s">
        <v>15</v>
      </c>
      <c r="D9" s="56">
        <v>36</v>
      </c>
      <c r="E9" s="56">
        <v>36</v>
      </c>
      <c r="F9" s="56">
        <v>36</v>
      </c>
      <c r="G9" s="56">
        <v>36</v>
      </c>
      <c r="H9" s="56">
        <v>36</v>
      </c>
      <c r="I9" s="56">
        <v>36</v>
      </c>
      <c r="J9" s="56">
        <v>24</v>
      </c>
      <c r="K9" s="56">
        <v>24</v>
      </c>
      <c r="L9" s="56">
        <v>24</v>
      </c>
      <c r="M9" s="57">
        <v>24</v>
      </c>
      <c r="N9" s="81"/>
      <c r="O9" s="36"/>
    </row>
    <row r="10" spans="1:17" ht="15" customHeight="1" thickTop="1">
      <c r="A10" s="79"/>
      <c r="B10" s="416"/>
      <c r="C10" s="58" t="s">
        <v>21</v>
      </c>
      <c r="D10" s="60">
        <f>IF(D7=1,0,IF(AND(D7=5,D8&lt;&gt;0,D9&lt;&gt;0),Dimensions!AB4,IF(Arm2Design!D7=2,Dimensions!I4,IF(D7=3,Dimensions!I11,IF(D7=4,Dimensions!I18,"")))))</f>
        <v>0</v>
      </c>
      <c r="E10" s="60">
        <f>IF(E7=1,0,IF(AND(E7=5,E8&lt;&gt;0,E9&lt;&gt;0),Dimensions!AB11,IF(Arm2Design!E7=2,Dimensions!I4,IF(E7=3,Dimensions!I11,IF(E7=4,Dimensions!I18,"")))))</f>
        <v>0</v>
      </c>
      <c r="F10" s="60">
        <f>IF(F7=1,0,IF(AND(F7=5,F8&lt;&gt;0,F9&lt;&gt;0),Dimensions!AB18,IF(Arm2Design!F7=2,Dimensions!I4,IF(F7=3,Dimensions!I11,IF(F7=4,Dimensions!I18,"")))))</f>
        <v>0</v>
      </c>
      <c r="G10" s="60">
        <f>IF(G7=1,0,IF(AND(G7=5,G8&lt;&gt;0,G9&lt;&gt;0),Dimensions!AB25,IF(Arm2Design!G7=2,Dimensions!I4,IF(G7=3,Dimensions!I11,IF(G7=4,Dimensions!I18,"")))))</f>
        <v>0</v>
      </c>
      <c r="H10" s="60">
        <f>IF(H7=1,0,IF(AND(H7=5,H8&lt;&gt;0,H9&lt;&gt;0),Dimensions!AB32,IF(Arm2Design!H7=2,Dimensions!I4,IF(H7=3,Dimensions!I11,IF(H7=4,Dimensions!I18,"")))))</f>
        <v>0</v>
      </c>
      <c r="I10" s="60">
        <f>IF(I7=1,0,IF(AND(I7=5,I8&lt;&gt;0,I9&lt;&gt;0),Dimensions!AB39,IF(Arm2Design!I7=2,Dimensions!I4,IF(I7=3,Dimensions!I11,IF(I7=4,Dimensions!I18,"")))))</f>
        <v>0</v>
      </c>
      <c r="J10" s="60">
        <f>IF(J7=1,0,IF(AND(J7=5,J8&lt;&gt;0,J9&lt;&gt;0),Dimensions!AB46,IF(Arm2Design!J7=2,Dimensions!I4,IF(J7=3,Dimensions!I11,IF(J7=4,Dimensions!I18,"")))))</f>
        <v>9.75</v>
      </c>
      <c r="K10" s="60">
        <f>IF(K7=1,0,IF(AND(K7=5,K8&lt;&gt;0,K9&lt;&gt;0),Dimensions!AB53,IF(Arm2Design!K7=2,Dimensions!I4,IF(K7=3,Dimensions!I11,IF(K7=4,Dimensions!I18,"")))))</f>
        <v>9.75</v>
      </c>
      <c r="L10" s="60">
        <f>IF(L7=1,0,IF(AND(L7=5,L8&lt;&gt;0,L9&lt;&gt;0),Dimensions!AB60,IF(Arm2Design!L7=2,Dimensions!I4,IF(L7=3,Dimensions!I11,IF(L7=4,Dimensions!I18,"")))))</f>
        <v>9.75</v>
      </c>
      <c r="M10" s="61">
        <f>IF(M7=1,0,IF(AND(M7=5,M8&lt;&gt;0,M9&lt;&gt;0),Dimensions!AB67,IF(Arm2Design!M7=2,Dimensions!I4,IF(M7=3,Dimensions!I11,IF(M7=4,Dimensions!I18,"")))))</f>
        <v>20</v>
      </c>
      <c r="N10" s="81"/>
      <c r="O10" s="36"/>
    </row>
    <row r="11" spans="1:17" ht="15" customHeight="1" thickBot="1">
      <c r="A11" s="79"/>
      <c r="B11" s="417"/>
      <c r="C11" s="59" t="s">
        <v>56</v>
      </c>
      <c r="D11" s="62">
        <f>'CFI&amp;Designation'!B25</f>
        <v>0</v>
      </c>
      <c r="E11" s="62">
        <f>'CFI&amp;Designation'!C25</f>
        <v>0</v>
      </c>
      <c r="F11" s="62">
        <f>'CFI&amp;Designation'!D25</f>
        <v>0</v>
      </c>
      <c r="G11" s="62">
        <f>'CFI&amp;Designation'!E25</f>
        <v>0</v>
      </c>
      <c r="H11" s="62">
        <f>'CFI&amp;Designation'!F25</f>
        <v>0</v>
      </c>
      <c r="I11" s="62">
        <f>'CFI&amp;Designation'!G25</f>
        <v>0</v>
      </c>
      <c r="J11" s="62">
        <f>'CFI&amp;Designation'!H25</f>
        <v>24.815082239999995</v>
      </c>
      <c r="K11" s="62">
        <f>'CFI&amp;Designation'!I25</f>
        <v>18.284797439999998</v>
      </c>
      <c r="L11" s="62">
        <f>'CFI&amp;Designation'!J25</f>
        <v>12.407541119999998</v>
      </c>
      <c r="M11" s="244">
        <f>'CFI&amp;Designation'!K25</f>
        <v>13.395455999999998</v>
      </c>
      <c r="N11" s="81"/>
      <c r="O11" s="36"/>
    </row>
    <row r="12" spans="1:17" ht="24.75" customHeight="1" thickTop="1">
      <c r="A12" s="79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81"/>
      <c r="O12" s="36"/>
    </row>
    <row r="13" spans="1:17" ht="15" customHeight="1">
      <c r="A13" s="79"/>
      <c r="B13" s="36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81"/>
      <c r="O13" s="36"/>
    </row>
    <row r="14" spans="1:17" ht="15" customHeight="1">
      <c r="A14" s="79"/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81"/>
      <c r="O14" s="36"/>
    </row>
    <row r="15" spans="1:17" ht="15" customHeight="1">
      <c r="A15" s="79"/>
      <c r="B15" s="36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81"/>
      <c r="O15" s="36"/>
    </row>
    <row r="16" spans="1:17" ht="15" customHeight="1">
      <c r="A16" s="79"/>
      <c r="B16" s="36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81"/>
      <c r="O16" s="36"/>
    </row>
    <row r="17" spans="1:15" ht="15" customHeight="1">
      <c r="A17" s="79"/>
      <c r="B17" s="36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81"/>
      <c r="O17" s="36"/>
    </row>
    <row r="18" spans="1:15" ht="15" customHeight="1">
      <c r="A18" s="79"/>
      <c r="B18" s="3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81"/>
      <c r="O18" s="36"/>
    </row>
    <row r="19" spans="1:15" ht="15" customHeight="1">
      <c r="A19" s="79"/>
      <c r="B19" s="36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81"/>
      <c r="O19" s="36"/>
    </row>
    <row r="20" spans="1:15" ht="15" customHeight="1">
      <c r="A20" s="79"/>
      <c r="B20" s="36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81"/>
      <c r="O20" s="36"/>
    </row>
    <row r="21" spans="1:15" ht="15" customHeight="1">
      <c r="A21" s="79"/>
      <c r="B21" s="36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81"/>
      <c r="O21" s="36"/>
    </row>
    <row r="22" spans="1:15" ht="15" customHeight="1" thickBot="1">
      <c r="A22" s="7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81"/>
      <c r="O22" s="36"/>
    </row>
    <row r="23" spans="1:15" ht="15" customHeight="1" thickTop="1" thickBot="1">
      <c r="A23" s="79"/>
      <c r="B23" s="389" t="s">
        <v>161</v>
      </c>
      <c r="C23" s="390"/>
      <c r="D23" s="245">
        <f>Dimensions!D41</f>
        <v>40</v>
      </c>
      <c r="E23" s="369"/>
      <c r="F23" s="370" t="s">
        <v>163</v>
      </c>
      <c r="G23" s="371"/>
      <c r="H23" s="250" t="s">
        <v>25</v>
      </c>
      <c r="I23" s="251" t="s">
        <v>46</v>
      </c>
      <c r="J23" s="36"/>
      <c r="K23" s="398" t="str">
        <f>"Mast Arm Assembly Designation"</f>
        <v>Mast Arm Assembly Designation</v>
      </c>
      <c r="L23" s="399"/>
      <c r="M23" s="400"/>
      <c r="N23" s="81"/>
      <c r="O23" s="36"/>
    </row>
    <row r="24" spans="1:15" ht="15" customHeight="1" thickBot="1">
      <c r="A24" s="79"/>
      <c r="B24" s="391" t="s">
        <v>65</v>
      </c>
      <c r="C24" s="392"/>
      <c r="D24" s="88" t="s">
        <v>25</v>
      </c>
      <c r="E24" s="121" t="s">
        <v>46</v>
      </c>
      <c r="F24" s="372" t="s">
        <v>67</v>
      </c>
      <c r="G24" s="373"/>
      <c r="H24" s="63">
        <f>IF(Dimensions!C41=1,"",'CFI&amp;Designation'!L28)</f>
        <v>22</v>
      </c>
      <c r="I24" s="246">
        <f>IF(Dimensions!C41=1,"",'CFI&amp;Designation'!M28)</f>
        <v>24.200000000000003</v>
      </c>
      <c r="J24" s="36"/>
      <c r="K24" s="374" t="str">
        <f>IF(Dimensions!C41&gt;1,"Two Arm Assembly"&amp;CHAR(10)&amp;'CFI&amp;Designation'!C43,"One Arm Assembly"&amp;CHAR(10)&amp;'CFI&amp;Designation'!C43)</f>
        <v>Two Arm Assembly
A70/D-A40/D-P5/D/L-DS/14/5</v>
      </c>
      <c r="L24" s="375"/>
      <c r="M24" s="376"/>
      <c r="N24" s="81"/>
      <c r="O24" s="36"/>
    </row>
    <row r="25" spans="1:15" ht="15" customHeight="1" thickBot="1">
      <c r="A25" s="79"/>
      <c r="B25" s="393" t="s">
        <v>58</v>
      </c>
      <c r="C25" s="394"/>
      <c r="D25" s="63">
        <f>IF(Dimensions!C41=1,"",VLOOKUP(Dimensions!$D$41,'CFI&amp;Designation'!$A$4:$O$11,3))</f>
        <v>13</v>
      </c>
      <c r="E25" s="122">
        <f>IF(Dimensions!C41=1,"",VLOOKUP(Dimensions!$D$41,'CFI&amp;Designation'!$A$4:$O$11,10))</f>
        <v>14</v>
      </c>
      <c r="F25" s="387" t="s">
        <v>53</v>
      </c>
      <c r="G25" s="388"/>
      <c r="H25" s="237">
        <f>IF(Dimensions!C41=1,"",'CFI&amp;Designation'!L27)</f>
        <v>26.627218934911237</v>
      </c>
      <c r="I25" s="252">
        <f>IF(Dimensions!C41=1,"",'CFI&amp;Designation'!M27)</f>
        <v>29.289940828402361</v>
      </c>
      <c r="J25" s="36"/>
      <c r="K25" s="377"/>
      <c r="L25" s="378"/>
      <c r="M25" s="379"/>
      <c r="N25" s="81"/>
      <c r="O25" s="36"/>
    </row>
    <row r="26" spans="1:15" ht="15" customHeight="1" thickTop="1">
      <c r="A26" s="79"/>
      <c r="B26" s="411" t="s">
        <v>47</v>
      </c>
      <c r="C26" s="412"/>
      <c r="D26" s="64">
        <f>IF(Dimensions!C41=1,"",VLOOKUP(Dimensions!$D$41,'CFI&amp;Designation'!$A$4:$O$11,2))</f>
        <v>0.25</v>
      </c>
      <c r="E26" s="123">
        <f>IF(Dimensions!C41=1,"",VLOOKUP(Dimensions!$D$41,'CFI&amp;Designation'!$A$4:$O$11,9))</f>
        <v>0.25</v>
      </c>
      <c r="F26" s="409" t="s">
        <v>68</v>
      </c>
      <c r="G26" s="410"/>
      <c r="H26" s="407">
        <f>IF(Dimensions!C41=1,"",'CFI&amp;Designation'!L26)</f>
        <v>5.5550000000000006</v>
      </c>
      <c r="I26" s="408"/>
      <c r="J26" s="36"/>
      <c r="K26" s="413" t="str">
        <f>IF(Dimensions!$D$40&lt;Dimensions!$D$41,"Change Arm 1 Length","")</f>
        <v/>
      </c>
      <c r="L26" s="413"/>
      <c r="M26" s="413"/>
      <c r="N26" s="83"/>
      <c r="O26" s="36"/>
    </row>
    <row r="27" spans="1:15" ht="15" customHeight="1" thickBot="1">
      <c r="A27" s="79"/>
      <c r="B27" s="403" t="s">
        <v>66</v>
      </c>
      <c r="C27" s="404"/>
      <c r="D27" s="247">
        <f>IF(Dimensions!C41=1,"",VLOOKUP(Dimensions!$D$41,'CFI&amp;Designation'!$A$4:$O$11,8))</f>
        <v>145</v>
      </c>
      <c r="E27" s="249">
        <f>IF(Dimensions!C41=1,"",VLOOKUP(Dimensions!D41,'CFI&amp;Designation'!A4:$O$11,15))</f>
        <v>166</v>
      </c>
      <c r="F27" s="387" t="s">
        <v>52</v>
      </c>
      <c r="G27" s="388"/>
      <c r="H27" s="407">
        <f>IF(Dimensions!C41=1,"",'CFI&amp;Designation'!L25)</f>
        <v>68.902876799999987</v>
      </c>
      <c r="I27" s="408"/>
      <c r="J27" s="36"/>
      <c r="K27" s="36"/>
      <c r="L27" s="36"/>
      <c r="M27" s="36"/>
      <c r="N27" s="83"/>
      <c r="O27" s="36"/>
    </row>
    <row r="28" spans="1:15" ht="15" customHeight="1" thickTop="1" thickBot="1">
      <c r="A28" s="82"/>
      <c r="B28" s="401"/>
      <c r="C28" s="401"/>
      <c r="D28" s="401"/>
      <c r="E28" s="401"/>
      <c r="F28" s="405" t="s">
        <v>59</v>
      </c>
      <c r="G28" s="406"/>
      <c r="H28" s="247">
        <f>IF(Dimensions!C41=1,"",'CFI&amp;Designation'!L29)</f>
        <v>99.424731410858257</v>
      </c>
      <c r="I28" s="248">
        <f>IF(Dimensions!C41=1,"",'CFI&amp;Designation'!M29)</f>
        <v>103.10209285781983</v>
      </c>
      <c r="J28" s="36"/>
      <c r="K28" s="36"/>
      <c r="L28" s="36"/>
      <c r="M28" s="36"/>
      <c r="N28" s="83"/>
      <c r="O28" s="36"/>
    </row>
    <row r="29" spans="1:15" ht="9.9499999999999993" customHeight="1" thickTop="1" thickBot="1">
      <c r="A29" s="84"/>
      <c r="B29" s="402"/>
      <c r="C29" s="402"/>
      <c r="D29" s="402"/>
      <c r="E29" s="402"/>
      <c r="F29" s="85"/>
      <c r="G29" s="85"/>
      <c r="H29" s="85"/>
      <c r="I29" s="85"/>
      <c r="J29" s="85"/>
      <c r="K29" s="85"/>
      <c r="L29" s="85"/>
      <c r="M29" s="179"/>
      <c r="N29" s="86"/>
      <c r="O29" s="36"/>
    </row>
    <row r="30" spans="1:15" ht="15" customHeight="1" thickBot="1">
      <c r="A30" s="36"/>
      <c r="C30" s="93"/>
      <c r="D30" s="93"/>
      <c r="E30" s="36"/>
      <c r="F30" s="36"/>
      <c r="G30" s="95"/>
      <c r="H30" s="36"/>
      <c r="I30" s="36"/>
      <c r="J30" s="36"/>
      <c r="N30" s="36"/>
      <c r="O30" s="36"/>
    </row>
    <row r="31" spans="1:15">
      <c r="A31" s="36"/>
      <c r="B31" s="75" t="s">
        <v>73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8"/>
      <c r="N31" s="36"/>
      <c r="O31" s="36"/>
    </row>
    <row r="32" spans="1:15">
      <c r="A32" s="36"/>
      <c r="B32" s="253" t="s">
        <v>218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81"/>
      <c r="N32" s="36"/>
      <c r="O32" s="36"/>
    </row>
    <row r="33" spans="1:15">
      <c r="A33" s="36"/>
      <c r="B33" s="253" t="s">
        <v>149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81"/>
      <c r="N33" s="36"/>
      <c r="O33" s="36"/>
    </row>
    <row r="34" spans="1:15">
      <c r="A34" s="36"/>
      <c r="B34" s="253" t="s">
        <v>156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81"/>
      <c r="N34" s="36"/>
      <c r="O34" s="36"/>
    </row>
    <row r="35" spans="1:15">
      <c r="A35" s="36"/>
      <c r="B35" s="253" t="s">
        <v>109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81"/>
      <c r="N35" s="36"/>
      <c r="O35" s="36"/>
    </row>
    <row r="36" spans="1:15">
      <c r="A36" s="82"/>
      <c r="B36" s="79" t="s">
        <v>113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81"/>
      <c r="N36" s="36"/>
      <c r="O36" s="36"/>
    </row>
    <row r="37" spans="1:15">
      <c r="A37" s="36"/>
      <c r="B37" s="253" t="s">
        <v>74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81"/>
      <c r="N37" s="36"/>
      <c r="O37" s="36"/>
    </row>
    <row r="38" spans="1:15">
      <c r="A38" s="36"/>
      <c r="B38" s="253" t="s">
        <v>133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81"/>
      <c r="N38" s="36"/>
      <c r="O38" s="36"/>
    </row>
    <row r="39" spans="1:15">
      <c r="A39" s="36"/>
      <c r="B39" s="253" t="s">
        <v>111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81"/>
      <c r="N39" s="36"/>
      <c r="O39" s="36"/>
    </row>
    <row r="40" spans="1:15">
      <c r="A40" s="36"/>
      <c r="B40" s="253" t="s">
        <v>219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81"/>
      <c r="N40" s="36"/>
      <c r="O40" s="36"/>
    </row>
    <row r="41" spans="1:15">
      <c r="A41" s="36"/>
      <c r="B41" s="253" t="s">
        <v>220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81"/>
      <c r="N41" s="36"/>
      <c r="O41" s="36"/>
    </row>
    <row r="42" spans="1:15">
      <c r="A42" s="36"/>
      <c r="B42" s="253" t="s">
        <v>112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81"/>
      <c r="N42" s="36"/>
      <c r="O42" s="36"/>
    </row>
    <row r="43" spans="1:15">
      <c r="A43" s="36"/>
      <c r="B43" s="253" t="s">
        <v>110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81"/>
      <c r="N43" s="36"/>
      <c r="O43" s="36"/>
    </row>
    <row r="44" spans="1:15">
      <c r="A44" s="36"/>
      <c r="B44" s="253" t="s">
        <v>136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81"/>
      <c r="N44" s="36"/>
      <c r="O44" s="36"/>
    </row>
    <row r="45" spans="1:15" ht="15.75" thickBot="1">
      <c r="A45" s="36"/>
      <c r="B45" s="254" t="s">
        <v>137</v>
      </c>
      <c r="C45" s="179"/>
      <c r="D45" s="179"/>
      <c r="E45" s="179"/>
      <c r="F45" s="179"/>
      <c r="G45" s="179"/>
      <c r="H45" s="179"/>
      <c r="I45" s="179"/>
      <c r="J45" s="179"/>
      <c r="K45" s="85"/>
      <c r="L45" s="85"/>
      <c r="M45" s="182"/>
      <c r="N45" s="36"/>
      <c r="O45" s="36"/>
    </row>
    <row r="46" spans="1: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</sheetData>
  <sheetProtection sheet="1" objects="1" scenarios="1"/>
  <protectedRanges>
    <protectedRange sqref="D6:M6 B7:M7 C8:M9" name="Range1"/>
  </protectedRanges>
  <mergeCells count="21">
    <mergeCell ref="D2:J2"/>
    <mergeCell ref="B4:C4"/>
    <mergeCell ref="B27:C27"/>
    <mergeCell ref="F27:G27"/>
    <mergeCell ref="H27:I27"/>
    <mergeCell ref="B24:C24"/>
    <mergeCell ref="F24:G24"/>
    <mergeCell ref="D4:M4"/>
    <mergeCell ref="B8:B11"/>
    <mergeCell ref="B23:C23"/>
    <mergeCell ref="F23:G23"/>
    <mergeCell ref="K23:M23"/>
    <mergeCell ref="K24:M25"/>
    <mergeCell ref="B28:E29"/>
    <mergeCell ref="F28:G28"/>
    <mergeCell ref="K26:M26"/>
    <mergeCell ref="B25:C25"/>
    <mergeCell ref="F25:G25"/>
    <mergeCell ref="B26:C26"/>
    <mergeCell ref="F26:G26"/>
    <mergeCell ref="H26:I26"/>
  </mergeCells>
  <conditionalFormatting sqref="M6">
    <cfRule type="cellIs" dxfId="12" priority="13" operator="lessThan">
      <formula>1</formula>
    </cfRule>
  </conditionalFormatting>
  <conditionalFormatting sqref="D6:M6">
    <cfRule type="cellIs" dxfId="11" priority="12" operator="lessThan">
      <formula>1</formula>
    </cfRule>
  </conditionalFormatting>
  <conditionalFormatting sqref="D8:D9">
    <cfRule type="expression" dxfId="10" priority="11">
      <formula>$D$7=5</formula>
    </cfRule>
  </conditionalFormatting>
  <conditionalFormatting sqref="E8:E9">
    <cfRule type="expression" dxfId="9" priority="10">
      <formula>$E$7=5</formula>
    </cfRule>
  </conditionalFormatting>
  <conditionalFormatting sqref="F8:F9">
    <cfRule type="expression" dxfId="8" priority="9">
      <formula>$F$7=5</formula>
    </cfRule>
  </conditionalFormatting>
  <conditionalFormatting sqref="G8:G9">
    <cfRule type="expression" dxfId="7" priority="8">
      <formula>$G$7=5</formula>
    </cfRule>
  </conditionalFormatting>
  <conditionalFormatting sqref="H8:H9">
    <cfRule type="expression" dxfId="6" priority="7">
      <formula>$H$7=5</formula>
    </cfRule>
  </conditionalFormatting>
  <conditionalFormatting sqref="I8:I9">
    <cfRule type="expression" dxfId="5" priority="6">
      <formula>$I$7=5</formula>
    </cfRule>
  </conditionalFormatting>
  <conditionalFormatting sqref="J8:J9">
    <cfRule type="expression" dxfId="4" priority="5">
      <formula>$J$7=5</formula>
    </cfRule>
  </conditionalFormatting>
  <conditionalFormatting sqref="K8:K9">
    <cfRule type="expression" dxfId="3" priority="4">
      <formula>$K$7=5</formula>
    </cfRule>
  </conditionalFormatting>
  <conditionalFormatting sqref="L8:L9">
    <cfRule type="expression" dxfId="2" priority="3">
      <formula>$L$7=5</formula>
    </cfRule>
  </conditionalFormatting>
  <conditionalFormatting sqref="M8:M9">
    <cfRule type="expression" dxfId="1" priority="2">
      <formula>$M$7=5</formula>
    </cfRule>
  </conditionalFormatting>
  <conditionalFormatting sqref="B8:B11">
    <cfRule type="expression" dxfId="0" priority="1">
      <formula>"""if('Sign &amp; Sig. Dim.'!$C$42=1)"""</formula>
    </cfRule>
  </conditionalFormatting>
  <pageMargins left="0.25" right="0.25" top="0.75" bottom="0.75" header="0.3" footer="0.3"/>
  <pageSetup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Group Box 2">
              <controlPr defaultSize="0" autoFill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7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Group Box 3">
              <controlPr defaultSize="0" autoFill="0" autoPict="0">
                <anchor moveWithCells="1">
                  <from>
                    <xdr:col>2</xdr:col>
                    <xdr:colOff>1123950</xdr:colOff>
                    <xdr:row>5</xdr:row>
                    <xdr:rowOff>180975</xdr:rowOff>
                  </from>
                  <to>
                    <xdr:col>4</xdr:col>
                    <xdr:colOff>0</xdr:colOff>
                    <xdr:row>6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Option Button 10">
              <controlPr defaultSize="0" autoFill="0" autoLine="0" autoPict="0" altText="None">
                <anchor moveWithCells="1">
                  <from>
                    <xdr:col>3</xdr:col>
                    <xdr:colOff>76200</xdr:colOff>
                    <xdr:row>6</xdr:row>
                    <xdr:rowOff>76200</xdr:rowOff>
                  </from>
                  <to>
                    <xdr:col>3</xdr:col>
                    <xdr:colOff>657225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Option Button 11">
              <controlPr defaultSize="0" autoFill="0" autoLine="0" autoPict="0" altText="3 Head">
                <anchor moveWithCells="1">
                  <from>
                    <xdr:col>3</xdr:col>
                    <xdr:colOff>76200</xdr:colOff>
                    <xdr:row>6</xdr:row>
                    <xdr:rowOff>266700</xdr:rowOff>
                  </from>
                  <to>
                    <xdr:col>3</xdr:col>
                    <xdr:colOff>657225</xdr:colOff>
                    <xdr:row>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Option Button 12">
              <controlPr defaultSize="0" autoFill="0" autoLine="0" autoPict="0" altText="4 Head">
                <anchor moveWithCells="1">
                  <from>
                    <xdr:col>3</xdr:col>
                    <xdr:colOff>76200</xdr:colOff>
                    <xdr:row>6</xdr:row>
                    <xdr:rowOff>466725</xdr:rowOff>
                  </from>
                  <to>
                    <xdr:col>3</xdr:col>
                    <xdr:colOff>657225</xdr:colOff>
                    <xdr:row>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Option Button 13">
              <controlPr defaultSize="0" autoFill="0" autoLine="0" autoPict="0" altText="5 Head">
                <anchor moveWithCells="1">
                  <from>
                    <xdr:col>3</xdr:col>
                    <xdr:colOff>76200</xdr:colOff>
                    <xdr:row>6</xdr:row>
                    <xdr:rowOff>666750</xdr:rowOff>
                  </from>
                  <to>
                    <xdr:col>3</xdr:col>
                    <xdr:colOff>657225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Option Button 14">
              <controlPr defaultSize="0" autoFill="0" autoLine="0" autoPict="0" altText="Dog House">
                <anchor moveWithCells="1">
                  <from>
                    <xdr:col>3</xdr:col>
                    <xdr:colOff>76200</xdr:colOff>
                    <xdr:row>6</xdr:row>
                    <xdr:rowOff>876300</xdr:rowOff>
                  </from>
                  <to>
                    <xdr:col>3</xdr:col>
                    <xdr:colOff>657225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Option Button 15">
              <controlPr defaultSize="0" autoFill="0" autoLine="0" autoPict="0" altText="None">
                <anchor moveWithCells="1">
                  <from>
                    <xdr:col>4</xdr:col>
                    <xdr:colOff>85725</xdr:colOff>
                    <xdr:row>6</xdr:row>
                    <xdr:rowOff>76200</xdr:rowOff>
                  </from>
                  <to>
                    <xdr:col>4</xdr:col>
                    <xdr:colOff>666750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Option Button 16">
              <controlPr defaultSize="0" autoFill="0" autoLine="0" autoPict="0" altText="3 Head">
                <anchor moveWithCells="1">
                  <from>
                    <xdr:col>4</xdr:col>
                    <xdr:colOff>85725</xdr:colOff>
                    <xdr:row>6</xdr:row>
                    <xdr:rowOff>266700</xdr:rowOff>
                  </from>
                  <to>
                    <xdr:col>4</xdr:col>
                    <xdr:colOff>666750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Option Button 17">
              <controlPr defaultSize="0" autoFill="0" autoLine="0" autoPict="0" altText="4 Head">
                <anchor moveWithCells="1">
                  <from>
                    <xdr:col>4</xdr:col>
                    <xdr:colOff>85725</xdr:colOff>
                    <xdr:row>6</xdr:row>
                    <xdr:rowOff>466725</xdr:rowOff>
                  </from>
                  <to>
                    <xdr:col>4</xdr:col>
                    <xdr:colOff>666750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Option Button 18">
              <controlPr defaultSize="0" autoFill="0" autoLine="0" autoPict="0" altText="5 Head">
                <anchor moveWithCells="1">
                  <from>
                    <xdr:col>4</xdr:col>
                    <xdr:colOff>85725</xdr:colOff>
                    <xdr:row>6</xdr:row>
                    <xdr:rowOff>676275</xdr:rowOff>
                  </from>
                  <to>
                    <xdr:col>4</xdr:col>
                    <xdr:colOff>666750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Option Button 19">
              <controlPr defaultSize="0" autoFill="0" autoLine="0" autoPict="0" altText="Dog House">
                <anchor moveWithCells="1">
                  <from>
                    <xdr:col>4</xdr:col>
                    <xdr:colOff>85725</xdr:colOff>
                    <xdr:row>6</xdr:row>
                    <xdr:rowOff>885825</xdr:rowOff>
                  </from>
                  <to>
                    <xdr:col>4</xdr:col>
                    <xdr:colOff>666750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6" name="Option Button 20">
              <controlPr defaultSize="0" autoFill="0" autoLine="0" autoPict="0" altText="None">
                <anchor moveWithCells="1">
                  <from>
                    <xdr:col>5</xdr:col>
                    <xdr:colOff>85725</xdr:colOff>
                    <xdr:row>6</xdr:row>
                    <xdr:rowOff>76200</xdr:rowOff>
                  </from>
                  <to>
                    <xdr:col>5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7" name="Option Button 21">
              <controlPr defaultSize="0" autoFill="0" autoLine="0" autoPict="0" altText="3 Head">
                <anchor moveWithCells="1">
                  <from>
                    <xdr:col>5</xdr:col>
                    <xdr:colOff>85725</xdr:colOff>
                    <xdr:row>6</xdr:row>
                    <xdr:rowOff>266700</xdr:rowOff>
                  </from>
                  <to>
                    <xdr:col>5</xdr:col>
                    <xdr:colOff>676275</xdr:colOff>
                    <xdr:row>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8" name="Option Button 22">
              <controlPr defaultSize="0" autoFill="0" autoLine="0" autoPict="0" altText="4 Head">
                <anchor moveWithCells="1">
                  <from>
                    <xdr:col>5</xdr:col>
                    <xdr:colOff>85725</xdr:colOff>
                    <xdr:row>6</xdr:row>
                    <xdr:rowOff>466725</xdr:rowOff>
                  </from>
                  <to>
                    <xdr:col>5</xdr:col>
                    <xdr:colOff>676275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9" name="Option Button 23">
              <controlPr defaultSize="0" autoFill="0" autoLine="0" autoPict="0" altText="5 Head">
                <anchor moveWithCells="1">
                  <from>
                    <xdr:col>5</xdr:col>
                    <xdr:colOff>85725</xdr:colOff>
                    <xdr:row>6</xdr:row>
                    <xdr:rowOff>676275</xdr:rowOff>
                  </from>
                  <to>
                    <xdr:col>5</xdr:col>
                    <xdr:colOff>676275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Option Button 24">
              <controlPr defaultSize="0" autoFill="0" autoLine="0" autoPict="0" altText="Dog House">
                <anchor moveWithCells="1">
                  <from>
                    <xdr:col>5</xdr:col>
                    <xdr:colOff>85725</xdr:colOff>
                    <xdr:row>6</xdr:row>
                    <xdr:rowOff>885825</xdr:rowOff>
                  </from>
                  <to>
                    <xdr:col>5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Option Button 25">
              <controlPr defaultSize="0" autoFill="0" autoLine="0" autoPict="0" altText="None">
                <anchor moveWithCells="1">
                  <from>
                    <xdr:col>6</xdr:col>
                    <xdr:colOff>95250</xdr:colOff>
                    <xdr:row>6</xdr:row>
                    <xdr:rowOff>76200</xdr:rowOff>
                  </from>
                  <to>
                    <xdr:col>6</xdr:col>
                    <xdr:colOff>676275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2" name="Option Button 26">
              <controlPr defaultSize="0" autoFill="0" autoLine="0" autoPict="0" altText="3 Head">
                <anchor moveWithCells="1">
                  <from>
                    <xdr:col>6</xdr:col>
                    <xdr:colOff>95250</xdr:colOff>
                    <xdr:row>6</xdr:row>
                    <xdr:rowOff>266700</xdr:rowOff>
                  </from>
                  <to>
                    <xdr:col>6</xdr:col>
                    <xdr:colOff>676275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3" name="Option Button 27">
              <controlPr defaultSize="0" autoFill="0" autoLine="0" autoPict="0" altText="4 Head">
                <anchor moveWithCells="1">
                  <from>
                    <xdr:col>6</xdr:col>
                    <xdr:colOff>95250</xdr:colOff>
                    <xdr:row>6</xdr:row>
                    <xdr:rowOff>466725</xdr:rowOff>
                  </from>
                  <to>
                    <xdr:col>6</xdr:col>
                    <xdr:colOff>676275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4" name="Option Button 28">
              <controlPr defaultSize="0" autoFill="0" autoLine="0" autoPict="0" altText="5 Head">
                <anchor moveWithCells="1">
                  <from>
                    <xdr:col>6</xdr:col>
                    <xdr:colOff>95250</xdr:colOff>
                    <xdr:row>6</xdr:row>
                    <xdr:rowOff>666750</xdr:rowOff>
                  </from>
                  <to>
                    <xdr:col>6</xdr:col>
                    <xdr:colOff>676275</xdr:colOff>
                    <xdr:row>6</xdr:row>
                    <xdr:rowOff>923925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5" name="Option Button 29">
              <controlPr defaultSize="0" autoFill="0" autoLine="0" autoPict="0" altText="Dog House">
                <anchor moveWithCells="1">
                  <from>
                    <xdr:col>6</xdr:col>
                    <xdr:colOff>95250</xdr:colOff>
                    <xdr:row>6</xdr:row>
                    <xdr:rowOff>857250</xdr:rowOff>
                  </from>
                  <to>
                    <xdr:col>6</xdr:col>
                    <xdr:colOff>676275</xdr:colOff>
                    <xdr:row>6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6" name="Group Box 30">
              <controlPr defaultSize="0" autoFill="0" autoPict="0">
                <anchor moveWithCells="1">
                  <from>
                    <xdr:col>4</xdr:col>
                    <xdr:colOff>9525</xdr:colOff>
                    <xdr:row>6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7" name="Group Box 31">
              <controlPr defaultSize="0" autoFill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8" name="Group Box 32">
              <controlPr defaultSize="0" autoFill="0" autoPict="0">
                <anchor moveWithCells="1">
                  <from>
                    <xdr:col>6</xdr:col>
                    <xdr:colOff>19050</xdr:colOff>
                    <xdr:row>6</xdr:row>
                    <xdr:rowOff>9525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9" name="Option Button 33">
              <controlPr defaultSize="0" autoFill="0" autoLine="0" autoPict="0" altText="None">
                <anchor moveWithCells="1">
                  <from>
                    <xdr:col>7</xdr:col>
                    <xdr:colOff>85725</xdr:colOff>
                    <xdr:row>6</xdr:row>
                    <xdr:rowOff>76200</xdr:rowOff>
                  </from>
                  <to>
                    <xdr:col>7</xdr:col>
                    <xdr:colOff>676275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0" name="Option Button 34">
              <controlPr defaultSize="0" autoFill="0" autoLine="0" autoPict="0" altText="3 Head">
                <anchor moveWithCells="1">
                  <from>
                    <xdr:col>7</xdr:col>
                    <xdr:colOff>85725</xdr:colOff>
                    <xdr:row>6</xdr:row>
                    <xdr:rowOff>266700</xdr:rowOff>
                  </from>
                  <to>
                    <xdr:col>7</xdr:col>
                    <xdr:colOff>676275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1" name="Option Button 35">
              <controlPr defaultSize="0" autoFill="0" autoLine="0" autoPict="0" altText="4 Head">
                <anchor moveWithCells="1">
                  <from>
                    <xdr:col>7</xdr:col>
                    <xdr:colOff>85725</xdr:colOff>
                    <xdr:row>6</xdr:row>
                    <xdr:rowOff>466725</xdr:rowOff>
                  </from>
                  <to>
                    <xdr:col>7</xdr:col>
                    <xdr:colOff>676275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2" name="Option Button 36">
              <controlPr defaultSize="0" autoFill="0" autoLine="0" autoPict="0" altText="5 Head">
                <anchor moveWithCells="1">
                  <from>
                    <xdr:col>7</xdr:col>
                    <xdr:colOff>85725</xdr:colOff>
                    <xdr:row>6</xdr:row>
                    <xdr:rowOff>657225</xdr:rowOff>
                  </from>
                  <to>
                    <xdr:col>7</xdr:col>
                    <xdr:colOff>676275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3" name="Option Button 37">
              <controlPr defaultSize="0" autoFill="0" autoLine="0" autoPict="0" altText="Dog House">
                <anchor moveWithCells="1">
                  <from>
                    <xdr:col>7</xdr:col>
                    <xdr:colOff>85725</xdr:colOff>
                    <xdr:row>6</xdr:row>
                    <xdr:rowOff>857250</xdr:rowOff>
                  </from>
                  <to>
                    <xdr:col>7</xdr:col>
                    <xdr:colOff>676275</xdr:colOff>
                    <xdr:row>6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4" name="Group Box 38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8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5" name="Option Button 39">
              <controlPr defaultSize="0" autoFill="0" autoLine="0" autoPict="0" altText="None">
                <anchor moveWithCells="1">
                  <from>
                    <xdr:col>8</xdr:col>
                    <xdr:colOff>85725</xdr:colOff>
                    <xdr:row>6</xdr:row>
                    <xdr:rowOff>66675</xdr:rowOff>
                  </from>
                  <to>
                    <xdr:col>8</xdr:col>
                    <xdr:colOff>666750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6" name="Option Button 40">
              <controlPr defaultSize="0" autoFill="0" autoLine="0" autoPict="0" altText="3 Head">
                <anchor moveWithCells="1">
                  <from>
                    <xdr:col>8</xdr:col>
                    <xdr:colOff>85725</xdr:colOff>
                    <xdr:row>6</xdr:row>
                    <xdr:rowOff>266700</xdr:rowOff>
                  </from>
                  <to>
                    <xdr:col>8</xdr:col>
                    <xdr:colOff>666750</xdr:colOff>
                    <xdr:row>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7" name="Option Button 41">
              <controlPr defaultSize="0" autoFill="0" autoLine="0" autoPict="0" altText="4 Head">
                <anchor moveWithCells="1">
                  <from>
                    <xdr:col>8</xdr:col>
                    <xdr:colOff>85725</xdr:colOff>
                    <xdr:row>6</xdr:row>
                    <xdr:rowOff>466725</xdr:rowOff>
                  </from>
                  <to>
                    <xdr:col>8</xdr:col>
                    <xdr:colOff>666750</xdr:colOff>
                    <xdr:row>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8" name="Option Button 42">
              <controlPr defaultSize="0" autoFill="0" autoLine="0" autoPict="0" altText="5 Head">
                <anchor moveWithCells="1">
                  <from>
                    <xdr:col>8</xdr:col>
                    <xdr:colOff>85725</xdr:colOff>
                    <xdr:row>6</xdr:row>
                    <xdr:rowOff>666750</xdr:rowOff>
                  </from>
                  <to>
                    <xdr:col>8</xdr:col>
                    <xdr:colOff>666750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9" name="Option Button 43">
              <controlPr defaultSize="0" autoFill="0" autoLine="0" autoPict="0" altText="Dog House">
                <anchor moveWithCells="1">
                  <from>
                    <xdr:col>8</xdr:col>
                    <xdr:colOff>85725</xdr:colOff>
                    <xdr:row>6</xdr:row>
                    <xdr:rowOff>876300</xdr:rowOff>
                  </from>
                  <to>
                    <xdr:col>8</xdr:col>
                    <xdr:colOff>666750</xdr:colOff>
                    <xdr:row>6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0" name="Group Box 44">
              <controlPr defaultSize="0" autoFill="0" autoPict="0">
                <anchor moveWithCells="1">
                  <from>
                    <xdr:col>9</xdr:col>
                    <xdr:colOff>0</xdr:colOff>
                    <xdr:row>5</xdr:row>
                    <xdr:rowOff>180975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1" name="Option Button 45">
              <controlPr defaultSize="0" autoFill="0" autoLine="0" autoPict="0" altText="None">
                <anchor moveWithCells="1">
                  <from>
                    <xdr:col>9</xdr:col>
                    <xdr:colOff>85725</xdr:colOff>
                    <xdr:row>6</xdr:row>
                    <xdr:rowOff>76200</xdr:rowOff>
                  </from>
                  <to>
                    <xdr:col>9</xdr:col>
                    <xdr:colOff>647700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2" name="Option Button 46">
              <controlPr defaultSize="0" autoFill="0" autoLine="0" autoPict="0" altText="3 Head">
                <anchor moveWithCells="1">
                  <from>
                    <xdr:col>9</xdr:col>
                    <xdr:colOff>85725</xdr:colOff>
                    <xdr:row>6</xdr:row>
                    <xdr:rowOff>266700</xdr:rowOff>
                  </from>
                  <to>
                    <xdr:col>9</xdr:col>
                    <xdr:colOff>647700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3" name="Option Button 47">
              <controlPr defaultSize="0" autoFill="0" autoLine="0" autoPict="0" altText="4 Head">
                <anchor moveWithCells="1">
                  <from>
                    <xdr:col>9</xdr:col>
                    <xdr:colOff>85725</xdr:colOff>
                    <xdr:row>6</xdr:row>
                    <xdr:rowOff>466725</xdr:rowOff>
                  </from>
                  <to>
                    <xdr:col>9</xdr:col>
                    <xdr:colOff>647700</xdr:colOff>
                    <xdr:row>6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4" name="Option Button 48">
              <controlPr defaultSize="0" autoFill="0" autoLine="0" autoPict="0" altText="5 Head">
                <anchor moveWithCells="1">
                  <from>
                    <xdr:col>9</xdr:col>
                    <xdr:colOff>85725</xdr:colOff>
                    <xdr:row>6</xdr:row>
                    <xdr:rowOff>666750</xdr:rowOff>
                  </from>
                  <to>
                    <xdr:col>9</xdr:col>
                    <xdr:colOff>647700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5" name="Option Button 49">
              <controlPr defaultSize="0" autoFill="0" autoLine="0" autoPict="0" altText="Dog House">
                <anchor moveWithCells="1">
                  <from>
                    <xdr:col>9</xdr:col>
                    <xdr:colOff>85725</xdr:colOff>
                    <xdr:row>6</xdr:row>
                    <xdr:rowOff>857250</xdr:rowOff>
                  </from>
                  <to>
                    <xdr:col>9</xdr:col>
                    <xdr:colOff>647700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6" name="Group Box 50">
              <controlPr defaultSize="0" autoFill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7" name="Option Button 51">
              <controlPr defaultSize="0" autoFill="0" autoLine="0" autoPict="0" altText="None">
                <anchor moveWithCells="1">
                  <from>
                    <xdr:col>10</xdr:col>
                    <xdr:colOff>95250</xdr:colOff>
                    <xdr:row>6</xdr:row>
                    <xdr:rowOff>66675</xdr:rowOff>
                  </from>
                  <to>
                    <xdr:col>10</xdr:col>
                    <xdr:colOff>647700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8" name="Option Button 52">
              <controlPr defaultSize="0" autoFill="0" autoLine="0" autoPict="0" altText="3 Head">
                <anchor moveWithCells="1">
                  <from>
                    <xdr:col>10</xdr:col>
                    <xdr:colOff>95250</xdr:colOff>
                    <xdr:row>6</xdr:row>
                    <xdr:rowOff>247650</xdr:rowOff>
                  </from>
                  <to>
                    <xdr:col>10</xdr:col>
                    <xdr:colOff>647700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9" name="Option Button 53">
              <controlPr defaultSize="0" autoFill="0" autoLine="0" autoPict="0" altText="4 Head">
                <anchor moveWithCells="1">
                  <from>
                    <xdr:col>10</xdr:col>
                    <xdr:colOff>95250</xdr:colOff>
                    <xdr:row>6</xdr:row>
                    <xdr:rowOff>447675</xdr:rowOff>
                  </from>
                  <to>
                    <xdr:col>10</xdr:col>
                    <xdr:colOff>647700</xdr:colOff>
                    <xdr:row>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0" name="Option Button 54">
              <controlPr defaultSize="0" autoFill="0" autoLine="0" autoPict="0" altText="5 Head">
                <anchor moveWithCells="1">
                  <from>
                    <xdr:col>10</xdr:col>
                    <xdr:colOff>95250</xdr:colOff>
                    <xdr:row>6</xdr:row>
                    <xdr:rowOff>638175</xdr:rowOff>
                  </from>
                  <to>
                    <xdr:col>10</xdr:col>
                    <xdr:colOff>647700</xdr:colOff>
                    <xdr:row>6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1" name="Option Button 55">
              <controlPr defaultSize="0" autoFill="0" autoLine="0" autoPict="0" altText="Dog House">
                <anchor moveWithCells="1">
                  <from>
                    <xdr:col>10</xdr:col>
                    <xdr:colOff>95250</xdr:colOff>
                    <xdr:row>6</xdr:row>
                    <xdr:rowOff>828675</xdr:rowOff>
                  </from>
                  <to>
                    <xdr:col>10</xdr:col>
                    <xdr:colOff>647700</xdr:colOff>
                    <xdr:row>6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2" name="Option Button 56">
              <controlPr defaultSize="0" autoFill="0" autoLine="0" autoPict="0" altText="3 Head">
                <anchor moveWithCells="1">
                  <from>
                    <xdr:col>11</xdr:col>
                    <xdr:colOff>66675</xdr:colOff>
                    <xdr:row>6</xdr:row>
                    <xdr:rowOff>66675</xdr:rowOff>
                  </from>
                  <to>
                    <xdr:col>11</xdr:col>
                    <xdr:colOff>657225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3" name="Option Button 57">
              <controlPr defaultSize="0" autoFill="0" autoLine="0" autoPict="0" altText="4 Head">
                <anchor moveWithCells="1">
                  <from>
                    <xdr:col>11</xdr:col>
                    <xdr:colOff>66675</xdr:colOff>
                    <xdr:row>6</xdr:row>
                    <xdr:rowOff>266700</xdr:rowOff>
                  </from>
                  <to>
                    <xdr:col>11</xdr:col>
                    <xdr:colOff>657225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4" name="Option Button 58">
              <controlPr defaultSize="0" autoFill="0" autoLine="0" autoPict="0" altText="5 Head">
                <anchor moveWithCells="1">
                  <from>
                    <xdr:col>11</xdr:col>
                    <xdr:colOff>66675</xdr:colOff>
                    <xdr:row>6</xdr:row>
                    <xdr:rowOff>466725</xdr:rowOff>
                  </from>
                  <to>
                    <xdr:col>11</xdr:col>
                    <xdr:colOff>657225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5" name="Option Button 59">
              <controlPr defaultSize="0" autoFill="0" autoLine="0" autoPict="0" altText="Dog House">
                <anchor moveWithCells="1">
                  <from>
                    <xdr:col>11</xdr:col>
                    <xdr:colOff>66675</xdr:colOff>
                    <xdr:row>6</xdr:row>
                    <xdr:rowOff>657225</xdr:rowOff>
                  </from>
                  <to>
                    <xdr:col>11</xdr:col>
                    <xdr:colOff>657225</xdr:colOff>
                    <xdr:row>6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6" name="Option Button 60">
              <controlPr defaultSize="0" autoFill="0" autoLine="0" autoPict="0" altText="None">
                <anchor moveWithCells="1">
                  <from>
                    <xdr:col>11</xdr:col>
                    <xdr:colOff>66675</xdr:colOff>
                    <xdr:row>6</xdr:row>
                    <xdr:rowOff>876300</xdr:rowOff>
                  </from>
                  <to>
                    <xdr:col>11</xdr:col>
                    <xdr:colOff>657225</xdr:colOff>
                    <xdr:row>6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7" name="Group Box 61">
              <controlPr defaultSize="0" autoFill="0" autoPict="0">
                <anchor moveWithCells="1">
                  <from>
                    <xdr:col>12</xdr:col>
                    <xdr:colOff>0</xdr:colOff>
                    <xdr:row>5</xdr:row>
                    <xdr:rowOff>180975</xdr:rowOff>
                  </from>
                  <to>
                    <xdr:col>13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8" name="Option Button 62">
              <controlPr defaultSize="0" autoFill="0" autoLine="0" autoPict="0" altText="None">
                <anchor moveWithCells="1">
                  <from>
                    <xdr:col>12</xdr:col>
                    <xdr:colOff>95250</xdr:colOff>
                    <xdr:row>6</xdr:row>
                    <xdr:rowOff>47625</xdr:rowOff>
                  </from>
                  <to>
                    <xdr:col>12</xdr:col>
                    <xdr:colOff>657225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9" name="Option Button 63">
              <controlPr defaultSize="0" autoFill="0" autoLine="0" autoPict="0" altText="3 Head">
                <anchor moveWithCells="1">
                  <from>
                    <xdr:col>12</xdr:col>
                    <xdr:colOff>95250</xdr:colOff>
                    <xdr:row>6</xdr:row>
                    <xdr:rowOff>238125</xdr:rowOff>
                  </from>
                  <to>
                    <xdr:col>12</xdr:col>
                    <xdr:colOff>657225</xdr:colOff>
                    <xdr:row>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0" name="Option Button 64">
              <controlPr defaultSize="0" autoFill="0" autoLine="0" autoPict="0" altText="4 Head">
                <anchor moveWithCells="1">
                  <from>
                    <xdr:col>12</xdr:col>
                    <xdr:colOff>95250</xdr:colOff>
                    <xdr:row>6</xdr:row>
                    <xdr:rowOff>447675</xdr:rowOff>
                  </from>
                  <to>
                    <xdr:col>12</xdr:col>
                    <xdr:colOff>657225</xdr:colOff>
                    <xdr:row>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1" name="Option Button 65">
              <controlPr defaultSize="0" autoFill="0" autoLine="0" autoPict="0" altText="5 Head">
                <anchor moveWithCells="1">
                  <from>
                    <xdr:col>12</xdr:col>
                    <xdr:colOff>95250</xdr:colOff>
                    <xdr:row>6</xdr:row>
                    <xdr:rowOff>647700</xdr:rowOff>
                  </from>
                  <to>
                    <xdr:col>12</xdr:col>
                    <xdr:colOff>657225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2" name="Option Button 66">
              <controlPr defaultSize="0" autoFill="0" autoLine="0" autoPict="0" altText="Dog House">
                <anchor moveWithCells="1">
                  <from>
                    <xdr:col>12</xdr:col>
                    <xdr:colOff>95250</xdr:colOff>
                    <xdr:row>6</xdr:row>
                    <xdr:rowOff>857250</xdr:rowOff>
                  </from>
                  <to>
                    <xdr:col>12</xdr:col>
                    <xdr:colOff>657225</xdr:colOff>
                    <xdr:row>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3" name="Group Box 67">
              <controlPr defaultSize="0" autoFill="0" autoPict="0">
                <anchor moveWithCells="1">
                  <from>
                    <xdr:col>2</xdr:col>
                    <xdr:colOff>238125</xdr:colOff>
                    <xdr:row>6</xdr:row>
                    <xdr:rowOff>57150</xdr:rowOff>
                  </from>
                  <to>
                    <xdr:col>2</xdr:col>
                    <xdr:colOff>1019175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4" name="List Box 68">
              <controlPr locked="0" defaultSize="0" autoLine="0" autoPict="0">
                <anchor moveWithCells="1">
                  <from>
                    <xdr:col>2</xdr:col>
                    <xdr:colOff>352425</xdr:colOff>
                    <xdr:row>6</xdr:row>
                    <xdr:rowOff>219075</xdr:rowOff>
                  </from>
                  <to>
                    <xdr:col>2</xdr:col>
                    <xdr:colOff>885825</xdr:colOff>
                    <xdr:row>6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65" name="Group Box 73">
              <controlPr defaultSize="0" autoFill="0" autoPict="0">
                <anchor moveWithCells="1">
                  <from>
                    <xdr:col>10</xdr:col>
                    <xdr:colOff>723900</xdr:colOff>
                    <xdr:row>5</xdr:row>
                    <xdr:rowOff>180975</xdr:rowOff>
                  </from>
                  <to>
                    <xdr:col>12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M32"/>
  <sheetViews>
    <sheetView zoomScale="75" zoomScaleNormal="75" workbookViewId="0"/>
  </sheetViews>
  <sheetFormatPr defaultRowHeight="15"/>
  <cols>
    <col min="2" max="2" width="6.7109375" customWidth="1"/>
    <col min="3" max="3" width="10.7109375" customWidth="1"/>
    <col min="4" max="5" width="7.7109375" customWidth="1"/>
    <col min="6" max="6" width="7.7109375" style="3" customWidth="1"/>
    <col min="7" max="7" width="5.7109375" style="3" customWidth="1"/>
    <col min="8" max="8" width="7.7109375" customWidth="1"/>
    <col min="9" max="9" width="5.7109375" customWidth="1"/>
    <col min="10" max="12" width="5.7109375" style="3" customWidth="1"/>
    <col min="13" max="22" width="19.7109375" style="5" customWidth="1"/>
    <col min="23" max="23" width="37.5703125" style="3" customWidth="1"/>
    <col min="24" max="34" width="5.7109375" style="3" customWidth="1"/>
    <col min="35" max="35" width="32" style="3" customWidth="1"/>
    <col min="36" max="36" width="9.140625" style="3"/>
  </cols>
  <sheetData>
    <row r="1" spans="1:65" ht="237" customHeight="1" thickBot="1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1"/>
      <c r="X1" s="291"/>
      <c r="Y1" s="291"/>
      <c r="Z1" s="291"/>
    </row>
    <row r="2" spans="1:65" ht="35.1" customHeight="1" thickBot="1">
      <c r="A2" s="424" t="s">
        <v>254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31"/>
      <c r="M2" s="430" t="s">
        <v>293</v>
      </c>
      <c r="N2" s="419"/>
      <c r="O2" s="419"/>
      <c r="P2" s="419"/>
      <c r="Q2" s="419"/>
      <c r="R2" s="419"/>
      <c r="S2" s="419"/>
      <c r="T2" s="419"/>
      <c r="U2" s="419"/>
      <c r="V2" s="419"/>
      <c r="W2" s="418" t="s">
        <v>266</v>
      </c>
      <c r="X2" s="419"/>
      <c r="Y2" s="419"/>
      <c r="Z2" s="420"/>
      <c r="AJ2" s="235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spans="1:65" ht="118.5" customHeight="1" thickBot="1">
      <c r="A3" s="293" t="s">
        <v>206</v>
      </c>
      <c r="B3" s="294" t="s">
        <v>251</v>
      </c>
      <c r="C3" s="295" t="s">
        <v>213</v>
      </c>
      <c r="D3" s="294" t="s">
        <v>253</v>
      </c>
      <c r="E3" s="294" t="s">
        <v>255</v>
      </c>
      <c r="F3" s="294" t="s">
        <v>208</v>
      </c>
      <c r="G3" s="294" t="s">
        <v>252</v>
      </c>
      <c r="H3" s="294" t="s">
        <v>268</v>
      </c>
      <c r="I3" s="294" t="s">
        <v>269</v>
      </c>
      <c r="J3" s="294" t="s">
        <v>270</v>
      </c>
      <c r="K3" s="294" t="s">
        <v>271</v>
      </c>
      <c r="L3" s="296" t="s">
        <v>207</v>
      </c>
      <c r="M3" s="295" t="s">
        <v>265</v>
      </c>
      <c r="N3" s="295" t="s">
        <v>264</v>
      </c>
      <c r="O3" s="295" t="s">
        <v>263</v>
      </c>
      <c r="P3" s="295" t="s">
        <v>262</v>
      </c>
      <c r="Q3" s="295" t="s">
        <v>261</v>
      </c>
      <c r="R3" s="295" t="s">
        <v>260</v>
      </c>
      <c r="S3" s="295" t="s">
        <v>259</v>
      </c>
      <c r="T3" s="295" t="s">
        <v>258</v>
      </c>
      <c r="U3" s="295" t="s">
        <v>257</v>
      </c>
      <c r="V3" s="297" t="s">
        <v>256</v>
      </c>
      <c r="W3" s="293" t="s">
        <v>297</v>
      </c>
      <c r="X3" s="294" t="s">
        <v>299</v>
      </c>
      <c r="Y3" s="294" t="s">
        <v>300</v>
      </c>
      <c r="Z3" s="296" t="s">
        <v>301</v>
      </c>
      <c r="AJ3" s="236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</row>
    <row r="4" spans="1:65" ht="32.1" customHeight="1">
      <c r="A4" s="344"/>
      <c r="B4" s="345"/>
      <c r="C4" s="346"/>
      <c r="D4" s="347"/>
      <c r="E4" s="347"/>
      <c r="F4" s="348"/>
      <c r="G4" s="348"/>
      <c r="H4" s="342" t="str">
        <f>IF(Dimensions!$C$39=1,"Vert.","Horiz.")</f>
        <v>Vert.</v>
      </c>
      <c r="I4" s="342" t="str">
        <f>IF(Dimensions!$C$43=2,"No","Yes")</f>
        <v>Yes</v>
      </c>
      <c r="J4" s="342" t="str">
        <f>IF(Dimensions!$C$44=1,"No","Yes")</f>
        <v>Yes</v>
      </c>
      <c r="K4" s="334">
        <v>1</v>
      </c>
      <c r="L4" s="335">
        <f>Dimensions!$D$40</f>
        <v>70</v>
      </c>
      <c r="M4" s="298" t="str">
        <f>IF(Arm1Design!$D$7=1,"","Dist="&amp;Arm1Design!$D$6&amp;"'"&amp;CHAR(10)&amp;IF(Arm1Design!$D$7=2,"Signal: 3 Head",IF(Arm1Design!$D$7=3,"Signal: 4 Head",IF(Arm1Design!$D$7=4,"Signal: 5 Head","Sign: "&amp;Arm1Design!$D$8/12&amp;"'"&amp;"x"&amp;Arm1Design!$D$9/12&amp;"'"))))</f>
        <v/>
      </c>
      <c r="N4" s="299" t="str">
        <f>IF(Arm1Design!$E$7=1,"","Dist="&amp;Arm1Design!$E$6&amp;"'"&amp;CHAR(10)&amp;IF(Arm1Design!$E$7=2,"Signal: 3 Head",IF(Arm1Design!$E$7=3,"Signal: 4 Head",IF(Arm1Design!$E$7=4,"Signal: 5 Head","Sign: "&amp;Arm1Design!$E$8/12&amp;"'"&amp;"x"&amp;Arm1Design!$E$9/12&amp;"'"))))</f>
        <v/>
      </c>
      <c r="O4" s="299" t="str">
        <f>IF(Arm1Design!$F$7=1,"","Dist="&amp;Arm1Design!$F$6&amp;"'"&amp;CHAR(10)&amp;IF(Arm1Design!$F$7=2,"Signal: 3 Head",IF(Arm1Design!$F$7=3,"Signal: 4 Head",IF(Arm1Design!$F$7=4,"Signal: 5 Head","Sign: "&amp;Arm1Design!$F$8/12&amp;"'"&amp;"x"&amp;Arm1Design!$F$9/12&amp;"'"))))</f>
        <v/>
      </c>
      <c r="P4" s="299" t="str">
        <f>IF(Arm1Design!$G$7=1,"","Dist="&amp;Arm1Design!$G$6&amp;"'"&amp;CHAR(10)&amp;IF(Arm1Design!$G$7=2,"Signal: 3 Head",IF(Arm1Design!$G$7=3,"Signal: 4 Head",IF(Arm1Design!$G$7=4,"Signal: 5 Head","Sign: "&amp;Arm1Design!$G$8/12&amp;"'"&amp;"x"&amp;Arm1Design!$G$9/12&amp;"'"))))</f>
        <v/>
      </c>
      <c r="Q4" s="299" t="str">
        <f>IF(Arm1Design!$H$7=1,"","Dist="&amp;Arm1Design!$H$6&amp;"'"&amp;CHAR(10)&amp;IF(Arm1Design!$H$7=2,"Signal: 3 Head",IF(Arm1Design!$H$7=3,"Signal: 4 Head",IF(Arm1Design!$H$7=4,"Signal: 5 Head","Sign: "&amp;Arm1Design!$H$8/12&amp;"'"&amp;"x"&amp;Arm1Design!$H$9/12&amp;"'"))))</f>
        <v>Dist=55'
Signal: 3 Head</v>
      </c>
      <c r="R4" s="299" t="str">
        <f>IF(Arm1Design!$I$7=1,"","Dist="&amp;Arm1Design!$I$6&amp;"'"&amp;CHAR(10)&amp;IF(Arm1Design!$I$7=2,"Signal: 3 Head",IF(Arm1Design!$I$7=3,"Signal: 4 Head",IF(Arm1Design!$I$7=4,"Signal: 5 Head","Sign: "&amp;Arm1Design!$I$8/12&amp;"'"&amp;"x"&amp;Arm1Design!$I$9/12&amp;"'"))))</f>
        <v>Dist=45'
Signal: 3 Head</v>
      </c>
      <c r="S4" s="299" t="str">
        <f>IF(Arm1Design!$J$7=1,"","Dist="&amp;Arm1Design!$J$6&amp;"'"&amp;CHAR(10)&amp;IF(Arm1Design!$J$7=2,"Signal: 3 Head",IF(Arm1Design!$J$7=3,"Signal: 4 Head",IF(Arm1Design!$J$7=4,"Signal: 5 Head","Sign: "&amp;Arm1Design!$J$8/12&amp;"'"&amp;"x"&amp;Arm1Design!$J$9/12&amp;"'"))))</f>
        <v>Dist=35'
Signal: 3 Head</v>
      </c>
      <c r="T4" s="299" t="str">
        <f>IF(Arm1Design!$K$7=1,"","Dist="&amp;Arm1Design!$K$6&amp;"'"&amp;CHAR(10)&amp;IF(Arm1Design!$K$7=2,"Signal: 3 Head",IF(Arm1Design!$K$7=3,"Signal: 4 Head",IF(Arm1Design!$K$7=4,"Signal: 5 Head","Sign: "&amp;Arm1Design!$K$8/12&amp;"'"&amp;"x"&amp;Arm1Design!$K$9/12&amp;"'"))))</f>
        <v>Dist=28'
Signal: 3 Head</v>
      </c>
      <c r="U4" s="299" t="str">
        <f>IF(Arm1Design!$L$7=1,"","Dist="&amp;Arm1Design!$L$6&amp;"'"&amp;CHAR(10)&amp;IF(Arm1Design!$L$7=2,"Signal: 3 Head",IF(Arm1Design!$L$7=3,"Signal: 4 Head",IF(Arm1Design!$L$7=4,"Signal: 5 Head","Sign: "&amp;Arm1Design!$L$8/12&amp;"'"&amp;"x"&amp;Arm1Design!$L$9/12&amp;"'"))))</f>
        <v>Dist=22'
Signal: 3 Head</v>
      </c>
      <c r="V4" s="300" t="str">
        <f>IF(Arm1Design!$M$7=1,"","Dist="&amp;Arm1Design!$M$6&amp;"'"&amp;CHAR(10)&amp;IF(Arm1Design!$M$7=2,"Signal: 3 Head",IF(Arm1Design!$M$7=3,"Signal: 4 Head",IF(Arm1Design!$M$7=4,"Signal: 5 Head","Sign: "&amp;Arm1Design!$M$8/12&amp;"'"&amp;"x"&amp;Arm1Design!$M$9/12&amp;"'"))))</f>
        <v>Dist=12'
Sign: 10'x2'</v>
      </c>
      <c r="W4" s="421" t="str">
        <f>'CFI&amp;Designation'!C43</f>
        <v>A70/D-A40/D-P5/D/L-DS/14/5</v>
      </c>
      <c r="X4" s="357"/>
      <c r="Y4" s="357"/>
      <c r="Z4" s="358"/>
      <c r="AJ4" s="236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spans="1:65" ht="32.1" customHeight="1" thickBot="1">
      <c r="A5" s="343"/>
      <c r="B5" s="343"/>
      <c r="C5" s="343"/>
      <c r="D5" s="343"/>
      <c r="E5" s="343"/>
      <c r="F5" s="343"/>
      <c r="G5" s="343"/>
      <c r="H5" s="343"/>
      <c r="I5" s="343"/>
      <c r="J5" s="343"/>
      <c r="K5" s="336" t="str">
        <f>IF(Dimensions!$C$41=1,"","2")</f>
        <v>2</v>
      </c>
      <c r="L5" s="337">
        <f>IF(Dimensions!$C$41=1,"",Dimensions!$D$41)</f>
        <v>40</v>
      </c>
      <c r="M5" s="301" t="str">
        <f>IF(Dimensions!$C$41=1,"",IF(Arm2Design!$D$7=1,"","Dist="&amp;Arm2Design!$D$6&amp;"'"&amp;CHAR(10)&amp;IF(Arm2Design!$D$7=2,"Signal: 3 Head",IF(Arm2Design!$D$7=3,"Signal: 4 Head",IF(Arm2Design!$D$7=4,"Signal: 5 Head","Sign: "&amp;Arm2Design!$D$8/12&amp;"'"&amp;"x"&amp;Arm2Design!$D$9/12&amp;"'")))))</f>
        <v/>
      </c>
      <c r="N5" s="302" t="str">
        <f>IF(Dimensions!$C$41=1,"",IF(Arm2Design!$E$7=1,"","Dist="&amp;Arm2Design!$E$6&amp;"'"&amp;CHAR(10)&amp;IF(Arm2Design!$E$7=2,"Signal: 3 Head",IF(Arm2Design!$E$7=3,"Signal: 4 Head",IF(Arm2Design!$E$7=4,"Signal: 5 Head","Sign: "&amp;Arm2Design!$E$8/12&amp;"'"&amp;"x"&amp;Arm2Design!$E$9/12&amp;"'")))))</f>
        <v/>
      </c>
      <c r="O5" s="302" t="str">
        <f>IF(Dimensions!$C$41=1,"",IF(Arm2Design!$F$7=1,"","Dist="&amp;Arm2Design!$F$6&amp;"'"&amp;CHAR(10)&amp;IF(Arm2Design!$F$7=2,"Signal: 3 Head",IF(Arm2Design!$F$7=3,"Signal: 4 Head",IF(Arm2Design!$F$7=4,"Signal: 5 Head","Sign: "&amp;Arm2Design!$F$8/12&amp;"'"&amp;"x"&amp;Arm2Design!$F$9/12&amp;"'")))))</f>
        <v/>
      </c>
      <c r="P5" s="302" t="str">
        <f>IF(Dimensions!$C$41=1,"",IF(Arm2Design!$G$7=1,"","Dist="&amp;Arm2Design!$G$6&amp;"'"&amp;CHAR(10)&amp;IF(Arm2Design!$G$7=2,"Signal: 3 Head",IF(Arm2Design!$G$7=3,"Signal: 4 Head",IF(Arm2Design!$G$7=4,"Signal: 5 Head","Sign: "&amp;Arm2Design!$G$8/12&amp;"'"&amp;"x"&amp;Arm2Design!$G$9/12&amp;"'")))))</f>
        <v/>
      </c>
      <c r="Q5" s="302" t="str">
        <f>IF(Dimensions!$C$41=1,"",IF(Arm2Design!$H$7=1,"","Dist="&amp;Arm2Design!$H$6&amp;"'"&amp;CHAR(10)&amp;IF(Arm2Design!$H$7=2,"Signal: 3 Head",IF(Arm2Design!$H$7=3,"Signal: 4 Head",IF(Arm2Design!$H$7=4,"Signal: 5 Head","Sign: "&amp;Arm2Design!$H$8/12&amp;"'"&amp;"x"&amp;Arm2Design!$H$9/12&amp;"'")))))</f>
        <v/>
      </c>
      <c r="R5" s="302" t="str">
        <f>IF(Dimensions!$C$41=1,"",IF(Arm2Design!$I$7=1,"","Dist="&amp;Arm2Design!$I$6&amp;"'"&amp;CHAR(10)&amp;IF(Arm2Design!$I$7=2,"Signal: 3 Head",IF(Arm2Design!$I$7=3,"Signal: 4 Head",IF(Arm2Design!$I$7=4,"Signal: 5 Head","Sign: "&amp;Arm2Design!$I$8/12&amp;"'"&amp;"x"&amp;Arm2Design!$I$9/12&amp;"'")))))</f>
        <v/>
      </c>
      <c r="S5" s="302" t="str">
        <f>IF(Dimensions!$C$41=1,"",IF(Arm2Design!$J$7=1,"","Dist="&amp;Arm2Design!$J$6&amp;"'"&amp;CHAR(10)&amp;IF(Arm2Design!$J$7=2,"Signal: 3 Head",IF(Arm2Design!$J$7=3,"Signal: 4 Head",IF(Arm2Design!$J$7=4,"Signal: 5 Head","Sign: "&amp;Arm2Design!$J$8/12&amp;"'"&amp;"x"&amp;Arm2Design!$J$9/12&amp;"'")))))</f>
        <v>Dist=38'
Signal: 3 Head</v>
      </c>
      <c r="T5" s="302" t="str">
        <f>IF(Dimensions!$C$41=1,"",IF(Arm2Design!$K$7=1,"","Dist="&amp;Arm2Design!$K$6&amp;"'"&amp;CHAR(10)&amp;IF(Arm2Design!$K$7=2,"Signal: 3 Head",IF(Arm2Design!$K$7=3,"Signal: 4 Head",IF(Arm2Design!$K$7=4,"Signal: 5 Head","Sign: "&amp;Arm2Design!$K$8/12&amp;"'"&amp;"x"&amp;Arm2Design!$K$9/12&amp;"'")))))</f>
        <v>Dist=28'
Signal: 3 Head</v>
      </c>
      <c r="U5" s="302" t="str">
        <f>IF(Dimensions!$C$41=1,"",IF(Arm2Design!$L$7=1,"","Dist="&amp;Arm2Design!$L$6&amp;"'"&amp;CHAR(10)&amp;IF(Arm2Design!$L$7=2,"Signal: 3 Head",IF(Arm2Design!$L$7=3,"Signal: 4 Head",IF(Arm2Design!$L$7=4,"Signal: 5 Head","Sign: "&amp;Arm2Design!$L$8/12&amp;"'"&amp;"x"&amp;Arm2Design!$L$9/12&amp;"'")))))</f>
        <v>Dist=19'
Signal: 3 Head</v>
      </c>
      <c r="V5" s="303" t="str">
        <f>IF(Dimensions!$C$41=1,"",IF(Arm2Design!$M$7=1,"","Dist="&amp;Arm2Design!$M$6&amp;"'"&amp;CHAR(10)&amp;IF(Arm2Design!$M$7=2,"Signal: 3 Head",IF(Arm2Design!$M$7=3,"Signal: 4 Head",IF(Arm2Design!$M$7=4,"Signal: 5 Head","Sign: "&amp;Arm2Design!$M$8/12&amp;"'"&amp;"x"&amp;Arm2Design!$M$9/12&amp;"'")))))</f>
        <v>Dist=10'
Sign: 10'x2'</v>
      </c>
      <c r="W5" s="422"/>
      <c r="X5" s="355"/>
      <c r="Y5" s="355"/>
      <c r="Z5" s="356"/>
      <c r="AJ5" s="236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ht="32.1" customHeight="1">
      <c r="A6" s="350"/>
      <c r="B6" s="351"/>
      <c r="C6" s="351"/>
      <c r="D6" s="352"/>
      <c r="E6" s="352"/>
      <c r="F6" s="353"/>
      <c r="G6" s="353"/>
      <c r="H6" s="342"/>
      <c r="I6" s="342"/>
      <c r="J6" s="342"/>
      <c r="K6" s="334">
        <v>1</v>
      </c>
      <c r="L6" s="335"/>
      <c r="M6" s="304"/>
      <c r="N6" s="305"/>
      <c r="O6" s="305"/>
      <c r="P6" s="305"/>
      <c r="Q6" s="305"/>
      <c r="R6" s="305"/>
      <c r="S6" s="305"/>
      <c r="T6" s="305"/>
      <c r="U6" s="305"/>
      <c r="V6" s="306"/>
      <c r="W6" s="349"/>
      <c r="X6" s="357"/>
      <c r="Y6" s="357"/>
      <c r="Z6" s="358"/>
      <c r="AJ6" s="236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ht="32.1" customHeight="1" thickBot="1">
      <c r="A7" s="354"/>
      <c r="B7" s="354"/>
      <c r="C7" s="354"/>
      <c r="D7" s="354"/>
      <c r="E7" s="354"/>
      <c r="F7" s="354"/>
      <c r="G7" s="354"/>
      <c r="H7" s="354"/>
      <c r="I7" s="354"/>
      <c r="J7" s="354"/>
      <c r="K7" s="338">
        <v>2</v>
      </c>
      <c r="L7" s="339"/>
      <c r="M7" s="307"/>
      <c r="N7" s="308"/>
      <c r="O7" s="308"/>
      <c r="P7" s="308"/>
      <c r="Q7" s="308"/>
      <c r="R7" s="308"/>
      <c r="S7" s="308"/>
      <c r="T7" s="308"/>
      <c r="U7" s="308"/>
      <c r="V7" s="309"/>
      <c r="W7" s="359"/>
      <c r="X7" s="355"/>
      <c r="Y7" s="355"/>
      <c r="Z7" s="356"/>
      <c r="AJ7" s="236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ht="32.1" customHeight="1">
      <c r="A8" s="350"/>
      <c r="B8" s="351"/>
      <c r="C8" s="351"/>
      <c r="D8" s="352"/>
      <c r="E8" s="352"/>
      <c r="F8" s="353"/>
      <c r="G8" s="353"/>
      <c r="H8" s="342"/>
      <c r="I8" s="342"/>
      <c r="J8" s="342"/>
      <c r="K8" s="340">
        <v>1</v>
      </c>
      <c r="L8" s="341"/>
      <c r="M8" s="298"/>
      <c r="N8" s="299"/>
      <c r="O8" s="299"/>
      <c r="P8" s="299"/>
      <c r="Q8" s="299"/>
      <c r="R8" s="299"/>
      <c r="S8" s="299"/>
      <c r="T8" s="299"/>
      <c r="U8" s="299"/>
      <c r="V8" s="310"/>
      <c r="W8" s="360"/>
      <c r="X8" s="357"/>
      <c r="Y8" s="357"/>
      <c r="Z8" s="358"/>
      <c r="AJ8" s="236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ht="32.1" customHeight="1" thickBot="1">
      <c r="A9" s="354"/>
      <c r="B9" s="354"/>
      <c r="C9" s="354"/>
      <c r="D9" s="354"/>
      <c r="E9" s="354"/>
      <c r="F9" s="354"/>
      <c r="G9" s="354"/>
      <c r="H9" s="354"/>
      <c r="I9" s="354"/>
      <c r="J9" s="354"/>
      <c r="K9" s="336">
        <v>2</v>
      </c>
      <c r="L9" s="337"/>
      <c r="M9" s="301"/>
      <c r="N9" s="302"/>
      <c r="O9" s="302"/>
      <c r="P9" s="302"/>
      <c r="Q9" s="302"/>
      <c r="R9" s="302"/>
      <c r="S9" s="302"/>
      <c r="T9" s="302"/>
      <c r="U9" s="302"/>
      <c r="V9" s="311"/>
      <c r="W9" s="359"/>
      <c r="X9" s="355"/>
      <c r="Y9" s="355"/>
      <c r="Z9" s="356"/>
      <c r="AJ9" s="236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ht="32.1" customHeight="1">
      <c r="A10" s="350"/>
      <c r="B10" s="351"/>
      <c r="C10" s="351"/>
      <c r="D10" s="352"/>
      <c r="E10" s="352"/>
      <c r="F10" s="353"/>
      <c r="G10" s="353"/>
      <c r="H10" s="342"/>
      <c r="I10" s="342"/>
      <c r="J10" s="342"/>
      <c r="K10" s="334">
        <v>1</v>
      </c>
      <c r="L10" s="335"/>
      <c r="M10" s="304"/>
      <c r="N10" s="305"/>
      <c r="O10" s="305"/>
      <c r="P10" s="305"/>
      <c r="Q10" s="305"/>
      <c r="R10" s="305"/>
      <c r="S10" s="305"/>
      <c r="T10" s="305"/>
      <c r="U10" s="305"/>
      <c r="V10" s="306"/>
      <c r="W10" s="349"/>
      <c r="X10" s="357"/>
      <c r="Y10" s="357"/>
      <c r="Z10" s="358"/>
      <c r="AJ10" s="236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ht="32.1" customHeight="1" thickBot="1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38">
        <v>2</v>
      </c>
      <c r="L11" s="339"/>
      <c r="M11" s="307"/>
      <c r="N11" s="308"/>
      <c r="O11" s="308"/>
      <c r="P11" s="308"/>
      <c r="Q11" s="308"/>
      <c r="R11" s="308"/>
      <c r="S11" s="308"/>
      <c r="T11" s="308"/>
      <c r="U11" s="308"/>
      <c r="V11" s="309"/>
      <c r="W11" s="359"/>
      <c r="X11" s="355"/>
      <c r="Y11" s="355"/>
      <c r="Z11" s="356"/>
      <c r="AJ11" s="236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</row>
    <row r="12" spans="1:65" ht="32.1" customHeight="1">
      <c r="A12" s="350"/>
      <c r="B12" s="351"/>
      <c r="C12" s="351"/>
      <c r="D12" s="352"/>
      <c r="E12" s="352"/>
      <c r="F12" s="353"/>
      <c r="G12" s="353"/>
      <c r="H12" s="342"/>
      <c r="I12" s="342"/>
      <c r="J12" s="342"/>
      <c r="K12" s="340">
        <v>1</v>
      </c>
      <c r="L12" s="341"/>
      <c r="M12" s="298"/>
      <c r="N12" s="299"/>
      <c r="O12" s="299"/>
      <c r="P12" s="299"/>
      <c r="Q12" s="299"/>
      <c r="R12" s="299"/>
      <c r="S12" s="299"/>
      <c r="T12" s="299"/>
      <c r="U12" s="299"/>
      <c r="V12" s="310"/>
      <c r="W12" s="360"/>
      <c r="X12" s="357"/>
      <c r="Y12" s="357"/>
      <c r="Z12" s="358"/>
      <c r="AJ12" s="236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</row>
    <row r="13" spans="1:65" ht="32.1" customHeight="1" thickBot="1">
      <c r="A13" s="354"/>
      <c r="B13" s="354"/>
      <c r="C13" s="354"/>
      <c r="D13" s="354"/>
      <c r="E13" s="354"/>
      <c r="F13" s="354"/>
      <c r="G13" s="354"/>
      <c r="H13" s="354"/>
      <c r="I13" s="354"/>
      <c r="J13" s="354"/>
      <c r="K13" s="336">
        <v>2</v>
      </c>
      <c r="L13" s="337"/>
      <c r="M13" s="301"/>
      <c r="N13" s="302"/>
      <c r="O13" s="302"/>
      <c r="P13" s="302"/>
      <c r="Q13" s="302"/>
      <c r="R13" s="302"/>
      <c r="S13" s="302"/>
      <c r="T13" s="302"/>
      <c r="U13" s="302"/>
      <c r="V13" s="311"/>
      <c r="W13" s="359"/>
      <c r="X13" s="355"/>
      <c r="Y13" s="355"/>
      <c r="Z13" s="356"/>
      <c r="AJ13" s="236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</row>
    <row r="14" spans="1:65" ht="32.1" customHeight="1">
      <c r="A14" s="350"/>
      <c r="B14" s="351"/>
      <c r="C14" s="351"/>
      <c r="D14" s="352"/>
      <c r="E14" s="352"/>
      <c r="F14" s="353"/>
      <c r="G14" s="353"/>
      <c r="H14" s="342"/>
      <c r="I14" s="342"/>
      <c r="J14" s="342"/>
      <c r="K14" s="334">
        <v>1</v>
      </c>
      <c r="L14" s="335"/>
      <c r="M14" s="304"/>
      <c r="N14" s="305"/>
      <c r="O14" s="305"/>
      <c r="P14" s="305"/>
      <c r="Q14" s="305"/>
      <c r="R14" s="305"/>
      <c r="S14" s="305"/>
      <c r="T14" s="305"/>
      <c r="U14" s="305"/>
      <c r="V14" s="306"/>
      <c r="W14" s="349"/>
      <c r="X14" s="357"/>
      <c r="Y14" s="357"/>
      <c r="Z14" s="358"/>
      <c r="AJ14" s="236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</row>
    <row r="15" spans="1:65" ht="32.1" customHeight="1" thickBot="1">
      <c r="A15" s="354"/>
      <c r="B15" s="354"/>
      <c r="C15" s="354"/>
      <c r="D15" s="354"/>
      <c r="E15" s="354"/>
      <c r="F15" s="354"/>
      <c r="G15" s="354"/>
      <c r="H15" s="354"/>
      <c r="I15" s="354"/>
      <c r="J15" s="354"/>
      <c r="K15" s="338">
        <v>2</v>
      </c>
      <c r="L15" s="339"/>
      <c r="M15" s="307"/>
      <c r="N15" s="308"/>
      <c r="O15" s="308"/>
      <c r="P15" s="308"/>
      <c r="Q15" s="308"/>
      <c r="R15" s="308"/>
      <c r="S15" s="308"/>
      <c r="T15" s="308"/>
      <c r="U15" s="308"/>
      <c r="V15" s="309"/>
      <c r="W15" s="359"/>
      <c r="X15" s="355"/>
      <c r="Y15" s="355"/>
      <c r="Z15" s="356"/>
      <c r="AJ15" s="236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</row>
    <row r="16" spans="1:65" ht="32.1" customHeight="1">
      <c r="A16" s="350"/>
      <c r="B16" s="351"/>
      <c r="C16" s="351"/>
      <c r="D16" s="352"/>
      <c r="E16" s="352"/>
      <c r="F16" s="353"/>
      <c r="G16" s="353"/>
      <c r="H16" s="342"/>
      <c r="I16" s="342"/>
      <c r="J16" s="342"/>
      <c r="K16" s="340">
        <v>1</v>
      </c>
      <c r="L16" s="341"/>
      <c r="M16" s="298"/>
      <c r="N16" s="299"/>
      <c r="O16" s="299"/>
      <c r="P16" s="299"/>
      <c r="Q16" s="299"/>
      <c r="R16" s="299"/>
      <c r="S16" s="299"/>
      <c r="T16" s="299"/>
      <c r="U16" s="299"/>
      <c r="V16" s="310"/>
      <c r="W16" s="360"/>
      <c r="X16" s="357"/>
      <c r="Y16" s="357"/>
      <c r="Z16" s="358"/>
      <c r="AJ16" s="236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</row>
    <row r="17" spans="1:65" ht="32.1" customHeight="1" thickBot="1">
      <c r="A17" s="354"/>
      <c r="B17" s="354"/>
      <c r="C17" s="354"/>
      <c r="D17" s="354"/>
      <c r="E17" s="354"/>
      <c r="F17" s="354"/>
      <c r="G17" s="354"/>
      <c r="H17" s="354"/>
      <c r="I17" s="354"/>
      <c r="J17" s="354"/>
      <c r="K17" s="336">
        <v>2</v>
      </c>
      <c r="L17" s="337"/>
      <c r="M17" s="301"/>
      <c r="N17" s="302"/>
      <c r="O17" s="302"/>
      <c r="P17" s="302"/>
      <c r="Q17" s="302"/>
      <c r="R17" s="302"/>
      <c r="S17" s="302"/>
      <c r="T17" s="302"/>
      <c r="U17" s="302"/>
      <c r="V17" s="311"/>
      <c r="W17" s="359"/>
      <c r="X17" s="355"/>
      <c r="Y17" s="355"/>
      <c r="Z17" s="356"/>
      <c r="AJ17" s="236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</row>
    <row r="18" spans="1:65" ht="32.1" customHeight="1">
      <c r="A18" s="350"/>
      <c r="B18" s="351"/>
      <c r="C18" s="351"/>
      <c r="D18" s="352"/>
      <c r="E18" s="352"/>
      <c r="F18" s="353"/>
      <c r="G18" s="353"/>
      <c r="H18" s="342"/>
      <c r="I18" s="342"/>
      <c r="J18" s="342"/>
      <c r="K18" s="334">
        <v>1</v>
      </c>
      <c r="L18" s="335"/>
      <c r="M18" s="304"/>
      <c r="N18" s="305"/>
      <c r="O18" s="305"/>
      <c r="P18" s="305"/>
      <c r="Q18" s="305"/>
      <c r="R18" s="305"/>
      <c r="S18" s="305"/>
      <c r="T18" s="305"/>
      <c r="U18" s="305"/>
      <c r="V18" s="306"/>
      <c r="W18" s="349"/>
      <c r="X18" s="357"/>
      <c r="Y18" s="357"/>
      <c r="Z18" s="358"/>
      <c r="AJ18" s="236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</row>
    <row r="19" spans="1:65" ht="32.1" customHeight="1" thickBot="1">
      <c r="A19" s="354"/>
      <c r="B19" s="354"/>
      <c r="C19" s="354"/>
      <c r="D19" s="354"/>
      <c r="E19" s="354"/>
      <c r="F19" s="354"/>
      <c r="G19" s="354"/>
      <c r="H19" s="354"/>
      <c r="I19" s="354"/>
      <c r="J19" s="354"/>
      <c r="K19" s="338">
        <v>2</v>
      </c>
      <c r="L19" s="339"/>
      <c r="M19" s="307"/>
      <c r="N19" s="308"/>
      <c r="O19" s="308"/>
      <c r="P19" s="308"/>
      <c r="Q19" s="308"/>
      <c r="R19" s="308"/>
      <c r="S19" s="308"/>
      <c r="T19" s="308"/>
      <c r="U19" s="308"/>
      <c r="V19" s="309"/>
      <c r="W19" s="359"/>
      <c r="X19" s="355"/>
      <c r="Y19" s="355"/>
      <c r="Z19" s="356"/>
      <c r="AJ19" s="236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</row>
    <row r="20" spans="1:65" ht="15.75">
      <c r="A20" s="291"/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1"/>
      <c r="X20" s="291"/>
      <c r="Y20" s="291"/>
      <c r="Z20" s="291"/>
    </row>
    <row r="21" spans="1:65" ht="16.5" thickBot="1">
      <c r="A21" s="291"/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1"/>
      <c r="X21" s="291"/>
      <c r="Y21" s="291"/>
      <c r="Z21" s="291"/>
    </row>
    <row r="22" spans="1:65" ht="24" customHeight="1" thickBot="1">
      <c r="A22" s="291"/>
      <c r="B22" s="291"/>
      <c r="C22" s="424" t="s">
        <v>267</v>
      </c>
      <c r="D22" s="425"/>
      <c r="E22" s="425"/>
      <c r="F22" s="425"/>
      <c r="G22" s="425"/>
      <c r="H22" s="425"/>
      <c r="I22" s="425"/>
      <c r="J22" s="425"/>
      <c r="K22" s="425"/>
      <c r="L22" s="425"/>
      <c r="M22" s="426"/>
      <c r="N22" s="426"/>
      <c r="O22" s="427"/>
      <c r="P22" s="292"/>
      <c r="Q22" s="292"/>
      <c r="R22" s="292"/>
      <c r="S22" s="292"/>
      <c r="T22" s="292"/>
      <c r="U22" s="292"/>
      <c r="V22" s="292"/>
      <c r="W22" s="291"/>
      <c r="X22" s="291"/>
      <c r="Y22" s="291"/>
      <c r="Z22" s="291"/>
    </row>
    <row r="23" spans="1:65" ht="24" customHeight="1" thickBot="1">
      <c r="A23" s="291"/>
      <c r="B23" s="291"/>
      <c r="C23" s="423" t="s">
        <v>206</v>
      </c>
      <c r="D23" s="428" t="s">
        <v>272</v>
      </c>
      <c r="E23" s="429"/>
      <c r="F23" s="429"/>
      <c r="G23" s="429"/>
      <c r="H23" s="429"/>
      <c r="I23" s="429"/>
      <c r="J23" s="429"/>
      <c r="K23" s="429"/>
      <c r="L23" s="429"/>
      <c r="M23" s="321" t="s">
        <v>294</v>
      </c>
      <c r="N23" s="322" t="s">
        <v>295</v>
      </c>
      <c r="O23" s="327" t="s">
        <v>311</v>
      </c>
      <c r="P23" s="292"/>
      <c r="Q23" s="292"/>
      <c r="R23" s="292"/>
      <c r="S23" s="292"/>
      <c r="T23" s="292"/>
      <c r="U23" s="292"/>
      <c r="V23" s="292"/>
      <c r="W23" s="291"/>
      <c r="X23" s="291"/>
      <c r="Y23" s="291"/>
      <c r="Z23" s="291"/>
    </row>
    <row r="24" spans="1:65" ht="101.25" customHeight="1" thickBot="1">
      <c r="A24" s="291"/>
      <c r="B24" s="291"/>
      <c r="C24" s="423"/>
      <c r="D24" s="315" t="s">
        <v>302</v>
      </c>
      <c r="E24" s="316" t="s">
        <v>303</v>
      </c>
      <c r="F24" s="325" t="s">
        <v>304</v>
      </c>
      <c r="G24" s="325" t="s">
        <v>305</v>
      </c>
      <c r="H24" s="325" t="s">
        <v>306</v>
      </c>
      <c r="I24" s="325" t="s">
        <v>307</v>
      </c>
      <c r="J24" s="325" t="s">
        <v>308</v>
      </c>
      <c r="K24" s="325" t="s">
        <v>310</v>
      </c>
      <c r="L24" s="326" t="s">
        <v>309</v>
      </c>
      <c r="M24" s="317"/>
      <c r="N24" s="318"/>
      <c r="O24" s="319"/>
      <c r="P24" s="292"/>
      <c r="Q24" s="292"/>
      <c r="R24" s="292"/>
      <c r="S24" s="292"/>
      <c r="T24" s="292"/>
      <c r="U24" s="292"/>
      <c r="V24" s="292"/>
      <c r="W24" s="291"/>
      <c r="X24" s="291"/>
      <c r="Y24" s="291"/>
      <c r="Z24" s="291"/>
    </row>
    <row r="25" spans="1:65" ht="32.1" customHeight="1" thickBot="1">
      <c r="A25" s="291"/>
      <c r="B25" s="291"/>
      <c r="C25" s="320"/>
      <c r="D25" s="321"/>
      <c r="E25" s="322"/>
      <c r="F25" s="322"/>
      <c r="G25" s="323"/>
      <c r="H25" s="323"/>
      <c r="I25" s="323"/>
      <c r="J25" s="323"/>
      <c r="K25" s="323"/>
      <c r="L25" s="324"/>
      <c r="M25" s="312"/>
      <c r="N25" s="313"/>
      <c r="O25" s="314"/>
      <c r="P25" s="292"/>
      <c r="Q25" s="292"/>
      <c r="R25" s="292"/>
      <c r="S25" s="292"/>
      <c r="T25" s="292"/>
      <c r="U25" s="292"/>
      <c r="V25" s="292"/>
      <c r="W25" s="291"/>
      <c r="X25" s="291"/>
      <c r="Y25" s="291"/>
      <c r="Z25" s="291"/>
    </row>
    <row r="26" spans="1:65" ht="32.1" customHeight="1" thickBot="1">
      <c r="A26" s="291"/>
      <c r="B26" s="291"/>
      <c r="C26" s="321"/>
      <c r="D26" s="321"/>
      <c r="E26" s="322"/>
      <c r="F26" s="322"/>
      <c r="G26" s="323"/>
      <c r="H26" s="323"/>
      <c r="I26" s="323"/>
      <c r="J26" s="323"/>
      <c r="K26" s="323"/>
      <c r="L26" s="324"/>
      <c r="M26" s="312"/>
      <c r="N26" s="313"/>
      <c r="O26" s="314"/>
      <c r="P26" s="292"/>
      <c r="Q26" s="292"/>
      <c r="R26" s="292"/>
      <c r="S26" s="292"/>
      <c r="T26" s="292"/>
      <c r="U26" s="292"/>
      <c r="V26" s="292"/>
      <c r="W26" s="291"/>
      <c r="X26" s="291"/>
      <c r="Y26" s="291"/>
      <c r="Z26" s="291"/>
    </row>
    <row r="27" spans="1:65" ht="32.1" customHeight="1" thickBot="1">
      <c r="A27" s="291"/>
      <c r="B27" s="291"/>
      <c r="C27" s="321"/>
      <c r="D27" s="321"/>
      <c r="E27" s="322"/>
      <c r="F27" s="322"/>
      <c r="G27" s="323"/>
      <c r="H27" s="323"/>
      <c r="I27" s="323"/>
      <c r="J27" s="323"/>
      <c r="K27" s="323"/>
      <c r="L27" s="324"/>
      <c r="M27" s="312"/>
      <c r="N27" s="313"/>
      <c r="O27" s="314"/>
      <c r="P27" s="292"/>
      <c r="Q27" s="292"/>
      <c r="R27" s="292"/>
      <c r="S27" s="292"/>
      <c r="T27" s="292"/>
      <c r="U27" s="292"/>
      <c r="V27" s="292"/>
      <c r="W27" s="291"/>
      <c r="X27" s="291"/>
      <c r="Y27" s="291"/>
      <c r="Z27" s="291"/>
    </row>
    <row r="28" spans="1:65" ht="32.1" customHeight="1" thickBot="1">
      <c r="A28" s="291"/>
      <c r="B28" s="291"/>
      <c r="C28" s="321"/>
      <c r="D28" s="321"/>
      <c r="E28" s="322"/>
      <c r="F28" s="322"/>
      <c r="G28" s="323"/>
      <c r="H28" s="323"/>
      <c r="I28" s="323"/>
      <c r="J28" s="323"/>
      <c r="K28" s="323"/>
      <c r="L28" s="324"/>
      <c r="M28" s="312"/>
      <c r="N28" s="313"/>
      <c r="O28" s="314"/>
      <c r="P28" s="292"/>
      <c r="Q28" s="292"/>
      <c r="R28" s="292"/>
      <c r="S28" s="292"/>
      <c r="T28" s="292"/>
      <c r="U28" s="292"/>
      <c r="V28" s="292"/>
      <c r="W28" s="291"/>
      <c r="X28" s="291"/>
      <c r="Y28" s="291"/>
      <c r="Z28" s="291"/>
    </row>
    <row r="29" spans="1:65" ht="32.1" customHeight="1" thickBot="1">
      <c r="A29" s="291"/>
      <c r="B29" s="291"/>
      <c r="C29" s="321"/>
      <c r="D29" s="321"/>
      <c r="E29" s="322"/>
      <c r="F29" s="322"/>
      <c r="G29" s="323"/>
      <c r="H29" s="323"/>
      <c r="I29" s="323"/>
      <c r="J29" s="323"/>
      <c r="K29" s="323"/>
      <c r="L29" s="324"/>
      <c r="M29" s="312"/>
      <c r="N29" s="313"/>
      <c r="O29" s="314"/>
      <c r="P29" s="292"/>
      <c r="Q29" s="292"/>
      <c r="R29" s="292"/>
      <c r="S29" s="292"/>
      <c r="T29" s="292"/>
      <c r="U29" s="292"/>
      <c r="V29" s="292"/>
      <c r="W29" s="291"/>
      <c r="X29" s="291"/>
      <c r="Y29" s="291"/>
      <c r="Z29" s="291"/>
    </row>
    <row r="30" spans="1:65" ht="32.1" customHeight="1">
      <c r="A30" s="291"/>
      <c r="B30" s="291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1"/>
      <c r="X30" s="291"/>
      <c r="Y30" s="291"/>
      <c r="Z30" s="291"/>
    </row>
    <row r="31" spans="1:65" ht="32.1" customHeight="1">
      <c r="A31" s="291"/>
      <c r="B31" s="291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1"/>
      <c r="X31" s="291"/>
      <c r="Y31" s="291"/>
      <c r="Z31" s="291"/>
    </row>
    <row r="32" spans="1:65" ht="32.1" customHeight="1">
      <c r="A32" s="291"/>
      <c r="B32" s="291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1"/>
      <c r="X32" s="291"/>
      <c r="Y32" s="291"/>
      <c r="Z32" s="291"/>
    </row>
  </sheetData>
  <mergeCells count="7">
    <mergeCell ref="W2:Z2"/>
    <mergeCell ref="W4:W5"/>
    <mergeCell ref="C23:C24"/>
    <mergeCell ref="C22:O22"/>
    <mergeCell ref="D23:L23"/>
    <mergeCell ref="M2:V2"/>
    <mergeCell ref="A2:L2"/>
  </mergeCells>
  <pageMargins left="0.7" right="0.7" top="0.75" bottom="0.75" header="0.3" footer="0.3"/>
  <pageSetup paperSize="3" scale="57" orientation="landscape" r:id="rId1"/>
  <colBreaks count="1" manualBreakCount="1">
    <brk id="3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0.79998168889431442"/>
  </sheetPr>
  <dimension ref="B1:AK71"/>
  <sheetViews>
    <sheetView workbookViewId="0"/>
  </sheetViews>
  <sheetFormatPr defaultRowHeight="15"/>
  <cols>
    <col min="2" max="2" width="24" bestFit="1" customWidth="1"/>
    <col min="3" max="3" width="14.42578125" bestFit="1" customWidth="1"/>
    <col min="4" max="4" width="6.85546875" bestFit="1" customWidth="1"/>
    <col min="5" max="5" width="12.85546875" bestFit="1" customWidth="1"/>
    <col min="6" max="6" width="13.42578125" bestFit="1" customWidth="1"/>
    <col min="10" max="10" width="9.140625" style="3"/>
    <col min="12" max="12" width="14.140625" bestFit="1" customWidth="1"/>
    <col min="15" max="15" width="12.85546875" bestFit="1" customWidth="1"/>
    <col min="16" max="16" width="13.42578125" bestFit="1" customWidth="1"/>
    <col min="20" max="20" width="9.140625" style="3"/>
    <col min="21" max="21" width="14" style="3" bestFit="1" customWidth="1"/>
    <col min="22" max="23" width="9.140625" style="3"/>
    <col min="24" max="24" width="13.42578125" style="3" bestFit="1" customWidth="1"/>
    <col min="25" max="28" width="9.140625" style="3"/>
    <col min="29" max="29" width="7.42578125" bestFit="1" customWidth="1"/>
    <col min="30" max="30" width="7.42578125" style="3" customWidth="1"/>
    <col min="32" max="32" width="12" bestFit="1" customWidth="1"/>
    <col min="34" max="34" width="12" bestFit="1" customWidth="1"/>
  </cols>
  <sheetData>
    <row r="1" spans="2:37" ht="15.75" thickBot="1">
      <c r="AF1" s="98" t="s">
        <v>23</v>
      </c>
    </row>
    <row r="2" spans="2:37" ht="15.75" thickBot="1">
      <c r="AF2" s="170" t="s">
        <v>20</v>
      </c>
      <c r="AG2" s="99" t="s">
        <v>26</v>
      </c>
      <c r="AH2" s="100"/>
    </row>
    <row r="3" spans="2:37">
      <c r="B3" s="101" t="s">
        <v>33</v>
      </c>
      <c r="C3" s="163" t="s">
        <v>8</v>
      </c>
      <c r="D3" s="163" t="s">
        <v>9</v>
      </c>
      <c r="E3" s="163" t="s">
        <v>10</v>
      </c>
      <c r="F3" s="163" t="s">
        <v>11</v>
      </c>
      <c r="G3" s="163" t="s">
        <v>12</v>
      </c>
      <c r="H3" s="163" t="s">
        <v>13</v>
      </c>
      <c r="I3" s="163" t="s">
        <v>22</v>
      </c>
      <c r="J3" s="164" t="s">
        <v>60</v>
      </c>
      <c r="L3" s="101" t="s">
        <v>175</v>
      </c>
      <c r="M3" s="163" t="s">
        <v>8</v>
      </c>
      <c r="N3" s="163" t="s">
        <v>9</v>
      </c>
      <c r="O3" s="163" t="s">
        <v>10</v>
      </c>
      <c r="P3" s="163" t="s">
        <v>11</v>
      </c>
      <c r="Q3" s="163" t="s">
        <v>12</v>
      </c>
      <c r="R3" s="163" t="s">
        <v>13</v>
      </c>
      <c r="S3" s="163" t="s">
        <v>22</v>
      </c>
      <c r="T3" s="164" t="s">
        <v>60</v>
      </c>
      <c r="U3" s="195" t="s">
        <v>188</v>
      </c>
      <c r="V3" s="163" t="s">
        <v>8</v>
      </c>
      <c r="W3" s="163" t="s">
        <v>9</v>
      </c>
      <c r="X3" s="163" t="s">
        <v>10</v>
      </c>
      <c r="Y3" s="163" t="s">
        <v>11</v>
      </c>
      <c r="Z3" s="163" t="s">
        <v>12</v>
      </c>
      <c r="AA3" s="163" t="s">
        <v>13</v>
      </c>
      <c r="AB3" s="163" t="s">
        <v>22</v>
      </c>
      <c r="AC3" s="164" t="s">
        <v>60</v>
      </c>
      <c r="AD3" s="110"/>
      <c r="AF3" s="69">
        <v>30</v>
      </c>
      <c r="AG3" s="70">
        <v>130</v>
      </c>
      <c r="AH3" s="71" t="s">
        <v>27</v>
      </c>
    </row>
    <row r="4" spans="2:37">
      <c r="B4" s="103" t="s">
        <v>37</v>
      </c>
      <c r="C4" s="165">
        <f>C5+6*2</f>
        <v>26</v>
      </c>
      <c r="D4" s="165">
        <f>D5+6*2</f>
        <v>54</v>
      </c>
      <c r="E4" s="165">
        <f t="shared" ref="E4:F7" si="0">C4/2</f>
        <v>13</v>
      </c>
      <c r="F4" s="165">
        <f t="shared" si="0"/>
        <v>27</v>
      </c>
      <c r="G4" s="165">
        <f>IF(AND(Dimensions!C43=1,Dimensions!C39=2),-E6/12,IF(AND(Dimensions!C43=1,Dimensions!C39=1),-E4/12,IF(AND(Dimensions!C43=2,Dimensions!C39=2),-E7/12,IF(AND(Dimensions!C43=2,Dimensions!C39=1),-E5/12))))</f>
        <v>-1.0833333333333333</v>
      </c>
      <c r="H4" s="165">
        <f>IF(AND(Dimensions!C43=1,Dimensions!C39=2),-F6/12,IF(AND(Dimensions!C43=1,Dimensions!C39=1),-F4/12,IF(AND(Dimensions!C43=2,Dimensions!C39=2),-F7/12,IF(AND(Dimensions!C43=2,Dimensions!C39=1),-F5/12))))</f>
        <v>-2.25</v>
      </c>
      <c r="I4" s="165">
        <f>(IF(Dimensions!C43=1,C4*D4,C5*D5))/144</f>
        <v>9.75</v>
      </c>
      <c r="J4" s="104">
        <v>50</v>
      </c>
      <c r="L4" s="109"/>
      <c r="M4" s="23">
        <f>Arm1Design!$D$8</f>
        <v>24</v>
      </c>
      <c r="N4" s="23">
        <f>Arm1Design!$D$9</f>
        <v>36</v>
      </c>
      <c r="O4" s="110">
        <f>M4/2</f>
        <v>12</v>
      </c>
      <c r="P4" s="110">
        <f>N4/2</f>
        <v>18</v>
      </c>
      <c r="Q4" s="110">
        <f>-O4/12</f>
        <v>-1</v>
      </c>
      <c r="R4" s="110">
        <f>-P4/12</f>
        <v>-1.5</v>
      </c>
      <c r="S4" s="110">
        <f>(M4*N4)/144</f>
        <v>6</v>
      </c>
      <c r="T4" s="111">
        <f>4*S4</f>
        <v>24</v>
      </c>
      <c r="U4" s="196"/>
      <c r="V4" s="23">
        <f>Arm2Design!$D$8</f>
        <v>24</v>
      </c>
      <c r="W4" s="23">
        <f>Arm2Design!$D$9</f>
        <v>36</v>
      </c>
      <c r="X4" s="110">
        <f>V4/2</f>
        <v>12</v>
      </c>
      <c r="Y4" s="110">
        <f>W4/2</f>
        <v>18</v>
      </c>
      <c r="Z4" s="110">
        <f>-X4/12</f>
        <v>-1</v>
      </c>
      <c r="AA4" s="110">
        <f>-Y4/12</f>
        <v>-1.5</v>
      </c>
      <c r="AB4" s="110">
        <f>(V4*W4)/144</f>
        <v>6</v>
      </c>
      <c r="AC4" s="111">
        <f>4*AB4</f>
        <v>24</v>
      </c>
      <c r="AD4" s="110"/>
      <c r="AF4" s="66">
        <f>AF3+10</f>
        <v>40</v>
      </c>
      <c r="AG4" s="65">
        <v>150</v>
      </c>
      <c r="AH4" s="72" t="s">
        <v>27</v>
      </c>
    </row>
    <row r="5" spans="2:37">
      <c r="B5" s="103" t="s">
        <v>36</v>
      </c>
      <c r="C5" s="165">
        <f>14*1</f>
        <v>14</v>
      </c>
      <c r="D5" s="165">
        <f>14*3</f>
        <v>42</v>
      </c>
      <c r="E5" s="165">
        <f t="shared" si="0"/>
        <v>7</v>
      </c>
      <c r="F5" s="165">
        <f t="shared" si="0"/>
        <v>21</v>
      </c>
      <c r="G5" s="165">
        <f>IF(AND(Dimensions!C43=1,Dimensions!C39=2),E6/12,IF(AND(Dimensions!C43=1,Dimensions!C39=1),E4/12,IF(AND(Dimensions!C43=2,Dimensions!C39=2),E7/12,IF(AND(Dimensions!C43=2,Dimensions!C39=1),E5/12))))</f>
        <v>1.0833333333333333</v>
      </c>
      <c r="H5" s="165">
        <f>IF(AND(Dimensions!C43=1,Dimensions!C39=2),-F6/12,IF(AND(Dimensions!C43=1,Dimensions!C39=1),-F4/12,IF(AND(Dimensions!C43=2,Dimensions!C39=2),-F7/12,IF(AND(Dimensions!C43=2,Dimensions!C39=1),-F5/12))))</f>
        <v>-2.25</v>
      </c>
      <c r="I5" s="165"/>
      <c r="J5" s="166"/>
      <c r="L5" s="109"/>
      <c r="M5" s="110"/>
      <c r="N5" s="110"/>
      <c r="O5" s="110"/>
      <c r="P5" s="110"/>
      <c r="Q5" s="110">
        <f>O4/12</f>
        <v>1</v>
      </c>
      <c r="R5" s="110">
        <f>-P4/12</f>
        <v>-1.5</v>
      </c>
      <c r="S5" s="110"/>
      <c r="T5" s="111"/>
      <c r="U5" s="196"/>
      <c r="V5" s="110"/>
      <c r="W5" s="110"/>
      <c r="X5" s="110"/>
      <c r="Y5" s="110"/>
      <c r="Z5" s="110">
        <f>X4/12</f>
        <v>1</v>
      </c>
      <c r="AA5" s="110">
        <f>-Y4/12</f>
        <v>-1.5</v>
      </c>
      <c r="AB5" s="110"/>
      <c r="AC5" s="111"/>
      <c r="AD5" s="110"/>
      <c r="AE5" s="3"/>
      <c r="AF5" s="66">
        <f>AF4+10</f>
        <v>50</v>
      </c>
      <c r="AG5" s="65">
        <v>170</v>
      </c>
      <c r="AH5" s="72" t="s">
        <v>27</v>
      </c>
    </row>
    <row r="6" spans="2:37">
      <c r="B6" s="103" t="s">
        <v>34</v>
      </c>
      <c r="C6" s="165">
        <f>C7+6*2</f>
        <v>54</v>
      </c>
      <c r="D6" s="165">
        <f>D7+6*2</f>
        <v>26</v>
      </c>
      <c r="E6" s="165">
        <f t="shared" si="0"/>
        <v>27</v>
      </c>
      <c r="F6" s="165">
        <f t="shared" si="0"/>
        <v>13</v>
      </c>
      <c r="G6" s="165">
        <f>IF(AND(Dimensions!C43=1,Dimensions!C39=2),E6/12,IF(AND(Dimensions!C43=1,Dimensions!C39=1),E4/12,IF(AND(Dimensions!C43=2,Dimensions!C39=2),E7/12,IF(AND(Dimensions!C43=2,Dimensions!C39=1),E5/12))))</f>
        <v>1.0833333333333333</v>
      </c>
      <c r="H6" s="165">
        <f>IF(AND(Dimensions!C43=1,Dimensions!C39=2),F6/12,IF(AND(Dimensions!C43=1,Dimensions!C39=1),F4/12,IF(AND(Dimensions!C43=2,Dimensions!C39=2),F7/12,IF(AND(Dimensions!C43=2,Dimensions!C39=1),F5/12))))</f>
        <v>2.25</v>
      </c>
      <c r="I6" s="165"/>
      <c r="J6" s="166"/>
      <c r="L6" s="109"/>
      <c r="M6" s="110"/>
      <c r="N6" s="110"/>
      <c r="O6" s="110"/>
      <c r="P6" s="110"/>
      <c r="Q6" s="110">
        <f>O4/12</f>
        <v>1</v>
      </c>
      <c r="R6" s="110">
        <f>P4/12</f>
        <v>1.5</v>
      </c>
      <c r="S6" s="110"/>
      <c r="T6" s="111"/>
      <c r="U6" s="196"/>
      <c r="V6" s="110"/>
      <c r="W6" s="110"/>
      <c r="X6" s="110"/>
      <c r="Y6" s="110"/>
      <c r="Z6" s="110">
        <f>X4/12</f>
        <v>1</v>
      </c>
      <c r="AA6" s="110">
        <f>Y4/12</f>
        <v>1.5</v>
      </c>
      <c r="AB6" s="110"/>
      <c r="AC6" s="111"/>
      <c r="AD6" s="110"/>
      <c r="AE6" s="3"/>
      <c r="AF6" s="66">
        <f>AF5+10</f>
        <v>60</v>
      </c>
      <c r="AG6" s="65"/>
      <c r="AH6" s="72"/>
    </row>
    <row r="7" spans="2:37">
      <c r="B7" s="103" t="s">
        <v>35</v>
      </c>
      <c r="C7" s="165">
        <f>14*3</f>
        <v>42</v>
      </c>
      <c r="D7" s="165">
        <f>14*1</f>
        <v>14</v>
      </c>
      <c r="E7" s="165">
        <f t="shared" si="0"/>
        <v>21</v>
      </c>
      <c r="F7" s="165">
        <f t="shared" si="0"/>
        <v>7</v>
      </c>
      <c r="G7" s="165">
        <f>IF(AND(Dimensions!C43=1,Dimensions!C39=2),-E6/12,IF(AND(Dimensions!C43=1,Dimensions!C39=1),-E4/12,IF(AND(Dimensions!C43=2,Dimensions!C39=2),-E7/12,IF(AND(Dimensions!C43=2,Dimensions!C39=1),-E5/12))))</f>
        <v>-1.0833333333333333</v>
      </c>
      <c r="H7" s="165">
        <f>IF(AND(Dimensions!C43=1,Dimensions!C39=2),F6/12,IF(AND(Dimensions!C43=1,Dimensions!C39=1),F4/12,IF(AND(Dimensions!C43=2,Dimensions!C39=2),F7/12,IF(AND(Dimensions!C43=2,Dimensions!C39=1),F5/12))))</f>
        <v>2.25</v>
      </c>
      <c r="I7" s="165"/>
      <c r="J7" s="166"/>
      <c r="L7" s="109"/>
      <c r="M7" s="110"/>
      <c r="N7" s="110"/>
      <c r="O7" s="110"/>
      <c r="P7" s="110"/>
      <c r="Q7" s="110">
        <f>-O4/12</f>
        <v>-1</v>
      </c>
      <c r="R7" s="110">
        <f>P4/12</f>
        <v>1.5</v>
      </c>
      <c r="S7" s="110"/>
      <c r="T7" s="111"/>
      <c r="U7" s="196"/>
      <c r="V7" s="110"/>
      <c r="W7" s="110"/>
      <c r="X7" s="110"/>
      <c r="Y7" s="110"/>
      <c r="Z7" s="110">
        <f>-X4/12</f>
        <v>-1</v>
      </c>
      <c r="AA7" s="110">
        <f>Y4/12</f>
        <v>1.5</v>
      </c>
      <c r="AB7" s="110"/>
      <c r="AC7" s="111"/>
      <c r="AD7" s="110"/>
      <c r="AE7" s="3"/>
      <c r="AF7" s="66">
        <f>AF6+10</f>
        <v>70</v>
      </c>
      <c r="AG7" s="65"/>
      <c r="AH7" s="72"/>
    </row>
    <row r="8" spans="2:37" ht="15.75" thickBot="1">
      <c r="B8" s="108"/>
      <c r="C8" s="167"/>
      <c r="D8" s="167"/>
      <c r="E8" s="167"/>
      <c r="F8" s="167"/>
      <c r="G8" s="167">
        <f>IF(AND(Dimensions!C43=1,Dimensions!C39=2),-E6/12,IF(AND(Dimensions!C43=1,Dimensions!C39=1),-E4/12,IF(AND(Dimensions!C43=2,Dimensions!C39=2),-E7/12,IF(AND(Dimensions!C43=2,Dimensions!C39=1),-E5/12))))</f>
        <v>-1.0833333333333333</v>
      </c>
      <c r="H8" s="167">
        <f>IF(AND(Dimensions!C43=1,Dimensions!C39=2),-F6/12,IF(AND(Dimensions!C43=1,Dimensions!C39=1),-F4/12,IF(AND(Dimensions!C43=2,Dimensions!C39=2),-F7/12,IF(AND(Dimensions!C43=2,Dimensions!C39=1),-F5/12))))</f>
        <v>-2.25</v>
      </c>
      <c r="I8" s="167"/>
      <c r="J8" s="168"/>
      <c r="L8" s="108"/>
      <c r="M8" s="112"/>
      <c r="N8" s="112"/>
      <c r="O8" s="112"/>
      <c r="P8" s="112"/>
      <c r="Q8" s="112">
        <f>-O4/12</f>
        <v>-1</v>
      </c>
      <c r="R8" s="112">
        <f>-P4/12</f>
        <v>-1.5</v>
      </c>
      <c r="S8" s="112"/>
      <c r="T8" s="113"/>
      <c r="U8" s="197"/>
      <c r="V8" s="112"/>
      <c r="W8" s="112"/>
      <c r="X8" s="112"/>
      <c r="Y8" s="112"/>
      <c r="Z8" s="112">
        <f>-X4/12</f>
        <v>-1</v>
      </c>
      <c r="AA8" s="112">
        <f>-Y4/12</f>
        <v>-1.5</v>
      </c>
      <c r="AB8" s="112"/>
      <c r="AC8" s="113"/>
      <c r="AD8" s="110"/>
      <c r="AE8" s="3"/>
      <c r="AF8" s="67">
        <f>AF7+8</f>
        <v>78</v>
      </c>
      <c r="AG8" s="68"/>
      <c r="AH8" s="73"/>
    </row>
    <row r="9" spans="2:37" ht="15.75" thickBot="1">
      <c r="C9" s="5"/>
      <c r="D9" s="5"/>
      <c r="E9" s="5"/>
      <c r="F9" s="5"/>
      <c r="G9" s="5"/>
      <c r="H9" s="5"/>
      <c r="I9" s="5"/>
      <c r="J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G9" s="3"/>
    </row>
    <row r="10" spans="2:37">
      <c r="B10" s="101" t="s">
        <v>38</v>
      </c>
      <c r="C10" s="163" t="s">
        <v>8</v>
      </c>
      <c r="D10" s="163" t="s">
        <v>9</v>
      </c>
      <c r="E10" s="163" t="s">
        <v>10</v>
      </c>
      <c r="F10" s="163" t="s">
        <v>11</v>
      </c>
      <c r="G10" s="163" t="s">
        <v>12</v>
      </c>
      <c r="H10" s="163" t="s">
        <v>13</v>
      </c>
      <c r="I10" s="163" t="s">
        <v>22</v>
      </c>
      <c r="J10" s="164" t="s">
        <v>60</v>
      </c>
      <c r="L10" s="101" t="s">
        <v>176</v>
      </c>
      <c r="M10" s="163" t="s">
        <v>8</v>
      </c>
      <c r="N10" s="163" t="s">
        <v>9</v>
      </c>
      <c r="O10" s="163" t="s">
        <v>10</v>
      </c>
      <c r="P10" s="163" t="s">
        <v>11</v>
      </c>
      <c r="Q10" s="163" t="s">
        <v>12</v>
      </c>
      <c r="R10" s="163" t="s">
        <v>13</v>
      </c>
      <c r="S10" s="163" t="s">
        <v>22</v>
      </c>
      <c r="T10" s="164" t="s">
        <v>60</v>
      </c>
      <c r="U10" s="101" t="s">
        <v>189</v>
      </c>
      <c r="V10" s="163" t="s">
        <v>8</v>
      </c>
      <c r="W10" s="163" t="s">
        <v>9</v>
      </c>
      <c r="X10" s="163" t="s">
        <v>10</v>
      </c>
      <c r="Y10" s="163" t="s">
        <v>11</v>
      </c>
      <c r="Z10" s="163" t="s">
        <v>12</v>
      </c>
      <c r="AA10" s="163" t="s">
        <v>13</v>
      </c>
      <c r="AB10" s="163" t="s">
        <v>22</v>
      </c>
      <c r="AC10" s="164" t="s">
        <v>60</v>
      </c>
      <c r="AD10" s="110"/>
      <c r="AE10" s="172" t="s">
        <v>120</v>
      </c>
      <c r="AF10" s="153" t="s">
        <v>123</v>
      </c>
      <c r="AG10" s="3"/>
    </row>
    <row r="11" spans="2:37">
      <c r="B11" s="103" t="s">
        <v>37</v>
      </c>
      <c r="C11" s="165">
        <f>C12+6*2</f>
        <v>26</v>
      </c>
      <c r="D11" s="165">
        <f>D12+6*2</f>
        <v>68</v>
      </c>
      <c r="E11" s="165">
        <f t="shared" ref="E11:F14" si="1">C11/2</f>
        <v>13</v>
      </c>
      <c r="F11" s="165">
        <f t="shared" si="1"/>
        <v>34</v>
      </c>
      <c r="G11" s="165">
        <f>IF(AND(Dimensions!C43=1,Dimensions!C39=2),-E13/12,IF(AND(Dimensions!C43=1,Dimensions!C39=1),-E11/12,IF(AND(Dimensions!C43=2,Dimensions!C39=2),-E14/12,IF(AND(Dimensions!C43=2,Dimensions!C39=1),-E12/12))))</f>
        <v>-1.0833333333333333</v>
      </c>
      <c r="H11" s="165">
        <f>IF(AND(Dimensions!C43=1,Dimensions!C39=2),-F13/12,IF(AND(Dimensions!C43=1,Dimensions!C39=1),-F11/12,IF(AND(Dimensions!C43=2,Dimensions!C39=2),-F14/12,IF(AND(Dimensions!C43=2,Dimensions!C39=1),-F12/12))))</f>
        <v>-2.8333333333333335</v>
      </c>
      <c r="I11" s="165">
        <f>(IF(Dimensions!C43=1,C11*D11,C12*D12))/144</f>
        <v>12.277777777777779</v>
      </c>
      <c r="J11" s="104">
        <v>65</v>
      </c>
      <c r="L11" s="109"/>
      <c r="M11" s="23">
        <f>Arm1Design!$E$8</f>
        <v>24</v>
      </c>
      <c r="N11" s="23">
        <f>Arm1Design!$E$9</f>
        <v>36</v>
      </c>
      <c r="O11" s="110">
        <f>M11/2</f>
        <v>12</v>
      </c>
      <c r="P11" s="110">
        <f>N11/2</f>
        <v>18</v>
      </c>
      <c r="Q11" s="110">
        <f>-O11/12</f>
        <v>-1</v>
      </c>
      <c r="R11" s="110">
        <f>-P11/12</f>
        <v>-1.5</v>
      </c>
      <c r="S11" s="110">
        <f>(M11*N11)/144</f>
        <v>6</v>
      </c>
      <c r="T11" s="111">
        <f>4*S11</f>
        <v>24</v>
      </c>
      <c r="U11" s="196"/>
      <c r="V11" s="23">
        <f>Arm2Design!$E$8</f>
        <v>24</v>
      </c>
      <c r="W11" s="23">
        <f>Arm2Design!$E$9</f>
        <v>36</v>
      </c>
      <c r="X11" s="110">
        <f>V11/2</f>
        <v>12</v>
      </c>
      <c r="Y11" s="110">
        <f>W11/2</f>
        <v>18</v>
      </c>
      <c r="Z11" s="110">
        <f>-X11/12</f>
        <v>-1</v>
      </c>
      <c r="AA11" s="110">
        <f>-Y11/12</f>
        <v>-1.5</v>
      </c>
      <c r="AB11" s="110">
        <f>(V11*W11)/144</f>
        <v>6</v>
      </c>
      <c r="AC11" s="111">
        <f>4*AB11</f>
        <v>24</v>
      </c>
      <c r="AD11" s="110"/>
      <c r="AE11" s="66">
        <v>1</v>
      </c>
      <c r="AF11" s="72" t="s">
        <v>20</v>
      </c>
      <c r="AG11" s="3"/>
    </row>
    <row r="12" spans="2:37">
      <c r="B12" s="103" t="s">
        <v>36</v>
      </c>
      <c r="C12" s="165">
        <f>14*1</f>
        <v>14</v>
      </c>
      <c r="D12" s="165">
        <f>14*4</f>
        <v>56</v>
      </c>
      <c r="E12" s="165">
        <f t="shared" si="1"/>
        <v>7</v>
      </c>
      <c r="F12" s="165">
        <f t="shared" si="1"/>
        <v>28</v>
      </c>
      <c r="G12" s="165">
        <f>IF(AND(Dimensions!C43=1,Dimensions!C39=2),E13/12,IF(AND(Dimensions!C43=1,Dimensions!C39=1),E11/12,IF(AND(Dimensions!C43=2,Dimensions!C39=2),E14/12,IF(AND(Dimensions!C43=2,Dimensions!C39=1),E12/12))))</f>
        <v>1.0833333333333333</v>
      </c>
      <c r="H12" s="165">
        <f>IF(AND(Dimensions!C43=1,Dimensions!C39=2),-F13/12,IF(AND(Dimensions!C43=1,Dimensions!C39=1),-F11/12,IF(AND(Dimensions!C43=2,Dimensions!C39=2),-F14/12,IF(AND(Dimensions!C43=2,Dimensions!C39=1),-F12/12))))</f>
        <v>-2.8333333333333335</v>
      </c>
      <c r="I12" s="165"/>
      <c r="J12" s="166"/>
      <c r="L12" s="109"/>
      <c r="M12" s="110"/>
      <c r="N12" s="110"/>
      <c r="O12" s="110"/>
      <c r="P12" s="110"/>
      <c r="Q12" s="110">
        <f>O11/12</f>
        <v>1</v>
      </c>
      <c r="R12" s="110">
        <f>-P11/12</f>
        <v>-1.5</v>
      </c>
      <c r="S12" s="110"/>
      <c r="T12" s="111"/>
      <c r="U12" s="196"/>
      <c r="V12" s="110"/>
      <c r="W12" s="110"/>
      <c r="X12" s="110"/>
      <c r="Y12" s="110"/>
      <c r="Z12" s="110">
        <f>X11/12</f>
        <v>1</v>
      </c>
      <c r="AA12" s="110">
        <f>-Y11/12</f>
        <v>-1.5</v>
      </c>
      <c r="AB12" s="110"/>
      <c r="AC12" s="111"/>
      <c r="AD12" s="110"/>
      <c r="AE12" s="66">
        <f>AE11+1</f>
        <v>2</v>
      </c>
      <c r="AF12" s="72" t="s">
        <v>157</v>
      </c>
      <c r="AG12" s="3"/>
    </row>
    <row r="13" spans="2:37">
      <c r="B13" s="103" t="s">
        <v>34</v>
      </c>
      <c r="C13" s="165">
        <f>C14+6*2</f>
        <v>68</v>
      </c>
      <c r="D13" s="165">
        <f>D14+6*2</f>
        <v>26</v>
      </c>
      <c r="E13" s="165">
        <f t="shared" si="1"/>
        <v>34</v>
      </c>
      <c r="F13" s="165">
        <f t="shared" si="1"/>
        <v>13</v>
      </c>
      <c r="G13" s="165">
        <f>IF(AND(Dimensions!C43=1,Dimensions!C39=2),E13/12,IF(AND(Dimensions!C43=1,Dimensions!C39=1),E11/12,IF(AND(Dimensions!C43=2,Dimensions!C39=2),E14/12,IF(AND(Dimensions!C43=2,Dimensions!C39=1),E12/12))))</f>
        <v>1.0833333333333333</v>
      </c>
      <c r="H13" s="165">
        <f>IF(AND(Dimensions!C43=1,Dimensions!C39=2),F13/12,IF(AND(Dimensions!C43=1,Dimensions!C39=1),F11/12,IF(AND(Dimensions!C43=2,Dimensions!C39=2),F14/12,IF(AND(Dimensions!C43=2,Dimensions!C39=1),F12/12))))</f>
        <v>2.8333333333333335</v>
      </c>
      <c r="I13" s="165"/>
      <c r="J13" s="166"/>
      <c r="L13" s="109"/>
      <c r="M13" s="110"/>
      <c r="N13" s="110"/>
      <c r="O13" s="110"/>
      <c r="P13" s="110"/>
      <c r="Q13" s="110">
        <f>O11/12</f>
        <v>1</v>
      </c>
      <c r="R13" s="110">
        <f>P11/12</f>
        <v>1.5</v>
      </c>
      <c r="S13" s="110"/>
      <c r="T13" s="111"/>
      <c r="U13" s="196"/>
      <c r="V13" s="110"/>
      <c r="W13" s="110"/>
      <c r="X13" s="110"/>
      <c r="Y13" s="110"/>
      <c r="Z13" s="110">
        <f>X11/12</f>
        <v>1</v>
      </c>
      <c r="AA13" s="110">
        <f>Y11/12</f>
        <v>1.5</v>
      </c>
      <c r="AB13" s="110"/>
      <c r="AC13" s="111"/>
      <c r="AD13" s="110"/>
      <c r="AE13" s="66">
        <f t="shared" ref="AE13:AE23" si="2">AE12+1</f>
        <v>3</v>
      </c>
      <c r="AF13" s="72" t="s">
        <v>138</v>
      </c>
    </row>
    <row r="14" spans="2:37">
      <c r="B14" s="103" t="s">
        <v>35</v>
      </c>
      <c r="C14" s="165">
        <f>14*4</f>
        <v>56</v>
      </c>
      <c r="D14" s="165">
        <f>14*1</f>
        <v>14</v>
      </c>
      <c r="E14" s="165">
        <f t="shared" si="1"/>
        <v>28</v>
      </c>
      <c r="F14" s="165">
        <f t="shared" si="1"/>
        <v>7</v>
      </c>
      <c r="G14" s="165">
        <f>IF(AND(Dimensions!C43=1,Dimensions!C39=2),-E13/12,IF(AND(Dimensions!C43=1,Dimensions!C39=1),-E11/12,IF(AND(Dimensions!C43=2,Dimensions!C39=2),-E14/12,IF(AND(Dimensions!C43=2,Dimensions!C39=1),-E12/12))))</f>
        <v>-1.0833333333333333</v>
      </c>
      <c r="H14" s="165">
        <f>IF(AND(Dimensions!C43=1,Dimensions!C39=2),F13/12,IF(AND(Dimensions!C43=1,Dimensions!C39=1),F11/12,IF(AND(Dimensions!C43=2,Dimensions!C39=2),F14/12,IF(AND(Dimensions!C43=2,Dimensions!C39=1),F12/12))))</f>
        <v>2.8333333333333335</v>
      </c>
      <c r="I14" s="165"/>
      <c r="J14" s="166"/>
      <c r="L14" s="109"/>
      <c r="M14" s="110"/>
      <c r="N14" s="110"/>
      <c r="O14" s="110"/>
      <c r="P14" s="110"/>
      <c r="Q14" s="110">
        <f>-O11/12</f>
        <v>-1</v>
      </c>
      <c r="R14" s="110">
        <f>P11/12</f>
        <v>1.5</v>
      </c>
      <c r="S14" s="110"/>
      <c r="T14" s="111"/>
      <c r="U14" s="196"/>
      <c r="V14" s="110"/>
      <c r="W14" s="110"/>
      <c r="X14" s="110"/>
      <c r="Y14" s="110"/>
      <c r="Z14" s="110">
        <f>-X11/12</f>
        <v>-1</v>
      </c>
      <c r="AA14" s="110">
        <f>Y11/12</f>
        <v>1.5</v>
      </c>
      <c r="AB14" s="110"/>
      <c r="AC14" s="111"/>
      <c r="AD14" s="110"/>
      <c r="AE14" s="66">
        <f t="shared" si="2"/>
        <v>4</v>
      </c>
      <c r="AF14" s="72" t="s">
        <v>139</v>
      </c>
    </row>
    <row r="15" spans="2:37" ht="15.75" thickBot="1">
      <c r="B15" s="108"/>
      <c r="C15" s="167"/>
      <c r="D15" s="167"/>
      <c r="E15" s="167"/>
      <c r="F15" s="167"/>
      <c r="G15" s="167">
        <f>IF(AND(Dimensions!C43=1,Dimensions!C39=2),-E13/12,IF(AND(Dimensions!C43=1,Dimensions!C39=1),-E11/12,IF(AND(Dimensions!C43=2,Dimensions!C39=2),-E14/12,IF(AND(Dimensions!C43=2,Dimensions!C39=1),-E12/12))))</f>
        <v>-1.0833333333333333</v>
      </c>
      <c r="H15" s="167">
        <f>IF(AND(Dimensions!C43=1,Dimensions!C39=2),-F13/12,IF(AND(Dimensions!C43=1,Dimensions!C39=1),-F11/12,IF(AND(Dimensions!C43=2,Dimensions!C39=2),-F14/12,IF(AND(Dimensions!C43=2,Dimensions!C39=1),-F12/12))))</f>
        <v>-2.8333333333333335</v>
      </c>
      <c r="I15" s="167"/>
      <c r="J15" s="168"/>
      <c r="L15" s="108"/>
      <c r="M15" s="112"/>
      <c r="N15" s="112"/>
      <c r="O15" s="112"/>
      <c r="P15" s="112"/>
      <c r="Q15" s="112">
        <f>-O11/12</f>
        <v>-1</v>
      </c>
      <c r="R15" s="112">
        <f>-P11/12</f>
        <v>-1.5</v>
      </c>
      <c r="S15" s="112"/>
      <c r="T15" s="113"/>
      <c r="U15" s="197"/>
      <c r="V15" s="112"/>
      <c r="W15" s="112"/>
      <c r="X15" s="112"/>
      <c r="Y15" s="112"/>
      <c r="Z15" s="112">
        <f>-X11/12</f>
        <v>-1</v>
      </c>
      <c r="AA15" s="112">
        <f>-Y11/12</f>
        <v>-1.5</v>
      </c>
      <c r="AB15" s="112"/>
      <c r="AC15" s="113"/>
      <c r="AD15" s="110"/>
      <c r="AE15" s="66">
        <f t="shared" si="2"/>
        <v>5</v>
      </c>
      <c r="AF15" s="72" t="s">
        <v>140</v>
      </c>
    </row>
    <row r="16" spans="2:37" ht="15.75" thickBot="1">
      <c r="C16" s="5"/>
      <c r="D16" s="5"/>
      <c r="E16" s="5"/>
      <c r="F16" s="5"/>
      <c r="G16" s="5"/>
      <c r="H16" s="5"/>
      <c r="I16" s="5"/>
      <c r="J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66">
        <f t="shared" si="2"/>
        <v>6</v>
      </c>
      <c r="AF16" s="72" t="s">
        <v>141</v>
      </c>
      <c r="AG16" s="3"/>
      <c r="AH16" s="3"/>
      <c r="AI16" s="3"/>
      <c r="AJ16" s="3"/>
      <c r="AK16" s="3"/>
    </row>
    <row r="17" spans="2:37">
      <c r="B17" s="101" t="s">
        <v>39</v>
      </c>
      <c r="C17" s="163" t="s">
        <v>8</v>
      </c>
      <c r="D17" s="163" t="s">
        <v>9</v>
      </c>
      <c r="E17" s="163" t="s">
        <v>10</v>
      </c>
      <c r="F17" s="163" t="s">
        <v>11</v>
      </c>
      <c r="G17" s="163" t="s">
        <v>12</v>
      </c>
      <c r="H17" s="163" t="s">
        <v>13</v>
      </c>
      <c r="I17" s="163" t="s">
        <v>22</v>
      </c>
      <c r="J17" s="164" t="s">
        <v>60</v>
      </c>
      <c r="L17" s="101" t="s">
        <v>177</v>
      </c>
      <c r="M17" s="163" t="s">
        <v>8</v>
      </c>
      <c r="N17" s="163" t="s">
        <v>9</v>
      </c>
      <c r="O17" s="163" t="s">
        <v>10</v>
      </c>
      <c r="P17" s="163" t="s">
        <v>11</v>
      </c>
      <c r="Q17" s="163" t="s">
        <v>12</v>
      </c>
      <c r="R17" s="163" t="s">
        <v>13</v>
      </c>
      <c r="S17" s="163" t="s">
        <v>22</v>
      </c>
      <c r="T17" s="164" t="s">
        <v>60</v>
      </c>
      <c r="U17" s="101" t="s">
        <v>190</v>
      </c>
      <c r="V17" s="163" t="s">
        <v>8</v>
      </c>
      <c r="W17" s="163" t="s">
        <v>9</v>
      </c>
      <c r="X17" s="163" t="s">
        <v>10</v>
      </c>
      <c r="Y17" s="163" t="s">
        <v>11</v>
      </c>
      <c r="Z17" s="163" t="s">
        <v>12</v>
      </c>
      <c r="AA17" s="163" t="s">
        <v>13</v>
      </c>
      <c r="AB17" s="163" t="s">
        <v>22</v>
      </c>
      <c r="AC17" s="164" t="s">
        <v>60</v>
      </c>
      <c r="AD17" s="110"/>
      <c r="AE17" s="66">
        <f t="shared" si="2"/>
        <v>7</v>
      </c>
      <c r="AF17" s="72" t="s">
        <v>142</v>
      </c>
      <c r="AG17" s="3"/>
      <c r="AH17" s="3"/>
      <c r="AI17" s="3"/>
      <c r="AJ17" s="3"/>
      <c r="AK17" s="3"/>
    </row>
    <row r="18" spans="2:37">
      <c r="B18" s="103" t="s">
        <v>37</v>
      </c>
      <c r="C18" s="165">
        <f>C19+6*2</f>
        <v>26</v>
      </c>
      <c r="D18" s="165">
        <f>D19+6*2</f>
        <v>82</v>
      </c>
      <c r="E18" s="165">
        <f t="shared" ref="E18:F21" si="3">C18/2</f>
        <v>13</v>
      </c>
      <c r="F18" s="165">
        <f t="shared" si="3"/>
        <v>41</v>
      </c>
      <c r="G18" s="165">
        <f>IF(AND(Dimensions!C43=1,Dimensions!C39=2),-E20/12,IF(AND(Dimensions!C43=1,Dimensions!C39=1),-E18/12,IF(AND(Dimensions!C43=2,Dimensions!C39=2),-E21/12,IF(AND(Dimensions!C43=2,Dimensions!C39=1),-E19/12))))</f>
        <v>-1.0833333333333333</v>
      </c>
      <c r="H18" s="165">
        <f>IF(AND(Dimensions!C43=1,Dimensions!C39=2),-F20/12,IF(AND(Dimensions!C43=1,Dimensions!C39=1),-F18/12,IF(AND(Dimensions!C43=2,Dimensions!C39=2),-F21/12,IF(AND(Dimensions!C43=2,Dimensions!C39=1),-F19/12))))</f>
        <v>-3.4166666666666665</v>
      </c>
      <c r="I18" s="165">
        <f>(IF(Dimensions!C43=1,C18*D18,C19*D19))/144</f>
        <v>14.805555555555555</v>
      </c>
      <c r="J18" s="104">
        <v>80</v>
      </c>
      <c r="L18" s="109"/>
      <c r="M18" s="23">
        <f>Arm1Design!$F$8</f>
        <v>24</v>
      </c>
      <c r="N18" s="23">
        <f>Arm1Design!$F$9</f>
        <v>36</v>
      </c>
      <c r="O18" s="110">
        <f>M18/2</f>
        <v>12</v>
      </c>
      <c r="P18" s="110">
        <f>N18/2</f>
        <v>18</v>
      </c>
      <c r="Q18" s="110">
        <f>-O18/12</f>
        <v>-1</v>
      </c>
      <c r="R18" s="110">
        <f>-P18/12</f>
        <v>-1.5</v>
      </c>
      <c r="S18" s="110">
        <f>(M18*N18)/144</f>
        <v>6</v>
      </c>
      <c r="T18" s="111">
        <f>4*S18</f>
        <v>24</v>
      </c>
      <c r="U18" s="196"/>
      <c r="V18" s="23">
        <f>Arm2Design!$F$8</f>
        <v>24</v>
      </c>
      <c r="W18" s="23">
        <f>Arm2Design!$F$9</f>
        <v>36</v>
      </c>
      <c r="X18" s="110">
        <f>V18/2</f>
        <v>12</v>
      </c>
      <c r="Y18" s="110">
        <f>W18/2</f>
        <v>18</v>
      </c>
      <c r="Z18" s="110">
        <f>-X18/12</f>
        <v>-1</v>
      </c>
      <c r="AA18" s="110">
        <f>-Y18/12</f>
        <v>-1.5</v>
      </c>
      <c r="AB18" s="110">
        <f>(V18*W18)/144</f>
        <v>6</v>
      </c>
      <c r="AC18" s="111">
        <f>4*AB18</f>
        <v>24</v>
      </c>
      <c r="AD18" s="110"/>
      <c r="AE18" s="66">
        <f t="shared" si="2"/>
        <v>8</v>
      </c>
      <c r="AF18" s="72" t="s">
        <v>143</v>
      </c>
      <c r="AG18" s="3"/>
      <c r="AH18" s="3"/>
      <c r="AI18" s="3"/>
      <c r="AJ18" s="3"/>
      <c r="AK18" s="3"/>
    </row>
    <row r="19" spans="2:37">
      <c r="B19" s="103" t="s">
        <v>36</v>
      </c>
      <c r="C19" s="165">
        <f>14*1</f>
        <v>14</v>
      </c>
      <c r="D19" s="165">
        <f>14*5</f>
        <v>70</v>
      </c>
      <c r="E19" s="165">
        <f t="shared" si="3"/>
        <v>7</v>
      </c>
      <c r="F19" s="165">
        <f t="shared" si="3"/>
        <v>35</v>
      </c>
      <c r="G19" s="165">
        <f>IF(AND(Dimensions!C43=1,Dimensions!C39=2),E20/12,IF(AND(Dimensions!C43=1,Dimensions!C39=1),E18/12,IF(AND(Dimensions!C43=2,Dimensions!C39=2),E21/12,IF(AND(Dimensions!C43=2,Dimensions!C39=1),E19/12))))</f>
        <v>1.0833333333333333</v>
      </c>
      <c r="H19" s="165">
        <f>IF(AND(Dimensions!C43=1,Dimensions!C39=2),-F20/12,IF(AND(Dimensions!C43=1,Dimensions!C39=1),-F18/12,IF(AND(Dimensions!C43=2,Dimensions!C39=2),-F21/12,IF(AND(Dimensions!C43=2,Dimensions!C39=1),-F19/12))))</f>
        <v>-3.4166666666666665</v>
      </c>
      <c r="I19" s="165"/>
      <c r="J19" s="166"/>
      <c r="L19" s="109"/>
      <c r="M19" s="110"/>
      <c r="N19" s="110"/>
      <c r="O19" s="110"/>
      <c r="P19" s="110"/>
      <c r="Q19" s="110">
        <f>O18/12</f>
        <v>1</v>
      </c>
      <c r="R19" s="110">
        <f>-P18/12</f>
        <v>-1.5</v>
      </c>
      <c r="S19" s="110"/>
      <c r="T19" s="111"/>
      <c r="U19" s="196"/>
      <c r="V19" s="110"/>
      <c r="W19" s="110"/>
      <c r="X19" s="110"/>
      <c r="Y19" s="110"/>
      <c r="Z19" s="110">
        <f>X18/12</f>
        <v>1</v>
      </c>
      <c r="AA19" s="110">
        <f>-Y18/12</f>
        <v>-1.5</v>
      </c>
      <c r="AB19" s="110"/>
      <c r="AC19" s="111"/>
      <c r="AD19" s="110"/>
      <c r="AE19" s="66">
        <f t="shared" si="2"/>
        <v>9</v>
      </c>
      <c r="AF19" s="72" t="s">
        <v>144</v>
      </c>
      <c r="AG19" s="3"/>
      <c r="AH19" s="3"/>
      <c r="AI19" s="3"/>
      <c r="AJ19" s="3"/>
      <c r="AK19" s="3"/>
    </row>
    <row r="20" spans="2:37">
      <c r="B20" s="103" t="s">
        <v>34</v>
      </c>
      <c r="C20" s="165">
        <f>C21+6*2</f>
        <v>82</v>
      </c>
      <c r="D20" s="165">
        <f>D21+6*2</f>
        <v>26</v>
      </c>
      <c r="E20" s="165">
        <f t="shared" si="3"/>
        <v>41</v>
      </c>
      <c r="F20" s="165">
        <f t="shared" si="3"/>
        <v>13</v>
      </c>
      <c r="G20" s="165">
        <f>IF(AND(Dimensions!C43=1,Dimensions!C39=2),E20/12,IF(AND(Dimensions!C43=1,Dimensions!C39=1),E18/12,IF(AND(Dimensions!C43=2,Dimensions!C39=2),E21/12,IF(AND(Dimensions!C43=2,Dimensions!C39=1),E19/12))))</f>
        <v>1.0833333333333333</v>
      </c>
      <c r="H20" s="165">
        <f>IF(AND(Dimensions!C43=1,Dimensions!C39=2),F20/12,IF(AND(Dimensions!C43=1,Dimensions!C39=1),F18/12,IF(AND(Dimensions!C43=2,Dimensions!C39=2),F21/12,IF(AND(Dimensions!C43=2,Dimensions!C39=1),F19/12))))</f>
        <v>3.4166666666666665</v>
      </c>
      <c r="I20" s="165"/>
      <c r="J20" s="166"/>
      <c r="L20" s="109"/>
      <c r="M20" s="110"/>
      <c r="N20" s="110"/>
      <c r="O20" s="110"/>
      <c r="P20" s="110"/>
      <c r="Q20" s="110">
        <f>O18/12</f>
        <v>1</v>
      </c>
      <c r="R20" s="110">
        <f>P18/12</f>
        <v>1.5</v>
      </c>
      <c r="S20" s="110"/>
      <c r="T20" s="111"/>
      <c r="U20" s="196"/>
      <c r="V20" s="110"/>
      <c r="W20" s="110"/>
      <c r="X20" s="110"/>
      <c r="Y20" s="110"/>
      <c r="Z20" s="110">
        <f>X18/12</f>
        <v>1</v>
      </c>
      <c r="AA20" s="110">
        <f>Y18/12</f>
        <v>1.5</v>
      </c>
      <c r="AB20" s="110"/>
      <c r="AC20" s="111"/>
      <c r="AD20" s="110"/>
      <c r="AE20" s="66">
        <f t="shared" si="2"/>
        <v>10</v>
      </c>
      <c r="AF20" s="72" t="s">
        <v>145</v>
      </c>
      <c r="AG20" s="3"/>
      <c r="AH20" s="3"/>
      <c r="AI20" s="3"/>
      <c r="AJ20" s="3"/>
      <c r="AK20" s="3"/>
    </row>
    <row r="21" spans="2:37">
      <c r="B21" s="103" t="s">
        <v>35</v>
      </c>
      <c r="C21" s="165">
        <f>14*5</f>
        <v>70</v>
      </c>
      <c r="D21" s="165">
        <f>14*1</f>
        <v>14</v>
      </c>
      <c r="E21" s="165">
        <f t="shared" si="3"/>
        <v>35</v>
      </c>
      <c r="F21" s="165">
        <f t="shared" si="3"/>
        <v>7</v>
      </c>
      <c r="G21" s="165">
        <f>IF(AND(Dimensions!C43=1,Dimensions!C39=2),-E20/12,IF(AND(Dimensions!C43=1,Dimensions!C39=1),-E18/12,IF(AND(Dimensions!C43=2,Dimensions!C39=2),-E21/12,IF(AND(Dimensions!C43=2,Dimensions!C39=1),-E19/12))))</f>
        <v>-1.0833333333333333</v>
      </c>
      <c r="H21" s="165">
        <f>IF(AND(Dimensions!C43=1,Dimensions!C39=2),F20/12,IF(AND(Dimensions!C43=1,Dimensions!C39=1),F18/12,IF(AND(Dimensions!C43=2,Dimensions!C39=2),F21/12,IF(AND(Dimensions!C43=2,Dimensions!C39=1),F19/12))))</f>
        <v>3.4166666666666665</v>
      </c>
      <c r="I21" s="165"/>
      <c r="J21" s="166"/>
      <c r="L21" s="109"/>
      <c r="M21" s="110"/>
      <c r="N21" s="110"/>
      <c r="O21" s="110"/>
      <c r="P21" s="110"/>
      <c r="Q21" s="110">
        <f>-O18/12</f>
        <v>-1</v>
      </c>
      <c r="R21" s="110">
        <f>P18/12</f>
        <v>1.5</v>
      </c>
      <c r="S21" s="110"/>
      <c r="T21" s="111"/>
      <c r="U21" s="196"/>
      <c r="V21" s="110"/>
      <c r="W21" s="110"/>
      <c r="X21" s="110"/>
      <c r="Y21" s="110"/>
      <c r="Z21" s="110">
        <f>-X18/12</f>
        <v>-1</v>
      </c>
      <c r="AA21" s="110">
        <f>Y18/12</f>
        <v>1.5</v>
      </c>
      <c r="AB21" s="110"/>
      <c r="AC21" s="111"/>
      <c r="AD21" s="110"/>
      <c r="AE21" s="66">
        <f t="shared" si="2"/>
        <v>11</v>
      </c>
      <c r="AF21" s="72" t="s">
        <v>146</v>
      </c>
      <c r="AG21" s="3"/>
      <c r="AH21" s="3"/>
      <c r="AI21" s="3"/>
      <c r="AJ21" s="3"/>
      <c r="AK21" s="3"/>
    </row>
    <row r="22" spans="2:37" ht="15.75" thickBot="1">
      <c r="B22" s="108"/>
      <c r="C22" s="167"/>
      <c r="D22" s="167"/>
      <c r="E22" s="167"/>
      <c r="F22" s="167"/>
      <c r="G22" s="167">
        <f>IF(AND(Dimensions!C43=1,Dimensions!C39=2),-E20/12,IF(AND(Dimensions!C43=1,Dimensions!C39=1),-E18/12,IF(AND(Dimensions!C43=2,Dimensions!C39=2),-E21/12,IF(AND(Dimensions!C43=2,Dimensions!C39=1),-E19/12))))</f>
        <v>-1.0833333333333333</v>
      </c>
      <c r="H22" s="167">
        <f>IF(AND(Dimensions!C43=1,Dimensions!C39=2),-F20/12,IF(AND(Dimensions!C43=1,Dimensions!C39=1),-F18/12,IF(AND(Dimensions!C43=2,Dimensions!C39=2),-F21/12,IF(AND(Dimensions!C43=2,Dimensions!C39=1),-F19/12))))</f>
        <v>-3.4166666666666665</v>
      </c>
      <c r="I22" s="167"/>
      <c r="J22" s="168"/>
      <c r="L22" s="108"/>
      <c r="M22" s="112"/>
      <c r="N22" s="112"/>
      <c r="O22" s="112"/>
      <c r="P22" s="112"/>
      <c r="Q22" s="112">
        <f>-O18/12</f>
        <v>-1</v>
      </c>
      <c r="R22" s="112">
        <f>-P18/12</f>
        <v>-1.5</v>
      </c>
      <c r="S22" s="112"/>
      <c r="T22" s="113"/>
      <c r="U22" s="197"/>
      <c r="V22" s="112"/>
      <c r="W22" s="112"/>
      <c r="X22" s="112"/>
      <c r="Y22" s="112"/>
      <c r="Z22" s="112">
        <f>-X18/12</f>
        <v>-1</v>
      </c>
      <c r="AA22" s="112">
        <f>-Y18/12</f>
        <v>-1.5</v>
      </c>
      <c r="AB22" s="112"/>
      <c r="AC22" s="113"/>
      <c r="AD22" s="110"/>
      <c r="AE22" s="66">
        <f t="shared" si="2"/>
        <v>12</v>
      </c>
      <c r="AF22" s="72" t="s">
        <v>147</v>
      </c>
    </row>
    <row r="23" spans="2:37" ht="15.75" thickBot="1">
      <c r="C23" s="5"/>
      <c r="D23" s="5"/>
      <c r="E23" s="5"/>
      <c r="F23" s="5"/>
      <c r="G23" s="5"/>
      <c r="H23" s="5"/>
      <c r="I23" s="5"/>
      <c r="J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67">
        <f t="shared" si="2"/>
        <v>13</v>
      </c>
      <c r="AF23" s="73" t="s">
        <v>148</v>
      </c>
    </row>
    <row r="24" spans="2:37">
      <c r="B24" s="101" t="s">
        <v>40</v>
      </c>
      <c r="C24" s="163" t="s">
        <v>8</v>
      </c>
      <c r="D24" s="163" t="s">
        <v>9</v>
      </c>
      <c r="E24" s="163" t="s">
        <v>10</v>
      </c>
      <c r="F24" s="163" t="s">
        <v>11</v>
      </c>
      <c r="G24" s="163" t="s">
        <v>12</v>
      </c>
      <c r="H24" s="163" t="s">
        <v>13</v>
      </c>
      <c r="I24" s="163" t="s">
        <v>22</v>
      </c>
      <c r="J24" s="164" t="s">
        <v>60</v>
      </c>
      <c r="L24" s="101" t="s">
        <v>178</v>
      </c>
      <c r="M24" s="163" t="s">
        <v>8</v>
      </c>
      <c r="N24" s="163" t="s">
        <v>9</v>
      </c>
      <c r="O24" s="163" t="s">
        <v>10</v>
      </c>
      <c r="P24" s="163" t="s">
        <v>11</v>
      </c>
      <c r="Q24" s="163" t="s">
        <v>12</v>
      </c>
      <c r="R24" s="163" t="s">
        <v>13</v>
      </c>
      <c r="S24" s="163" t="s">
        <v>22</v>
      </c>
      <c r="T24" s="164" t="s">
        <v>60</v>
      </c>
      <c r="U24" s="101" t="s">
        <v>191</v>
      </c>
      <c r="V24" s="163" t="s">
        <v>8</v>
      </c>
      <c r="W24" s="163" t="s">
        <v>9</v>
      </c>
      <c r="X24" s="163" t="s">
        <v>10</v>
      </c>
      <c r="Y24" s="163" t="s">
        <v>11</v>
      </c>
      <c r="Z24" s="163" t="s">
        <v>12</v>
      </c>
      <c r="AA24" s="163" t="s">
        <v>13</v>
      </c>
      <c r="AB24" s="163" t="s">
        <v>22</v>
      </c>
      <c r="AC24" s="164" t="s">
        <v>60</v>
      </c>
      <c r="AD24" s="110"/>
      <c r="AE24" s="110"/>
      <c r="AF24" s="110"/>
    </row>
    <row r="25" spans="2:37" ht="15.75" thickBot="1">
      <c r="B25" s="103" t="s">
        <v>37</v>
      </c>
      <c r="C25" s="165">
        <f>14*2+6*2</f>
        <v>40</v>
      </c>
      <c r="D25" s="165">
        <f>14*3+6*2</f>
        <v>54</v>
      </c>
      <c r="E25" s="165">
        <f>C25/2</f>
        <v>20</v>
      </c>
      <c r="F25" s="165">
        <f>D25/2</f>
        <v>27</v>
      </c>
      <c r="G25" s="165">
        <f>IF(AND(Dimensions!C43=1,Dimensions!C39=2),0,IF(AND(Dimensions!C43=1,Dimensions!C39=1),-E25/12,IF(AND(Dimensions!C43=2,Dimensions!C39=2),0,IF(AND(Dimensions!C43=2,Dimensions!C39=1),-E26/12))))</f>
        <v>-1.6666666666666667</v>
      </c>
      <c r="H25" s="165">
        <f>IF(AND(Dimensions!C43=1,Dimensions!C39=2),-F27/12,IF(AND(Dimensions!C43=1,Dimensions!C39=1),-F25/12,IF(AND(Dimensions!C43=2,Dimensions!C39=2),-F28/12,IF(AND(Dimensions!C43=2,Dimensions!C39=1),-F26/12))))</f>
        <v>-2.25</v>
      </c>
      <c r="I25" s="165">
        <f>(IF(Dimensions!C43=1,((D25*(C25-20))+((14+6)*(14+6*2))),((D26-14)*(C26))+(14*14)))/144</f>
        <v>11.111111111111111</v>
      </c>
      <c r="J25" s="104">
        <v>80</v>
      </c>
      <c r="L25" s="109"/>
      <c r="M25" s="23">
        <f>Arm1Design!$G$8</f>
        <v>24</v>
      </c>
      <c r="N25" s="23">
        <f>Arm1Design!$G$9</f>
        <v>36</v>
      </c>
      <c r="O25" s="110">
        <f>M25/2</f>
        <v>12</v>
      </c>
      <c r="P25" s="110">
        <f>N25/2</f>
        <v>18</v>
      </c>
      <c r="Q25" s="110">
        <f>-O25/12</f>
        <v>-1</v>
      </c>
      <c r="R25" s="110">
        <f>-P25/12</f>
        <v>-1.5</v>
      </c>
      <c r="S25" s="110">
        <f>(M25*N25)/144</f>
        <v>6</v>
      </c>
      <c r="T25" s="111">
        <f>4*S25</f>
        <v>24</v>
      </c>
      <c r="U25" s="196"/>
      <c r="V25" s="23">
        <f>Arm2Design!$G$8</f>
        <v>24</v>
      </c>
      <c r="W25" s="23">
        <f>Arm2Design!$G$9</f>
        <v>36</v>
      </c>
      <c r="X25" s="110">
        <f>V25/2</f>
        <v>12</v>
      </c>
      <c r="Y25" s="110">
        <f>W25/2</f>
        <v>18</v>
      </c>
      <c r="Z25" s="110">
        <f>-X25/12</f>
        <v>-1</v>
      </c>
      <c r="AA25" s="110">
        <f>-Y25/12</f>
        <v>-1.5</v>
      </c>
      <c r="AB25" s="110">
        <f>(V25*W25)/144</f>
        <v>6</v>
      </c>
      <c r="AC25" s="111">
        <f>4*AB25</f>
        <v>24</v>
      </c>
      <c r="AD25" s="110"/>
      <c r="AE25" t="s">
        <v>124</v>
      </c>
    </row>
    <row r="26" spans="2:37" ht="15.75" thickBot="1">
      <c r="B26" s="103" t="s">
        <v>36</v>
      </c>
      <c r="C26" s="165">
        <f>C25-6*2</f>
        <v>28</v>
      </c>
      <c r="D26" s="165">
        <f>D25-6*2</f>
        <v>42</v>
      </c>
      <c r="E26" s="165">
        <f>C26/2</f>
        <v>14</v>
      </c>
      <c r="F26" s="165">
        <f>D26/2</f>
        <v>21</v>
      </c>
      <c r="G26" s="165">
        <f>IF(AND(Dimensions!C43=1,Dimensions!C39=2),E27/12,IF(AND(Dimensions!C43=1,Dimensions!C39=1),E25/12,IF(AND(Dimensions!C43=2,Dimensions!C39=2),E28/12,IF(AND(Dimensions!C43=2,Dimensions!C39=1),E26/12))))</f>
        <v>1.6666666666666667</v>
      </c>
      <c r="H26" s="165">
        <f>IF(AND(Dimensions!C43=1,Dimensions!C39=2),-F27/12,IF(AND(Dimensions!C43=1,Dimensions!C39=1),-F25/12,IF(AND(Dimensions!C43=2,Dimensions!C39=2),-F28/12,IF(AND(Dimensions!C43=2,Dimensions!C39=1),-F26/12))))</f>
        <v>-2.25</v>
      </c>
      <c r="I26" s="165"/>
      <c r="J26" s="166"/>
      <c r="L26" s="109"/>
      <c r="M26" s="110"/>
      <c r="N26" s="110"/>
      <c r="O26" s="110"/>
      <c r="P26" s="110"/>
      <c r="Q26" s="110">
        <f>O25/12</f>
        <v>1</v>
      </c>
      <c r="R26" s="110">
        <f>-P25/12</f>
        <v>-1.5</v>
      </c>
      <c r="S26" s="110"/>
      <c r="T26" s="111"/>
      <c r="U26" s="196"/>
      <c r="V26" s="110"/>
      <c r="W26" s="110"/>
      <c r="X26" s="110"/>
      <c r="Y26" s="110"/>
      <c r="Z26" s="110">
        <f>X25/12</f>
        <v>1</v>
      </c>
      <c r="AA26" s="110">
        <f>-Y25/12</f>
        <v>-1.5</v>
      </c>
      <c r="AB26" s="110"/>
      <c r="AC26" s="111"/>
      <c r="AD26" s="110"/>
      <c r="AE26" s="180">
        <f>Arm1Design!B8</f>
        <v>0</v>
      </c>
      <c r="AF26" s="116" t="e">
        <f>VLOOKUP(AE26,Dimensions!AE11:AF23,2,)</f>
        <v>#N/A</v>
      </c>
    </row>
    <row r="27" spans="2:37">
      <c r="B27" s="103" t="s">
        <v>34</v>
      </c>
      <c r="C27" s="165">
        <v>0</v>
      </c>
      <c r="D27" s="165">
        <v>0</v>
      </c>
      <c r="E27" s="165">
        <v>0</v>
      </c>
      <c r="F27" s="165">
        <v>0</v>
      </c>
      <c r="G27" s="165">
        <f>IF(AND(Dimensions!C43=1,Dimensions!C39=2),E27/12,IF(AND(Dimensions!C43=1,Dimensions!C39=1),E25/12,IF(AND(Dimensions!C43=2,Dimensions!C39=2),E28/12,IF(AND(Dimensions!C43=2,Dimensions!C39=1),E26/12))))</f>
        <v>1.6666666666666667</v>
      </c>
      <c r="H27" s="165">
        <f>IF(AND(Dimensions!C43=1,Dimensions!C39=2),F27/12,IF(AND(Dimensions!C43=1,Dimensions!C39=1),(((D25*2)/3)-F25)/12,IF(AND(Dimensions!C43=2,Dimensions!C39=2),F28/12,IF(AND(Dimensions!C43=2,Dimensions!C39=1),(((D26*2)/3)-F26)/12))))</f>
        <v>0.75</v>
      </c>
      <c r="I27" s="165"/>
      <c r="J27" s="166"/>
      <c r="L27" s="109"/>
      <c r="M27" s="110"/>
      <c r="N27" s="110"/>
      <c r="O27" s="110"/>
      <c r="P27" s="110"/>
      <c r="Q27" s="110">
        <f>O25/12</f>
        <v>1</v>
      </c>
      <c r="R27" s="110">
        <f>P25/12</f>
        <v>1.5</v>
      </c>
      <c r="S27" s="110"/>
      <c r="T27" s="111"/>
      <c r="U27" s="196"/>
      <c r="V27" s="110"/>
      <c r="W27" s="110"/>
      <c r="X27" s="110"/>
      <c r="Y27" s="110"/>
      <c r="Z27" s="110">
        <f>X25/12</f>
        <v>1</v>
      </c>
      <c r="AA27" s="110">
        <f>Y25/12</f>
        <v>1.5</v>
      </c>
      <c r="AB27" s="110"/>
      <c r="AC27" s="111"/>
      <c r="AD27" s="110"/>
    </row>
    <row r="28" spans="2:37">
      <c r="B28" s="103" t="s">
        <v>35</v>
      </c>
      <c r="C28" s="165">
        <v>0</v>
      </c>
      <c r="D28" s="165">
        <v>0</v>
      </c>
      <c r="E28" s="165">
        <v>0</v>
      </c>
      <c r="F28" s="165">
        <v>0</v>
      </c>
      <c r="G28" s="165">
        <f>IF(AND(Dimensions!C43=1,Dimensions!C39=2),0,IF(AND(Dimensions!C43=1,Dimensions!C39=1),(E25-7)/12,IF(AND(Dimensions!C43=2,Dimensions!C39=2),0,IF(AND(Dimensions!C43=2,Dimensions!C39=1),(E26-7)/12))))</f>
        <v>1.0833333333333333</v>
      </c>
      <c r="H28" s="165">
        <f>IF(AND(Dimensions!C43=1,Dimensions!C39=2),F27/12,IF(AND(Dimensions!C43=1,Dimensions!C39=1),(((D25*2)/3)-F25)/12,IF(AND(Dimensions!C43=2,Dimensions!C39=2),F28/12,IF(AND(Dimensions!C43=2,Dimensions!C39=1),(((D26*2)/3)-F26)/12))))</f>
        <v>0.75</v>
      </c>
      <c r="I28" s="165"/>
      <c r="J28" s="166"/>
      <c r="L28" s="109"/>
      <c r="M28" s="110"/>
      <c r="N28" s="110"/>
      <c r="O28" s="110"/>
      <c r="P28" s="110"/>
      <c r="Q28" s="110">
        <f>-O25/12</f>
        <v>-1</v>
      </c>
      <c r="R28" s="110">
        <f>P25/12</f>
        <v>1.5</v>
      </c>
      <c r="S28" s="110"/>
      <c r="T28" s="111"/>
      <c r="U28" s="196"/>
      <c r="V28" s="110"/>
      <c r="W28" s="110"/>
      <c r="X28" s="110"/>
      <c r="Y28" s="110"/>
      <c r="Z28" s="110">
        <f>-X25/12</f>
        <v>-1</v>
      </c>
      <c r="AA28" s="110">
        <f>Y25/12</f>
        <v>1.5</v>
      </c>
      <c r="AB28" s="110"/>
      <c r="AC28" s="111"/>
      <c r="AD28" s="110"/>
    </row>
    <row r="29" spans="2:37" ht="15.75" thickBot="1">
      <c r="B29" s="109"/>
      <c r="C29" s="165"/>
      <c r="D29" s="165"/>
      <c r="E29" s="165"/>
      <c r="F29" s="165"/>
      <c r="G29" s="165">
        <f>IF(AND(Dimensions!C43=1,Dimensions!C39=2),0,IF(AND(Dimensions!C43=1,Dimensions!C39=1),(E25-7)/12,IF(AND(Dimensions!C43=2,Dimensions!C39=2),0,IF(AND(Dimensions!C43=2,Dimensions!C39=1),(E26-7)/12))))</f>
        <v>1.0833333333333333</v>
      </c>
      <c r="H29" s="165">
        <f>IF(AND(Dimensions!C43=1,Dimensions!C39=2),F27/12,IF(AND(Dimensions!C43=1,Dimensions!C39=1),F25/12,IF(AND(Dimensions!C43=2,Dimensions!C39=2),F28/12,IF(AND(Dimensions!C43=2,Dimensions!C39=1),F26/12))))</f>
        <v>2.25</v>
      </c>
      <c r="I29" s="165"/>
      <c r="J29" s="166"/>
      <c r="L29" s="108"/>
      <c r="M29" s="112"/>
      <c r="N29" s="112"/>
      <c r="O29" s="112"/>
      <c r="P29" s="112"/>
      <c r="Q29" s="112">
        <f>-O25/12</f>
        <v>-1</v>
      </c>
      <c r="R29" s="112">
        <f>-P25/12</f>
        <v>-1.5</v>
      </c>
      <c r="S29" s="112"/>
      <c r="T29" s="113"/>
      <c r="U29" s="197"/>
      <c r="V29" s="112"/>
      <c r="W29" s="112"/>
      <c r="X29" s="112"/>
      <c r="Y29" s="112"/>
      <c r="Z29" s="112">
        <f>-X25/12</f>
        <v>-1</v>
      </c>
      <c r="AA29" s="112">
        <f>-Y25/12</f>
        <v>-1.5</v>
      </c>
      <c r="AB29" s="112"/>
      <c r="AC29" s="113"/>
      <c r="AD29" s="110"/>
    </row>
    <row r="30" spans="2:37" ht="15.75" thickBot="1">
      <c r="B30" s="109"/>
      <c r="C30" s="165"/>
      <c r="D30" s="165"/>
      <c r="E30" s="165"/>
      <c r="F30" s="165"/>
      <c r="G30" s="165">
        <f>IF(AND(Dimensions!C43=1,Dimensions!C39=2),0,IF(AND(Dimensions!C43=1,Dimensions!C39=1),(-E25+7)/12,IF(AND(Dimensions!C43=2,Dimensions!C39=2),0,IF(AND(Dimensions!C43=2,Dimensions!C39=1),(-E26+7)/12))))</f>
        <v>-1.0833333333333333</v>
      </c>
      <c r="H30" s="165">
        <f>IF(AND(Dimensions!C43=1,Dimensions!C39=2),F27/12,IF(AND(Dimensions!C43=1,Dimensions!C39=1),F25/12,IF(AND(Dimensions!C43=2,Dimensions!C39=2),F28/12,IF(AND(Dimensions!C43=2,Dimensions!C39=1),F26/12))))</f>
        <v>2.25</v>
      </c>
      <c r="I30" s="165"/>
      <c r="J30" s="166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2:37">
      <c r="B31" s="109"/>
      <c r="C31" s="165"/>
      <c r="D31" s="165"/>
      <c r="E31" s="165"/>
      <c r="F31" s="165"/>
      <c r="G31" s="165">
        <f>IF(AND(Dimensions!C43=1,Dimensions!C39=2),0,IF(AND(Dimensions!C43=1,Dimensions!C39=1),(-E25+7)/12,IF(AND(Dimensions!C43=2,Dimensions!C39=2),0,IF(AND(Dimensions!C43=2,Dimensions!C39=1),(-E26+7)/12))))</f>
        <v>-1.0833333333333333</v>
      </c>
      <c r="H31" s="165">
        <f>IF(AND(Dimensions!C43=1,Dimensions!C39=2),F27/12,IF(AND(Dimensions!C43=1,Dimensions!C39=1),(((D25*2)/3)-F25)/12,IF(AND(Dimensions!C43=2,Dimensions!C39=2),F28/12,IF(AND(Dimensions!C43=2,Dimensions!C39=1),(((D26*2)/3)-F26)/12))))</f>
        <v>0.75</v>
      </c>
      <c r="I31" s="165"/>
      <c r="J31" s="166"/>
      <c r="L31" s="101" t="s">
        <v>179</v>
      </c>
      <c r="M31" s="163" t="s">
        <v>8</v>
      </c>
      <c r="N31" s="163" t="s">
        <v>9</v>
      </c>
      <c r="O31" s="163" t="s">
        <v>10</v>
      </c>
      <c r="P31" s="163" t="s">
        <v>11</v>
      </c>
      <c r="Q31" s="163" t="s">
        <v>12</v>
      </c>
      <c r="R31" s="163" t="s">
        <v>13</v>
      </c>
      <c r="S31" s="163" t="s">
        <v>22</v>
      </c>
      <c r="T31" s="164" t="s">
        <v>60</v>
      </c>
      <c r="U31" s="101" t="s">
        <v>192</v>
      </c>
      <c r="V31" s="163" t="s">
        <v>8</v>
      </c>
      <c r="W31" s="163" t="s">
        <v>9</v>
      </c>
      <c r="X31" s="163" t="s">
        <v>10</v>
      </c>
      <c r="Y31" s="163" t="s">
        <v>11</v>
      </c>
      <c r="Z31" s="163" t="s">
        <v>12</v>
      </c>
      <c r="AA31" s="163" t="s">
        <v>13</v>
      </c>
      <c r="AB31" s="163" t="s">
        <v>22</v>
      </c>
      <c r="AC31" s="164" t="s">
        <v>60</v>
      </c>
      <c r="AD31" s="110"/>
    </row>
    <row r="32" spans="2:37">
      <c r="B32" s="109"/>
      <c r="C32" s="165"/>
      <c r="D32" s="165"/>
      <c r="E32" s="165"/>
      <c r="F32" s="165"/>
      <c r="G32" s="165">
        <f>IF(AND(Dimensions!C43=1,Dimensions!C39=2),-E27/12,IF(AND(Dimensions!C43=1,Dimensions!C39=1),-E25/12,IF(AND(Dimensions!C43=2,Dimensions!C39=2),-E28/12,IF(AND(Dimensions!C43=2,Dimensions!C39=1),-E26/12))))</f>
        <v>-1.6666666666666667</v>
      </c>
      <c r="H32" s="165">
        <f>IF(AND(Dimensions!C43=1,Dimensions!C39=2),F27/12,IF(AND(Dimensions!C43=1,Dimensions!C39=1),(((D25*2)/3)-F25)/12,IF(AND(Dimensions!C43=2,Dimensions!C39=2),F28/12,IF(AND(Dimensions!C43=2,Dimensions!C39=1),(((D26*2)/3)-F26)/12))))</f>
        <v>0.75</v>
      </c>
      <c r="I32" s="165"/>
      <c r="J32" s="166"/>
      <c r="L32" s="109"/>
      <c r="M32" s="23">
        <f>Arm1Design!$H$8</f>
        <v>24</v>
      </c>
      <c r="N32" s="23">
        <f>Arm1Design!$H$9</f>
        <v>36</v>
      </c>
      <c r="O32" s="110">
        <f>M32/2</f>
        <v>12</v>
      </c>
      <c r="P32" s="110">
        <f>N32/2</f>
        <v>18</v>
      </c>
      <c r="Q32" s="110">
        <f>-O32/12</f>
        <v>-1</v>
      </c>
      <c r="R32" s="110">
        <f>-P32/12</f>
        <v>-1.5</v>
      </c>
      <c r="S32" s="110">
        <f>(M32*N32)/144</f>
        <v>6</v>
      </c>
      <c r="T32" s="111">
        <f>4*S32</f>
        <v>24</v>
      </c>
      <c r="U32" s="196"/>
      <c r="V32" s="23">
        <f>Arm2Design!$H$8</f>
        <v>24</v>
      </c>
      <c r="W32" s="23">
        <f>Arm2Design!$H$9</f>
        <v>36</v>
      </c>
      <c r="X32" s="110">
        <f>V32/2</f>
        <v>12</v>
      </c>
      <c r="Y32" s="110">
        <f>W32/2</f>
        <v>18</v>
      </c>
      <c r="Z32" s="110">
        <f>-X32/12</f>
        <v>-1</v>
      </c>
      <c r="AA32" s="110">
        <f>-Y32/12</f>
        <v>-1.5</v>
      </c>
      <c r="AB32" s="110">
        <f>(V32*W32)/144</f>
        <v>6</v>
      </c>
      <c r="AC32" s="111">
        <f>4*AB32</f>
        <v>24</v>
      </c>
      <c r="AD32" s="110"/>
    </row>
    <row r="33" spans="2:30" ht="15.75" thickBot="1">
      <c r="B33" s="108"/>
      <c r="C33" s="106"/>
      <c r="D33" s="106"/>
      <c r="E33" s="106"/>
      <c r="F33" s="106"/>
      <c r="G33" s="203">
        <f>IF(AND(Dimensions!C43=1,Dimensions!C39=2),-E27/12,IF(AND(Dimensions!C43=1,Dimensions!C39=1),-E25/12,IF(AND(Dimensions!C43=2,Dimensions!C39=2),-E28/12,IF(AND(Dimensions!C43=2,Dimensions!C39=1),-E26/12))))</f>
        <v>-1.6666666666666667</v>
      </c>
      <c r="H33" s="203">
        <f>IF(AND(Dimensions!C43=1,Dimensions!C39=2),-F27/12,IF(AND(Dimensions!C43=1,Dimensions!C39=1),-F25/12,IF(AND(Dimensions!C43=2,Dimensions!C39=2),-F28/12,IF(AND(Dimensions!C43=2,Dimensions!C39=1),-F26/12))))</f>
        <v>-2.25</v>
      </c>
      <c r="I33" s="106"/>
      <c r="J33" s="107"/>
      <c r="L33" s="109"/>
      <c r="M33" s="110"/>
      <c r="N33" s="110"/>
      <c r="O33" s="110"/>
      <c r="P33" s="110"/>
      <c r="Q33" s="110">
        <f>O32/12</f>
        <v>1</v>
      </c>
      <c r="R33" s="110">
        <f>-P32/12</f>
        <v>-1.5</v>
      </c>
      <c r="S33" s="110"/>
      <c r="T33" s="111"/>
      <c r="U33" s="196"/>
      <c r="V33" s="110"/>
      <c r="W33" s="110"/>
      <c r="X33" s="110"/>
      <c r="Y33" s="110"/>
      <c r="Z33" s="110">
        <f>X32/12</f>
        <v>1</v>
      </c>
      <c r="AA33" s="110">
        <f>-Y32/12</f>
        <v>-1.5</v>
      </c>
      <c r="AB33" s="110"/>
      <c r="AC33" s="111"/>
      <c r="AD33" s="110"/>
    </row>
    <row r="34" spans="2:30" ht="15.75" thickBot="1">
      <c r="L34" s="109"/>
      <c r="M34" s="110"/>
      <c r="N34" s="110"/>
      <c r="O34" s="110"/>
      <c r="P34" s="110"/>
      <c r="Q34" s="110">
        <f>O32/12</f>
        <v>1</v>
      </c>
      <c r="R34" s="110">
        <f>P32/12</f>
        <v>1.5</v>
      </c>
      <c r="S34" s="110"/>
      <c r="T34" s="111"/>
      <c r="U34" s="196"/>
      <c r="V34" s="110"/>
      <c r="W34" s="110"/>
      <c r="X34" s="110"/>
      <c r="Y34" s="110"/>
      <c r="Z34" s="110">
        <f>X32/12</f>
        <v>1</v>
      </c>
      <c r="AA34" s="110">
        <f>Y32/12</f>
        <v>1.5</v>
      </c>
      <c r="AB34" s="110"/>
      <c r="AC34" s="111"/>
      <c r="AD34" s="110"/>
    </row>
    <row r="35" spans="2:30" ht="15.75" thickBot="1">
      <c r="B35" s="101" t="s">
        <v>155</v>
      </c>
      <c r="C35" s="163" t="s">
        <v>154</v>
      </c>
      <c r="D35" s="102" t="s">
        <v>17</v>
      </c>
      <c r="E35" s="102" t="s">
        <v>32</v>
      </c>
      <c r="F35" s="164" t="s">
        <v>19</v>
      </c>
      <c r="L35" s="109"/>
      <c r="M35" s="110"/>
      <c r="N35" s="110"/>
      <c r="O35" s="110"/>
      <c r="P35" s="110"/>
      <c r="Q35" s="110">
        <f>-O32/12</f>
        <v>-1</v>
      </c>
      <c r="R35" s="110">
        <f>P32/12</f>
        <v>1.5</v>
      </c>
      <c r="S35" s="110"/>
      <c r="T35" s="111"/>
      <c r="U35" s="196"/>
      <c r="V35" s="110"/>
      <c r="W35" s="110"/>
      <c r="X35" s="110"/>
      <c r="Y35" s="110"/>
      <c r="Z35" s="110">
        <f>-X32/12</f>
        <v>-1</v>
      </c>
      <c r="AA35" s="110">
        <f>Y32/12</f>
        <v>1.5</v>
      </c>
      <c r="AB35" s="110"/>
      <c r="AC35" s="111"/>
      <c r="AD35" s="110"/>
    </row>
    <row r="36" spans="2:30" ht="15.75" thickBot="1">
      <c r="B36" s="201" t="s">
        <v>166</v>
      </c>
      <c r="C36" s="432">
        <v>0.5</v>
      </c>
      <c r="D36" s="432">
        <v>0.02</v>
      </c>
      <c r="E36" s="152">
        <f>D40</f>
        <v>70</v>
      </c>
      <c r="F36" s="434">
        <f>C36/2</f>
        <v>0.25</v>
      </c>
      <c r="L36" s="108"/>
      <c r="M36" s="112"/>
      <c r="N36" s="112"/>
      <c r="O36" s="112"/>
      <c r="P36" s="112"/>
      <c r="Q36" s="112">
        <f>-O32/12</f>
        <v>-1</v>
      </c>
      <c r="R36" s="112">
        <f>-P32/12</f>
        <v>-1.5</v>
      </c>
      <c r="S36" s="112"/>
      <c r="T36" s="113"/>
      <c r="U36" s="197"/>
      <c r="V36" s="112"/>
      <c r="W36" s="112"/>
      <c r="X36" s="112"/>
      <c r="Y36" s="112"/>
      <c r="Z36" s="112">
        <f>-X32/12</f>
        <v>-1</v>
      </c>
      <c r="AA36" s="112">
        <f>-Y32/12</f>
        <v>-1.5</v>
      </c>
      <c r="AB36" s="112"/>
      <c r="AC36" s="113"/>
      <c r="AD36" s="110"/>
    </row>
    <row r="37" spans="2:30" ht="15.75" thickBot="1">
      <c r="B37" s="202" t="s">
        <v>167</v>
      </c>
      <c r="C37" s="433"/>
      <c r="D37" s="433"/>
      <c r="E37" s="68">
        <f>D41</f>
        <v>40</v>
      </c>
      <c r="F37" s="43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2:30">
      <c r="B38" s="109"/>
      <c r="C38" s="115" t="s">
        <v>90</v>
      </c>
      <c r="D38" s="115" t="s">
        <v>91</v>
      </c>
      <c r="E38" s="110"/>
      <c r="F38" s="111"/>
      <c r="I38" s="3"/>
      <c r="L38" s="101" t="s">
        <v>184</v>
      </c>
      <c r="M38" s="163" t="s">
        <v>8</v>
      </c>
      <c r="N38" s="163" t="s">
        <v>9</v>
      </c>
      <c r="O38" s="163" t="s">
        <v>10</v>
      </c>
      <c r="P38" s="163" t="s">
        <v>11</v>
      </c>
      <c r="Q38" s="163" t="s">
        <v>12</v>
      </c>
      <c r="R38" s="163" t="s">
        <v>13</v>
      </c>
      <c r="S38" s="163" t="s">
        <v>22</v>
      </c>
      <c r="T38" s="164" t="s">
        <v>60</v>
      </c>
      <c r="U38" s="101" t="s">
        <v>193</v>
      </c>
      <c r="V38" s="163" t="s">
        <v>8</v>
      </c>
      <c r="W38" s="163" t="s">
        <v>9</v>
      </c>
      <c r="X38" s="163" t="s">
        <v>10</v>
      </c>
      <c r="Y38" s="163" t="s">
        <v>11</v>
      </c>
      <c r="Z38" s="163" t="s">
        <v>12</v>
      </c>
      <c r="AA38" s="163" t="s">
        <v>13</v>
      </c>
      <c r="AB38" s="163" t="s">
        <v>22</v>
      </c>
      <c r="AC38" s="164" t="s">
        <v>60</v>
      </c>
      <c r="AD38" s="110"/>
    </row>
    <row r="39" spans="2:30">
      <c r="B39" s="103" t="s">
        <v>28</v>
      </c>
      <c r="C39" s="183">
        <v>1</v>
      </c>
      <c r="D39" s="114" t="s">
        <v>31</v>
      </c>
      <c r="E39" s="110"/>
      <c r="F39" s="111"/>
      <c r="I39" s="3"/>
      <c r="L39" s="109"/>
      <c r="M39" s="23">
        <f>Arm1Design!$I$8</f>
        <v>36</v>
      </c>
      <c r="N39" s="23">
        <f>Arm1Design!$I$9</f>
        <v>36</v>
      </c>
      <c r="O39" s="110">
        <f>M39/2</f>
        <v>18</v>
      </c>
      <c r="P39" s="110">
        <f>N39/2</f>
        <v>18</v>
      </c>
      <c r="Q39" s="110">
        <f>-O39/12</f>
        <v>-1.5</v>
      </c>
      <c r="R39" s="110">
        <f>-P39/12</f>
        <v>-1.5</v>
      </c>
      <c r="S39" s="110">
        <f>(M39*N39)/144</f>
        <v>9</v>
      </c>
      <c r="T39" s="111">
        <f>4*S39</f>
        <v>36</v>
      </c>
      <c r="U39" s="196"/>
      <c r="V39" s="23">
        <f>Arm2Design!$I$8</f>
        <v>36</v>
      </c>
      <c r="W39" s="23">
        <f>Arm2Design!$I$9</f>
        <v>36</v>
      </c>
      <c r="X39" s="110">
        <f>V39/2</f>
        <v>18</v>
      </c>
      <c r="Y39" s="110">
        <f>W39/2</f>
        <v>18</v>
      </c>
      <c r="Z39" s="110">
        <f>-X39/12</f>
        <v>-1.5</v>
      </c>
      <c r="AA39" s="110">
        <f>-Y39/12</f>
        <v>-1.5</v>
      </c>
      <c r="AB39" s="110">
        <f>(V39*W39)/144</f>
        <v>9</v>
      </c>
      <c r="AC39" s="111">
        <f>4*AB39</f>
        <v>36</v>
      </c>
      <c r="AD39" s="110"/>
    </row>
    <row r="40" spans="2:30">
      <c r="B40" s="103" t="s">
        <v>164</v>
      </c>
      <c r="C40" s="183">
        <v>5</v>
      </c>
      <c r="D40" s="110">
        <f>IF(C40=6,78,20+C40*10)</f>
        <v>70</v>
      </c>
      <c r="E40" s="110"/>
      <c r="F40" s="111"/>
      <c r="L40" s="109"/>
      <c r="M40" s="110"/>
      <c r="N40" s="110"/>
      <c r="O40" s="110"/>
      <c r="P40" s="110"/>
      <c r="Q40" s="110">
        <f>O39/12</f>
        <v>1.5</v>
      </c>
      <c r="R40" s="110">
        <f>-P39/12</f>
        <v>-1.5</v>
      </c>
      <c r="S40" s="110"/>
      <c r="T40" s="111"/>
      <c r="U40" s="196"/>
      <c r="V40" s="110"/>
      <c r="W40" s="110"/>
      <c r="X40" s="110"/>
      <c r="Y40" s="110"/>
      <c r="Z40" s="110">
        <f>X39/12</f>
        <v>1.5</v>
      </c>
      <c r="AA40" s="110">
        <f>-Y39/12</f>
        <v>-1.5</v>
      </c>
      <c r="AB40" s="110"/>
      <c r="AC40" s="111"/>
      <c r="AD40" s="110"/>
    </row>
    <row r="41" spans="2:30">
      <c r="B41" s="103" t="s">
        <v>165</v>
      </c>
      <c r="C41" s="183">
        <v>3</v>
      </c>
      <c r="D41" s="110">
        <f>IF(C41=7,78,IF(C41=1,0,10+C41*10))</f>
        <v>40</v>
      </c>
      <c r="E41" s="110"/>
      <c r="F41" s="111"/>
      <c r="L41" s="109"/>
      <c r="M41" s="110"/>
      <c r="N41" s="110"/>
      <c r="O41" s="110"/>
      <c r="P41" s="110"/>
      <c r="Q41" s="110">
        <f>O39/12</f>
        <v>1.5</v>
      </c>
      <c r="R41" s="110">
        <f>P39/12</f>
        <v>1.5</v>
      </c>
      <c r="S41" s="110"/>
      <c r="T41" s="111"/>
      <c r="U41" s="196"/>
      <c r="V41" s="110"/>
      <c r="W41" s="110"/>
      <c r="X41" s="110"/>
      <c r="Y41" s="110"/>
      <c r="Z41" s="110">
        <f>X39/12</f>
        <v>1.5</v>
      </c>
      <c r="AA41" s="110">
        <f>Y39/12</f>
        <v>1.5</v>
      </c>
      <c r="AB41" s="110"/>
      <c r="AC41" s="111"/>
      <c r="AD41" s="110"/>
    </row>
    <row r="42" spans="2:30">
      <c r="B42" s="103" t="s">
        <v>26</v>
      </c>
      <c r="C42" s="183">
        <v>2</v>
      </c>
      <c r="D42" s="184">
        <f>IF(C42=1,130,IF(C42=2,150,IF(C42=3,170,0)))</f>
        <v>150</v>
      </c>
      <c r="E42" s="110"/>
      <c r="F42" s="111"/>
      <c r="L42" s="109"/>
      <c r="M42" s="110"/>
      <c r="N42" s="110"/>
      <c r="O42" s="110"/>
      <c r="P42" s="110"/>
      <c r="Q42" s="110">
        <f>-O39/12</f>
        <v>-1.5</v>
      </c>
      <c r="R42" s="110">
        <f>P39/12</f>
        <v>1.5</v>
      </c>
      <c r="S42" s="110"/>
      <c r="T42" s="111"/>
      <c r="U42" s="196"/>
      <c r="V42" s="110"/>
      <c r="W42" s="110"/>
      <c r="X42" s="110"/>
      <c r="Y42" s="110"/>
      <c r="Z42" s="110">
        <f>-X39/12</f>
        <v>-1.5</v>
      </c>
      <c r="AA42" s="110">
        <f>Y39/12</f>
        <v>1.5</v>
      </c>
      <c r="AB42" s="110"/>
      <c r="AC42" s="111"/>
      <c r="AD42" s="110"/>
    </row>
    <row r="43" spans="2:30" ht="15.75" thickBot="1">
      <c r="B43" s="103" t="s">
        <v>29</v>
      </c>
      <c r="C43" s="183">
        <v>1</v>
      </c>
      <c r="D43" s="114" t="s">
        <v>30</v>
      </c>
      <c r="E43" s="110"/>
      <c r="F43" s="111"/>
      <c r="L43" s="108"/>
      <c r="M43" s="112"/>
      <c r="N43" s="112"/>
      <c r="O43" s="112"/>
      <c r="P43" s="112"/>
      <c r="Q43" s="112">
        <f>-O39/12</f>
        <v>-1.5</v>
      </c>
      <c r="R43" s="112">
        <f>-P39/12</f>
        <v>-1.5</v>
      </c>
      <c r="S43" s="112"/>
      <c r="T43" s="113"/>
      <c r="U43" s="197"/>
      <c r="V43" s="112"/>
      <c r="W43" s="112"/>
      <c r="X43" s="112"/>
      <c r="Y43" s="112"/>
      <c r="Z43" s="112">
        <f>-X39/12</f>
        <v>-1.5</v>
      </c>
      <c r="AA43" s="112">
        <f>-Y39/12</f>
        <v>-1.5</v>
      </c>
      <c r="AB43" s="112"/>
      <c r="AC43" s="113"/>
      <c r="AD43" s="110"/>
    </row>
    <row r="44" spans="2:30" ht="15.75" thickBot="1">
      <c r="B44" s="105" t="s">
        <v>85</v>
      </c>
      <c r="C44" s="185">
        <v>2</v>
      </c>
      <c r="D44" s="169" t="s">
        <v>86</v>
      </c>
      <c r="E44" s="112"/>
      <c r="F44" s="113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2:30">
      <c r="I45" s="3"/>
      <c r="L45" s="101" t="s">
        <v>180</v>
      </c>
      <c r="M45" s="163" t="s">
        <v>8</v>
      </c>
      <c r="N45" s="163" t="s">
        <v>9</v>
      </c>
      <c r="O45" s="163" t="s">
        <v>10</v>
      </c>
      <c r="P45" s="163" t="s">
        <v>11</v>
      </c>
      <c r="Q45" s="163" t="s">
        <v>12</v>
      </c>
      <c r="R45" s="163" t="s">
        <v>13</v>
      </c>
      <c r="S45" s="163" t="s">
        <v>22</v>
      </c>
      <c r="T45" s="164" t="s">
        <v>60</v>
      </c>
      <c r="U45" s="101" t="s">
        <v>194</v>
      </c>
      <c r="V45" s="163" t="s">
        <v>8</v>
      </c>
      <c r="W45" s="163" t="s">
        <v>9</v>
      </c>
      <c r="X45" s="163" t="s">
        <v>10</v>
      </c>
      <c r="Y45" s="163" t="s">
        <v>11</v>
      </c>
      <c r="Z45" s="163" t="s">
        <v>12</v>
      </c>
      <c r="AA45" s="163" t="s">
        <v>13</v>
      </c>
      <c r="AB45" s="163" t="s">
        <v>22</v>
      </c>
      <c r="AC45" s="164" t="s">
        <v>60</v>
      </c>
      <c r="AD45" s="115"/>
    </row>
    <row r="46" spans="2:30">
      <c r="B46" s="3"/>
      <c r="C46" s="3"/>
      <c r="I46" s="3"/>
      <c r="L46" s="109"/>
      <c r="M46" s="23">
        <f>Arm1Design!$J$8</f>
        <v>60</v>
      </c>
      <c r="N46" s="23">
        <f>Arm1Design!$J$9</f>
        <v>36</v>
      </c>
      <c r="O46" s="110">
        <f>M46/2</f>
        <v>30</v>
      </c>
      <c r="P46" s="110">
        <f>N46/2</f>
        <v>18</v>
      </c>
      <c r="Q46" s="110">
        <f>-O46/12</f>
        <v>-2.5</v>
      </c>
      <c r="R46" s="110">
        <f>-P46/12</f>
        <v>-1.5</v>
      </c>
      <c r="S46" s="110">
        <f>(M46*N46)/144</f>
        <v>15</v>
      </c>
      <c r="T46" s="111">
        <f>4*S46</f>
        <v>60</v>
      </c>
      <c r="U46" s="196"/>
      <c r="V46" s="23">
        <f>Arm2Design!$J$8</f>
        <v>60</v>
      </c>
      <c r="W46" s="23">
        <f>Arm2Design!$J$9</f>
        <v>24</v>
      </c>
      <c r="X46" s="110">
        <f>V46/2</f>
        <v>30</v>
      </c>
      <c r="Y46" s="110">
        <f>W46/2</f>
        <v>12</v>
      </c>
      <c r="Z46" s="110">
        <f>-X46/12</f>
        <v>-2.5</v>
      </c>
      <c r="AA46" s="110">
        <f>-Y46/12</f>
        <v>-1</v>
      </c>
      <c r="AB46" s="110">
        <f>(V46*W46)/144</f>
        <v>10</v>
      </c>
      <c r="AC46" s="111">
        <f>4*AB46</f>
        <v>40</v>
      </c>
      <c r="AD46" s="110"/>
    </row>
    <row r="47" spans="2:30">
      <c r="L47" s="109"/>
      <c r="M47" s="110"/>
      <c r="N47" s="110"/>
      <c r="O47" s="110"/>
      <c r="P47" s="110"/>
      <c r="Q47" s="110">
        <f>O46/12</f>
        <v>2.5</v>
      </c>
      <c r="R47" s="110">
        <f>-P46/12</f>
        <v>-1.5</v>
      </c>
      <c r="S47" s="110"/>
      <c r="T47" s="111"/>
      <c r="U47" s="196"/>
      <c r="V47" s="110"/>
      <c r="W47" s="110"/>
      <c r="X47" s="110"/>
      <c r="Y47" s="110"/>
      <c r="Z47" s="110">
        <f>X46/12</f>
        <v>2.5</v>
      </c>
      <c r="AA47" s="110">
        <f>-Y46/12</f>
        <v>-1</v>
      </c>
      <c r="AB47" s="110"/>
      <c r="AC47" s="111"/>
      <c r="AD47" s="110"/>
    </row>
    <row r="48" spans="2:30">
      <c r="L48" s="109"/>
      <c r="M48" s="110"/>
      <c r="N48" s="110"/>
      <c r="O48" s="110"/>
      <c r="P48" s="110"/>
      <c r="Q48" s="110">
        <f>O46/12</f>
        <v>2.5</v>
      </c>
      <c r="R48" s="110">
        <f>P46/12</f>
        <v>1.5</v>
      </c>
      <c r="S48" s="110"/>
      <c r="T48" s="111"/>
      <c r="U48" s="196"/>
      <c r="V48" s="110"/>
      <c r="W48" s="110"/>
      <c r="X48" s="110"/>
      <c r="Y48" s="110"/>
      <c r="Z48" s="110">
        <f>X46/12</f>
        <v>2.5</v>
      </c>
      <c r="AA48" s="110">
        <f>Y46/12</f>
        <v>1</v>
      </c>
      <c r="AB48" s="110"/>
      <c r="AC48" s="111"/>
      <c r="AD48" s="110"/>
    </row>
    <row r="49" spans="12:30">
      <c r="L49" s="109"/>
      <c r="M49" s="110"/>
      <c r="N49" s="110"/>
      <c r="O49" s="110"/>
      <c r="P49" s="110"/>
      <c r="Q49" s="110">
        <f>-O46/12</f>
        <v>-2.5</v>
      </c>
      <c r="R49" s="110">
        <f>P46/12</f>
        <v>1.5</v>
      </c>
      <c r="S49" s="110"/>
      <c r="T49" s="111"/>
      <c r="U49" s="196"/>
      <c r="V49" s="110"/>
      <c r="W49" s="110"/>
      <c r="X49" s="110"/>
      <c r="Y49" s="110"/>
      <c r="Z49" s="110">
        <f>-X46/12</f>
        <v>-2.5</v>
      </c>
      <c r="AA49" s="110">
        <f>Y46/12</f>
        <v>1</v>
      </c>
      <c r="AB49" s="110"/>
      <c r="AC49" s="111"/>
      <c r="AD49" s="110"/>
    </row>
    <row r="50" spans="12:30" ht="15.75" thickBot="1">
      <c r="L50" s="108"/>
      <c r="M50" s="112"/>
      <c r="N50" s="112"/>
      <c r="O50" s="112"/>
      <c r="P50" s="112"/>
      <c r="Q50" s="112">
        <f>-O46/12</f>
        <v>-2.5</v>
      </c>
      <c r="R50" s="112">
        <f>-P46/12</f>
        <v>-1.5</v>
      </c>
      <c r="S50" s="112"/>
      <c r="T50" s="113"/>
      <c r="U50" s="197"/>
      <c r="V50" s="112"/>
      <c r="W50" s="112"/>
      <c r="X50" s="112"/>
      <c r="Y50" s="112"/>
      <c r="Z50" s="112">
        <f>-X46/12</f>
        <v>-2.5</v>
      </c>
      <c r="AA50" s="112">
        <f>-Y46/12</f>
        <v>-1</v>
      </c>
      <c r="AB50" s="112"/>
      <c r="AC50" s="113"/>
      <c r="AD50" s="110"/>
    </row>
    <row r="51" spans="12:30" ht="15.75" thickBot="1"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2:30">
      <c r="L52" s="101" t="s">
        <v>181</v>
      </c>
      <c r="M52" s="163" t="s">
        <v>8</v>
      </c>
      <c r="N52" s="163" t="s">
        <v>9</v>
      </c>
      <c r="O52" s="163" t="s">
        <v>10</v>
      </c>
      <c r="P52" s="163" t="s">
        <v>11</v>
      </c>
      <c r="Q52" s="163" t="s">
        <v>12</v>
      </c>
      <c r="R52" s="163" t="s">
        <v>13</v>
      </c>
      <c r="S52" s="163" t="s">
        <v>22</v>
      </c>
      <c r="T52" s="164" t="s">
        <v>60</v>
      </c>
      <c r="U52" s="101" t="s">
        <v>187</v>
      </c>
      <c r="V52" s="163" t="s">
        <v>8</v>
      </c>
      <c r="W52" s="163" t="s">
        <v>9</v>
      </c>
      <c r="X52" s="163" t="s">
        <v>10</v>
      </c>
      <c r="Y52" s="163" t="s">
        <v>11</v>
      </c>
      <c r="Z52" s="163" t="s">
        <v>12</v>
      </c>
      <c r="AA52" s="163" t="s">
        <v>13</v>
      </c>
      <c r="AB52" s="163" t="s">
        <v>22</v>
      </c>
      <c r="AC52" s="164" t="s">
        <v>60</v>
      </c>
      <c r="AD52" s="110"/>
    </row>
    <row r="53" spans="12:30">
      <c r="L53" s="109"/>
      <c r="M53" s="23">
        <f>Arm1Design!$K$8</f>
        <v>120</v>
      </c>
      <c r="N53" s="23">
        <f>Arm1Design!$K$9</f>
        <v>24</v>
      </c>
      <c r="O53" s="110">
        <f>M53/2</f>
        <v>60</v>
      </c>
      <c r="P53" s="110">
        <f>N53/2</f>
        <v>12</v>
      </c>
      <c r="Q53" s="110">
        <f>-O53/12</f>
        <v>-5</v>
      </c>
      <c r="R53" s="110">
        <f>-P53/12</f>
        <v>-1</v>
      </c>
      <c r="S53" s="110">
        <f>(M53*N53)/144</f>
        <v>20</v>
      </c>
      <c r="T53" s="111">
        <f>4*S53</f>
        <v>80</v>
      </c>
      <c r="U53" s="196"/>
      <c r="V53" s="23">
        <f>Arm2Design!$K$8</f>
        <v>120</v>
      </c>
      <c r="W53" s="23">
        <f>Arm2Design!$K$9</f>
        <v>24</v>
      </c>
      <c r="X53" s="110">
        <f>V53/2</f>
        <v>60</v>
      </c>
      <c r="Y53" s="110">
        <f>W53/2</f>
        <v>12</v>
      </c>
      <c r="Z53" s="110">
        <f>-X53/12</f>
        <v>-5</v>
      </c>
      <c r="AA53" s="110">
        <f>-Y53/12</f>
        <v>-1</v>
      </c>
      <c r="AB53" s="110">
        <f>(V53*W53)/144</f>
        <v>20</v>
      </c>
      <c r="AC53" s="111">
        <f>4*AB53</f>
        <v>80</v>
      </c>
      <c r="AD53" s="110"/>
    </row>
    <row r="54" spans="12:30">
      <c r="L54" s="109"/>
      <c r="M54" s="110"/>
      <c r="N54" s="110"/>
      <c r="O54" s="110"/>
      <c r="P54" s="110"/>
      <c r="Q54" s="110">
        <f>O53/12</f>
        <v>5</v>
      </c>
      <c r="R54" s="110">
        <f>-P53/12</f>
        <v>-1</v>
      </c>
      <c r="S54" s="110"/>
      <c r="T54" s="111"/>
      <c r="U54" s="196"/>
      <c r="V54" s="110"/>
      <c r="W54" s="110"/>
      <c r="X54" s="110"/>
      <c r="Y54" s="110"/>
      <c r="Z54" s="110">
        <f>X53/12</f>
        <v>5</v>
      </c>
      <c r="AA54" s="110">
        <f>-Y53/12</f>
        <v>-1</v>
      </c>
      <c r="AB54" s="110"/>
      <c r="AC54" s="111"/>
      <c r="AD54" s="110"/>
    </row>
    <row r="55" spans="12:30">
      <c r="L55" s="109"/>
      <c r="M55" s="110"/>
      <c r="N55" s="110"/>
      <c r="O55" s="110"/>
      <c r="P55" s="110"/>
      <c r="Q55" s="110">
        <f>O53/12</f>
        <v>5</v>
      </c>
      <c r="R55" s="110">
        <f>P53/12</f>
        <v>1</v>
      </c>
      <c r="S55" s="110"/>
      <c r="T55" s="111"/>
      <c r="U55" s="196"/>
      <c r="V55" s="110"/>
      <c r="W55" s="110"/>
      <c r="X55" s="110"/>
      <c r="Y55" s="110"/>
      <c r="Z55" s="110">
        <f>X53/12</f>
        <v>5</v>
      </c>
      <c r="AA55" s="110">
        <f>Y53/12</f>
        <v>1</v>
      </c>
      <c r="AB55" s="110"/>
      <c r="AC55" s="111"/>
      <c r="AD55" s="110"/>
    </row>
    <row r="56" spans="12:30">
      <c r="L56" s="109"/>
      <c r="M56" s="110"/>
      <c r="N56" s="110"/>
      <c r="O56" s="110"/>
      <c r="P56" s="110"/>
      <c r="Q56" s="110">
        <f>-O53/12</f>
        <v>-5</v>
      </c>
      <c r="R56" s="110">
        <f>P53/12</f>
        <v>1</v>
      </c>
      <c r="S56" s="110"/>
      <c r="T56" s="111"/>
      <c r="U56" s="196"/>
      <c r="V56" s="110"/>
      <c r="W56" s="110"/>
      <c r="X56" s="110"/>
      <c r="Y56" s="110"/>
      <c r="Z56" s="110">
        <f>-X53/12</f>
        <v>-5</v>
      </c>
      <c r="AA56" s="110">
        <f>Y53/12</f>
        <v>1</v>
      </c>
      <c r="AB56" s="110"/>
      <c r="AC56" s="111"/>
      <c r="AD56" s="110"/>
    </row>
    <row r="57" spans="12:30" ht="15.75" thickBot="1">
      <c r="L57" s="108"/>
      <c r="M57" s="112"/>
      <c r="N57" s="112"/>
      <c r="O57" s="112"/>
      <c r="P57" s="112"/>
      <c r="Q57" s="112">
        <f>-O53/12</f>
        <v>-5</v>
      </c>
      <c r="R57" s="112">
        <f>-P53/12</f>
        <v>-1</v>
      </c>
      <c r="S57" s="112"/>
      <c r="T57" s="113"/>
      <c r="U57" s="197"/>
      <c r="V57" s="112"/>
      <c r="W57" s="112"/>
      <c r="X57" s="112"/>
      <c r="Y57" s="112"/>
      <c r="Z57" s="112">
        <f>-X53/12</f>
        <v>-5</v>
      </c>
      <c r="AA57" s="112">
        <f>-Y53/12</f>
        <v>-1</v>
      </c>
      <c r="AB57" s="112"/>
      <c r="AC57" s="113"/>
      <c r="AD57" s="110"/>
    </row>
    <row r="58" spans="12:30" ht="15.75" thickBo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2:30">
      <c r="L59" s="101" t="s">
        <v>182</v>
      </c>
      <c r="M59" s="163" t="s">
        <v>8</v>
      </c>
      <c r="N59" s="163" t="s">
        <v>9</v>
      </c>
      <c r="O59" s="163" t="s">
        <v>10</v>
      </c>
      <c r="P59" s="163" t="s">
        <v>11</v>
      </c>
      <c r="Q59" s="163" t="s">
        <v>12</v>
      </c>
      <c r="R59" s="163" t="s">
        <v>13</v>
      </c>
      <c r="S59" s="163" t="s">
        <v>22</v>
      </c>
      <c r="T59" s="164" t="s">
        <v>60</v>
      </c>
      <c r="U59" s="101" t="s">
        <v>186</v>
      </c>
      <c r="V59" s="163" t="s">
        <v>8</v>
      </c>
      <c r="W59" s="163" t="s">
        <v>9</v>
      </c>
      <c r="X59" s="163" t="s">
        <v>10</v>
      </c>
      <c r="Y59" s="163" t="s">
        <v>11</v>
      </c>
      <c r="Z59" s="163" t="s">
        <v>12</v>
      </c>
      <c r="AA59" s="163" t="s">
        <v>13</v>
      </c>
      <c r="AB59" s="163" t="s">
        <v>22</v>
      </c>
      <c r="AC59" s="164" t="s">
        <v>60</v>
      </c>
      <c r="AD59" s="110"/>
    </row>
    <row r="60" spans="12:30">
      <c r="L60" s="109"/>
      <c r="M60" s="23">
        <f>Arm1Design!$L$8</f>
        <v>120</v>
      </c>
      <c r="N60" s="23">
        <f>Arm1Design!$L$9</f>
        <v>24</v>
      </c>
      <c r="O60" s="110">
        <f>M60/2</f>
        <v>60</v>
      </c>
      <c r="P60" s="110">
        <f>N60/2</f>
        <v>12</v>
      </c>
      <c r="Q60" s="110">
        <f>-O60/12</f>
        <v>-5</v>
      </c>
      <c r="R60" s="110">
        <f>-P60/12</f>
        <v>-1</v>
      </c>
      <c r="S60" s="110">
        <f>(M60*N60)/144</f>
        <v>20</v>
      </c>
      <c r="T60" s="111">
        <f>4*S60</f>
        <v>80</v>
      </c>
      <c r="U60" s="196"/>
      <c r="V60" s="23">
        <f>Arm2Design!$L$8</f>
        <v>120</v>
      </c>
      <c r="W60" s="23">
        <f>Arm2Design!$L$9</f>
        <v>24</v>
      </c>
      <c r="X60" s="110">
        <f>V60/2</f>
        <v>60</v>
      </c>
      <c r="Y60" s="110">
        <f>W60/2</f>
        <v>12</v>
      </c>
      <c r="Z60" s="110">
        <f>-X60/12</f>
        <v>-5</v>
      </c>
      <c r="AA60" s="110">
        <f>-Y60/12</f>
        <v>-1</v>
      </c>
      <c r="AB60" s="110">
        <f>(V60*W60)/144</f>
        <v>20</v>
      </c>
      <c r="AC60" s="111">
        <f>4*AB60</f>
        <v>80</v>
      </c>
      <c r="AD60" s="110"/>
    </row>
    <row r="61" spans="12:30">
      <c r="L61" s="109"/>
      <c r="M61" s="110"/>
      <c r="N61" s="110"/>
      <c r="O61" s="110"/>
      <c r="P61" s="110"/>
      <c r="Q61" s="110">
        <f>O60/12</f>
        <v>5</v>
      </c>
      <c r="R61" s="110">
        <f>-P60/12</f>
        <v>-1</v>
      </c>
      <c r="S61" s="110"/>
      <c r="T61" s="111"/>
      <c r="U61" s="196"/>
      <c r="V61" s="110"/>
      <c r="W61" s="110"/>
      <c r="X61" s="110"/>
      <c r="Y61" s="110"/>
      <c r="Z61" s="110">
        <f>X60/12</f>
        <v>5</v>
      </c>
      <c r="AA61" s="110">
        <f>-Y60/12</f>
        <v>-1</v>
      </c>
      <c r="AB61" s="110"/>
      <c r="AC61" s="111"/>
      <c r="AD61" s="110"/>
    </row>
    <row r="62" spans="12:30">
      <c r="L62" s="109"/>
      <c r="M62" s="110"/>
      <c r="N62" s="110"/>
      <c r="O62" s="110"/>
      <c r="P62" s="110"/>
      <c r="Q62" s="110">
        <f>O60/12</f>
        <v>5</v>
      </c>
      <c r="R62" s="110">
        <f>P60/12</f>
        <v>1</v>
      </c>
      <c r="S62" s="110"/>
      <c r="T62" s="111"/>
      <c r="U62" s="196"/>
      <c r="V62" s="110"/>
      <c r="W62" s="110"/>
      <c r="X62" s="110"/>
      <c r="Y62" s="110"/>
      <c r="Z62" s="110">
        <f>X60/12</f>
        <v>5</v>
      </c>
      <c r="AA62" s="110">
        <f>Y60/12</f>
        <v>1</v>
      </c>
      <c r="AB62" s="110"/>
      <c r="AC62" s="111"/>
      <c r="AD62" s="110"/>
    </row>
    <row r="63" spans="12:30">
      <c r="L63" s="109"/>
      <c r="M63" s="110"/>
      <c r="N63" s="110"/>
      <c r="O63" s="110"/>
      <c r="P63" s="110"/>
      <c r="Q63" s="110">
        <f>-O60/12</f>
        <v>-5</v>
      </c>
      <c r="R63" s="110">
        <f>P60/12</f>
        <v>1</v>
      </c>
      <c r="S63" s="110"/>
      <c r="T63" s="111"/>
      <c r="U63" s="196"/>
      <c r="V63" s="110"/>
      <c r="W63" s="110"/>
      <c r="X63" s="110"/>
      <c r="Y63" s="110"/>
      <c r="Z63" s="110">
        <f>-X60/12</f>
        <v>-5</v>
      </c>
      <c r="AA63" s="110">
        <f>Y60/12</f>
        <v>1</v>
      </c>
      <c r="AB63" s="110"/>
      <c r="AC63" s="111"/>
      <c r="AD63" s="110"/>
    </row>
    <row r="64" spans="12:30" ht="15.75" thickBot="1">
      <c r="L64" s="108"/>
      <c r="M64" s="112"/>
      <c r="N64" s="112"/>
      <c r="O64" s="112"/>
      <c r="P64" s="112"/>
      <c r="Q64" s="112">
        <f>-O60/12</f>
        <v>-5</v>
      </c>
      <c r="R64" s="112">
        <f>-P60/12</f>
        <v>-1</v>
      </c>
      <c r="S64" s="112"/>
      <c r="T64" s="113"/>
      <c r="U64" s="197"/>
      <c r="V64" s="112"/>
      <c r="W64" s="112"/>
      <c r="X64" s="112"/>
      <c r="Y64" s="112"/>
      <c r="Z64" s="112">
        <f>-X60/12</f>
        <v>-5</v>
      </c>
      <c r="AA64" s="112">
        <f>-Y60/12</f>
        <v>-1</v>
      </c>
      <c r="AB64" s="112"/>
      <c r="AC64" s="113"/>
      <c r="AD64" s="110"/>
    </row>
    <row r="65" spans="12:30" ht="15.75" thickBot="1"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2:30">
      <c r="L66" s="101" t="s">
        <v>183</v>
      </c>
      <c r="M66" s="163" t="s">
        <v>8</v>
      </c>
      <c r="N66" s="163" t="s">
        <v>9</v>
      </c>
      <c r="O66" s="163" t="s">
        <v>10</v>
      </c>
      <c r="P66" s="163" t="s">
        <v>11</v>
      </c>
      <c r="Q66" s="163" t="s">
        <v>12</v>
      </c>
      <c r="R66" s="163" t="s">
        <v>13</v>
      </c>
      <c r="S66" s="163" t="s">
        <v>22</v>
      </c>
      <c r="T66" s="164" t="s">
        <v>60</v>
      </c>
      <c r="U66" s="101" t="s">
        <v>185</v>
      </c>
      <c r="V66" s="163" t="s">
        <v>8</v>
      </c>
      <c r="W66" s="163" t="s">
        <v>9</v>
      </c>
      <c r="X66" s="163" t="s">
        <v>10</v>
      </c>
      <c r="Y66" s="163" t="s">
        <v>11</v>
      </c>
      <c r="Z66" s="163" t="s">
        <v>12</v>
      </c>
      <c r="AA66" s="163" t="s">
        <v>13</v>
      </c>
      <c r="AB66" s="163" t="s">
        <v>22</v>
      </c>
      <c r="AC66" s="164" t="s">
        <v>60</v>
      </c>
      <c r="AD66" s="110"/>
    </row>
    <row r="67" spans="12:30">
      <c r="L67" s="109"/>
      <c r="M67" s="23">
        <f>Arm1Design!$M$8</f>
        <v>120</v>
      </c>
      <c r="N67" s="23">
        <f>Arm1Design!$M$9</f>
        <v>24</v>
      </c>
      <c r="O67" s="110">
        <f>M67/2</f>
        <v>60</v>
      </c>
      <c r="P67" s="110">
        <f>N67/2</f>
        <v>12</v>
      </c>
      <c r="Q67" s="110">
        <f>-O67/12</f>
        <v>-5</v>
      </c>
      <c r="R67" s="110">
        <f>-P67/12</f>
        <v>-1</v>
      </c>
      <c r="S67" s="110">
        <f>(M67*N67)/144</f>
        <v>20</v>
      </c>
      <c r="T67" s="111">
        <f>4*S67</f>
        <v>80</v>
      </c>
      <c r="U67" s="196"/>
      <c r="V67" s="23">
        <f>Arm2Design!$M$8</f>
        <v>120</v>
      </c>
      <c r="W67" s="23">
        <f>Arm2Design!$M$9</f>
        <v>24</v>
      </c>
      <c r="X67" s="110">
        <f>V67/2</f>
        <v>60</v>
      </c>
      <c r="Y67" s="110">
        <f>W67/2</f>
        <v>12</v>
      </c>
      <c r="Z67" s="110">
        <f>-X67/12</f>
        <v>-5</v>
      </c>
      <c r="AA67" s="110">
        <f>-Y67/12</f>
        <v>-1</v>
      </c>
      <c r="AB67" s="110">
        <f>(V67*W67)/144</f>
        <v>20</v>
      </c>
      <c r="AC67" s="111">
        <f>4*AB67</f>
        <v>80</v>
      </c>
      <c r="AD67" s="110"/>
    </row>
    <row r="68" spans="12:30">
      <c r="L68" s="109"/>
      <c r="M68" s="110"/>
      <c r="N68" s="110"/>
      <c r="O68" s="110"/>
      <c r="P68" s="110"/>
      <c r="Q68" s="110">
        <f>O67/12</f>
        <v>5</v>
      </c>
      <c r="R68" s="110">
        <f>-P67/12</f>
        <v>-1</v>
      </c>
      <c r="S68" s="110"/>
      <c r="T68" s="111"/>
      <c r="U68" s="196"/>
      <c r="V68" s="110"/>
      <c r="W68" s="110"/>
      <c r="X68" s="110"/>
      <c r="Y68" s="110"/>
      <c r="Z68" s="110">
        <f>X67/12</f>
        <v>5</v>
      </c>
      <c r="AA68" s="110">
        <f>-Y67/12</f>
        <v>-1</v>
      </c>
      <c r="AB68" s="110"/>
      <c r="AC68" s="111"/>
      <c r="AD68" s="110"/>
    </row>
    <row r="69" spans="12:30">
      <c r="L69" s="109"/>
      <c r="M69" s="110"/>
      <c r="N69" s="110"/>
      <c r="O69" s="110"/>
      <c r="P69" s="110"/>
      <c r="Q69" s="110">
        <f>O67/12</f>
        <v>5</v>
      </c>
      <c r="R69" s="110">
        <f>P67/12</f>
        <v>1</v>
      </c>
      <c r="S69" s="110"/>
      <c r="T69" s="111"/>
      <c r="U69" s="196"/>
      <c r="V69" s="110"/>
      <c r="W69" s="110"/>
      <c r="X69" s="110"/>
      <c r="Y69" s="110"/>
      <c r="Z69" s="110">
        <f>X67/12</f>
        <v>5</v>
      </c>
      <c r="AA69" s="110">
        <f>Y67/12</f>
        <v>1</v>
      </c>
      <c r="AB69" s="110"/>
      <c r="AC69" s="111"/>
      <c r="AD69" s="110"/>
    </row>
    <row r="70" spans="12:30">
      <c r="L70" s="109"/>
      <c r="M70" s="110"/>
      <c r="N70" s="110"/>
      <c r="O70" s="110"/>
      <c r="P70" s="110"/>
      <c r="Q70" s="110">
        <f>-O67/12</f>
        <v>-5</v>
      </c>
      <c r="R70" s="110">
        <f>P67/12</f>
        <v>1</v>
      </c>
      <c r="S70" s="110"/>
      <c r="T70" s="111"/>
      <c r="U70" s="196"/>
      <c r="V70" s="110"/>
      <c r="W70" s="110"/>
      <c r="X70" s="110"/>
      <c r="Y70" s="110"/>
      <c r="Z70" s="110">
        <f>-X67/12</f>
        <v>-5</v>
      </c>
      <c r="AA70" s="110">
        <f>Y67/12</f>
        <v>1</v>
      </c>
      <c r="AB70" s="110"/>
      <c r="AC70" s="111"/>
      <c r="AD70" s="110"/>
    </row>
    <row r="71" spans="12:30" ht="15.75" thickBot="1">
      <c r="L71" s="108"/>
      <c r="M71" s="112"/>
      <c r="N71" s="112"/>
      <c r="O71" s="112"/>
      <c r="P71" s="112"/>
      <c r="Q71" s="112">
        <f>-O67/12</f>
        <v>-5</v>
      </c>
      <c r="R71" s="112">
        <f>-P67/12</f>
        <v>-1</v>
      </c>
      <c r="S71" s="112"/>
      <c r="T71" s="113"/>
      <c r="U71" s="197"/>
      <c r="V71" s="112"/>
      <c r="W71" s="112"/>
      <c r="X71" s="112"/>
      <c r="Y71" s="112"/>
      <c r="Z71" s="112">
        <f>-X67/12</f>
        <v>-5</v>
      </c>
      <c r="AA71" s="112">
        <f>-Y67/12</f>
        <v>-1</v>
      </c>
      <c r="AB71" s="112"/>
      <c r="AC71" s="113"/>
      <c r="AD71" s="110"/>
    </row>
  </sheetData>
  <sheetProtection sheet="1" objects="1" scenarios="1"/>
  <mergeCells count="3">
    <mergeCell ref="C36:C37"/>
    <mergeCell ref="D36:D37"/>
    <mergeCell ref="F36:F37"/>
  </mergeCells>
  <pageMargins left="0.7" right="0.7" top="0.75" bottom="0.75" header="0.3" footer="0.3"/>
  <pageSetup orientation="portrait" r:id="rId1"/>
  <ignoredErrors>
    <ignoredError sqref="C5:D5 C12:D12 C19:D19" formula="1"/>
    <ignoredError sqref="D4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79998168889431442"/>
    <pageSetUpPr fitToPage="1"/>
  </sheetPr>
  <dimension ref="A1:Q44"/>
  <sheetViews>
    <sheetView workbookViewId="0"/>
  </sheetViews>
  <sheetFormatPr defaultRowHeight="15"/>
  <cols>
    <col min="1" max="1" width="3.42578125" customWidth="1"/>
    <col min="2" max="2" width="14.42578125" customWidth="1"/>
    <col min="3" max="3" width="13.85546875" customWidth="1"/>
    <col min="4" max="12" width="12.7109375" customWidth="1"/>
  </cols>
  <sheetData>
    <row r="1" spans="1:17">
      <c r="A1" s="8"/>
      <c r="B1" s="8"/>
      <c r="C1" s="436" t="s">
        <v>195</v>
      </c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</row>
    <row r="2" spans="1:17" ht="30">
      <c r="A2" s="8"/>
      <c r="B2" s="8"/>
      <c r="C2" s="9" t="s">
        <v>273</v>
      </c>
      <c r="D2" s="9" t="s">
        <v>274</v>
      </c>
      <c r="E2" s="9" t="s">
        <v>275</v>
      </c>
      <c r="F2" s="9" t="s">
        <v>276</v>
      </c>
      <c r="G2" s="9" t="s">
        <v>277</v>
      </c>
      <c r="H2" s="9" t="s">
        <v>278</v>
      </c>
      <c r="I2" s="9" t="s">
        <v>279</v>
      </c>
      <c r="J2" s="9" t="s">
        <v>280</v>
      </c>
      <c r="K2" s="9" t="s">
        <v>281</v>
      </c>
      <c r="L2" s="9" t="s">
        <v>282</v>
      </c>
      <c r="M2" s="8"/>
      <c r="N2" s="10" t="s">
        <v>6</v>
      </c>
      <c r="O2" s="10" t="s">
        <v>7</v>
      </c>
    </row>
    <row r="3" spans="1:17">
      <c r="A3" s="8"/>
      <c r="B3" s="8"/>
      <c r="C3" s="7">
        <f>IF(AND(Arm1Design!$D$8&lt;&gt;0,Arm1Design!$D$9&lt;&gt;0,Arm1Design!$D$7=5),Dimensions!Q4+Arm1Design!$D$6,IF(Arm1Design!$D$7=2,Dimensions!$G$4+Arm1Design!$D$6,IF(Arm1Design!$D$7=3,Dimensions!$G$11+Arm1Design!$D$6,IF(Arm1Design!$D$7=4,Dimensions!$G$18+Arm1Design!$D$6,0))))</f>
        <v>0</v>
      </c>
      <c r="D3" s="7">
        <f>IF(AND(Arm1Design!$E$8&lt;&gt;0,Arm1Design!$E$9&lt;&gt;0,Arm1Design!$E$7=5),Dimensions!Q11+Arm1Design!$E$6,IF(Arm1Design!$E$7=2,Dimensions!$G$4+Arm1Design!$E$6,IF(Arm1Design!$E$7=3,Dimensions!$G$11+Arm1Design!$E$6,IF(Arm1Design!$E$7=4,Dimensions!$G$18+Arm1Design!$E$6,0))))</f>
        <v>0</v>
      </c>
      <c r="E3" s="7">
        <f>IF(AND(Arm1Design!$F$8&lt;&gt;0,Arm1Design!$F$9&lt;&gt;0,Arm1Design!$F$7=5),Dimensions!Q18+Arm1Design!$F$6,IF(Arm1Design!$F$7=2,Dimensions!$G$4+Arm1Design!$F$6,IF(Arm1Design!$F$7=3,Dimensions!$G$11+Arm1Design!$F$6,IF(Arm1Design!$F$7=4,Dimensions!$G$18+Arm1Design!$F$6,0))))</f>
        <v>0</v>
      </c>
      <c r="F3" s="7">
        <f>IF(AND(Arm1Design!$G$8&lt;&gt;0,Arm1Design!$G$9&lt;&gt;0,Arm1Design!$G$7=5),Dimensions!Q25+Arm1Design!$G$6,IF(Arm1Design!$G$7=2,Dimensions!$G$4+Arm1Design!$G$6,IF(Arm1Design!$G$7=3,Dimensions!$G$11+Arm1Design!$G$6,IF(Arm1Design!$G$7=4,Dimensions!$G$18+Arm1Design!$G$6,0))))</f>
        <v>0</v>
      </c>
      <c r="G3" s="7">
        <f>IF(AND(Arm1Design!$H$8&lt;&gt;0,Arm1Design!$H$9&lt;&gt;0,Arm1Design!$H$7=5),Dimensions!Q32+Arm1Design!$H$6,IF(Arm1Design!$H$7=2,Dimensions!$G$4+Arm1Design!$H$6,IF(Arm1Design!$H$7=3,Dimensions!$G$11+Arm1Design!$H$6,IF(Arm1Design!$H$7=4,Dimensions!$G$18+Arm1Design!$H$6,0))))</f>
        <v>53.916666666666664</v>
      </c>
      <c r="H3" s="7">
        <f>IF(AND(Arm1Design!$I$8&lt;&gt;0,Arm1Design!$I$9&lt;&gt;0,Arm1Design!$I$7=5),Dimensions!Q39+Arm1Design!$I$6,IF(Arm1Design!$I$7=2,Dimensions!$G$4+Arm1Design!$I$6,IF(Arm1Design!$I$7=3,Dimensions!$G$11+Arm1Design!$I$6,IF(Arm1Design!$I$7=4,Dimensions!$G$18+Arm1Design!$I$6,0))))</f>
        <v>43.916666666666664</v>
      </c>
      <c r="I3" s="7">
        <f>IF(AND(Arm1Design!$J$8&lt;&gt;0,Arm1Design!$J$9&lt;&gt;0,Arm1Design!$J$7=5),Dimensions!Q46+Arm1Design!$J$6,IF(Arm1Design!$J$7=2,Dimensions!$G$4+Arm1Design!$J$6,IF(Arm1Design!$J$7=3,Dimensions!$G$11+Arm1Design!$J$6,IF(Arm1Design!$J$7=4,Dimensions!$G$18+Arm1Design!$J$6,0))))</f>
        <v>33.916666666666664</v>
      </c>
      <c r="J3" s="7">
        <f>IF(AND(Arm1Design!$K$8&lt;&gt;0,Arm1Design!$K$9&lt;&gt;0,Arm1Design!$K$7=5),Dimensions!Q53+Arm1Design!$K$6,IF(Arm1Design!$K$7=2,Dimensions!$G$4+Arm1Design!$K$6,IF(Arm1Design!$K$7=3,Dimensions!$G$11+Arm1Design!$K$6,IF(Arm1Design!$K$7=4,Dimensions!$G$18+Arm1Design!$K$6,0))))</f>
        <v>26.916666666666668</v>
      </c>
      <c r="K3" s="7">
        <f>IF(AND(Arm1Design!$L$8&lt;&gt;0,Arm1Design!$L$9&lt;&gt;0,Arm1Design!$L$7=5),Dimensions!Q60+Arm1Design!$L$6,IF(Arm1Design!$L$7=2,Dimensions!$G$4+Arm1Design!$L$6,IF(Arm1Design!$L$7=3,Dimensions!$G$11+Arm1Design!$L$6,IF(Arm1Design!$L$7=4,Dimensions!$G$18+Arm1Design!$L$6,0))))</f>
        <v>20.916666666666668</v>
      </c>
      <c r="L3" s="7">
        <f>IF(AND(Arm1Design!$M$8&lt;&gt;0,Arm1Design!$M$9&lt;&gt;0,Arm1Design!$M$7=5),Dimensions!Q67+Arm1Design!$M$6,IF(Arm1Design!$M$7=2,Dimensions!$G$4+Arm1Design!$M$6,IF(Arm1Design!$M$7=3,Dimensions!$G$11+Arm1Design!$M$6,IF(Arm1Design!$M$7=4,Dimensions!$G$18+Arm1Design!$M$6,0))))</f>
        <v>7</v>
      </c>
      <c r="M3" s="8"/>
      <c r="N3" s="6">
        <f>Dimensions!$E$36</f>
        <v>70</v>
      </c>
      <c r="O3" s="6">
        <f>-Dimensions!$F$36</f>
        <v>-0.25</v>
      </c>
    </row>
    <row r="4" spans="1:17">
      <c r="A4" s="8"/>
      <c r="B4" s="8"/>
      <c r="C4" s="7">
        <f>IF(AND(Arm1Design!$D$8&lt;&gt;0,Arm1Design!$D$9&lt;&gt;0,Arm1Design!$D$7=5),Dimensions!Q5+Arm1Design!$D$6,IF(Arm1Design!$D$7=2,Dimensions!$G$5+Arm1Design!$D$6,IF(Arm1Design!$D$7=3,Dimensions!$G$12+Arm1Design!$D$6,IF(Arm1Design!$D$7=4,Dimensions!$G$19+Arm1Design!$D$6,0))))</f>
        <v>0</v>
      </c>
      <c r="D4" s="7">
        <f>IF(AND(Arm1Design!$E$8&lt;&gt;0,Arm1Design!$E$9&lt;&gt;0,Arm1Design!$E$7=5),Dimensions!Q12+Arm1Design!$E$6,IF(Arm1Design!$E$7=2,Dimensions!$G$5+Arm1Design!$E$6,IF(Arm1Design!$E$7=3,Dimensions!$G$12+Arm1Design!$E$6,IF(Arm1Design!$E$7=4,Dimensions!$G$19+Arm1Design!$E$6,0))))</f>
        <v>0</v>
      </c>
      <c r="E4" s="7">
        <f>IF(AND(Arm1Design!$F$8&lt;&gt;0,Arm1Design!$F$9&lt;&gt;0,Arm1Design!$F$7=5),Dimensions!Q19+Arm1Design!$F$6,IF(Arm1Design!$F$7=2,Dimensions!$G$5+Arm1Design!$F$6,IF(Arm1Design!$F$7=3,Dimensions!$G$12+Arm1Design!$F$6,IF(Arm1Design!$F$7=4,Dimensions!$G$19+Arm1Design!$F$6,0))))</f>
        <v>0</v>
      </c>
      <c r="F4" s="7">
        <f>IF(AND(Arm1Design!$G$8&lt;&gt;0,Arm1Design!$G$9&lt;&gt;0,Arm1Design!$G$7=5),Dimensions!Q26+Arm1Design!$G$6,IF(Arm1Design!$G$7=2,Dimensions!$G$5+Arm1Design!$G$6,IF(Arm1Design!$G$7=3,Dimensions!$G$12+Arm1Design!$G$6,IF(Arm1Design!$G$7=4,Dimensions!$G$19+Arm1Design!$G$6,0))))</f>
        <v>0</v>
      </c>
      <c r="G4" s="7">
        <f>IF(AND(Arm1Design!$H$8&lt;&gt;0,Arm1Design!$H$9&lt;&gt;0,Arm1Design!$H$7=5),Dimensions!Q33+Arm1Design!$H$6,IF(Arm1Design!$H$7=2,Dimensions!$G$5+Arm1Design!$H$6,IF(Arm1Design!$H$7=3,Dimensions!$G$12+Arm1Design!$H$6,IF(Arm1Design!$H$7=4,Dimensions!$G$19+Arm1Design!$H$6,0))))</f>
        <v>56.083333333333336</v>
      </c>
      <c r="H4" s="7">
        <f>IF(AND(Arm1Design!$I$8&lt;&gt;0,Arm1Design!$I$9&lt;&gt;0,Arm1Design!$I$7=5),Dimensions!Q40+Arm1Design!$I$6,IF(Arm1Design!$I$7=2,Dimensions!$G$5+Arm1Design!$I$6,IF(Arm1Design!$I$7=3,Dimensions!$G$12+Arm1Design!$I$6,IF(Arm1Design!$I$7=4,Dimensions!$G$19+Arm1Design!$I$6,0))))</f>
        <v>46.083333333333336</v>
      </c>
      <c r="I4" s="7">
        <f>IF(AND(Arm1Design!$J$8&lt;&gt;0,Arm1Design!$J$9&lt;&gt;0,Arm1Design!$J$7=5),Dimensions!Q47+Arm1Design!$J$6,IF(Arm1Design!$J$7=2,Dimensions!$G$5+Arm1Design!$J$6,IF(Arm1Design!$J$7=3,Dimensions!$G$12+Arm1Design!$J$6,IF(Arm1Design!$J$7=4,Dimensions!$G$19+Arm1Design!$J$6,0))))</f>
        <v>36.083333333333336</v>
      </c>
      <c r="J4" s="7">
        <f>IF(AND(Arm1Design!$K$8&lt;&gt;0,Arm1Design!$K$9&lt;&gt;0,Arm1Design!$K$7=5),Dimensions!Q54+Arm1Design!$K$6,IF(Arm1Design!$K$7=2,Dimensions!$G$5+Arm1Design!$K$6,IF(Arm1Design!$K$7=3,Dimensions!$G$12+Arm1Design!$K$6,IF(Arm1Design!$K$7=4,Dimensions!$G$19+Arm1Design!$K$6,0))))</f>
        <v>29.083333333333332</v>
      </c>
      <c r="K4" s="7">
        <f>IF(AND(Arm1Design!$L$8&lt;&gt;0,Arm1Design!$L$9&lt;&gt;0,Arm1Design!$L$7=5),Dimensions!Q61+Arm1Design!$L$6,IF(Arm1Design!$L$7=2,Dimensions!$G$5+Arm1Design!$L$6,IF(Arm1Design!$L$7=3,Dimensions!$G$12+Arm1Design!$L$6,IF(Arm1Design!$L$7=4,Dimensions!$G$19+Arm1Design!$L$6,0))))</f>
        <v>23.083333333333332</v>
      </c>
      <c r="L4" s="7">
        <f>IF(AND(Arm1Design!$M$8&lt;&gt;0,Arm1Design!$M$9&lt;&gt;0,Arm1Design!$M$7=5),Dimensions!Q68+Arm1Design!$M$6,IF(Arm1Design!$M$7=2,Dimensions!$G$5+Arm1Design!$M$6,IF(Arm1Design!$M$7=3,Dimensions!$G$12+Arm1Design!$M$6,IF(Arm1Design!$M$7=4,Dimensions!$G$19+Arm1Design!$M$6,0))))</f>
        <v>17</v>
      </c>
      <c r="M4" s="8"/>
      <c r="N4" s="6">
        <v>0</v>
      </c>
      <c r="O4" s="6">
        <f>2*(-Dimensions!$E$36*Dimensions!$D$36)/12-Dimensions!$F$36</f>
        <v>-0.48333333333333339</v>
      </c>
      <c r="P4" s="2"/>
    </row>
    <row r="5" spans="1:17">
      <c r="A5" s="8"/>
      <c r="B5" s="8"/>
      <c r="C5" s="7">
        <f>IF(AND(Arm1Design!$D$8&lt;&gt;0,Arm1Design!$D$9&lt;&gt;0,Arm1Design!$D$7=5),Dimensions!Q6+Arm1Design!$D$6,IF(Arm1Design!$D$7=2,Dimensions!$G$6+Arm1Design!$D$6,IF(Arm1Design!$D$7=3,Dimensions!$G$13+Arm1Design!$D$6,IF(Arm1Design!$D$7=4,Dimensions!$G$20+Arm1Design!$D$6,0))))</f>
        <v>0</v>
      </c>
      <c r="D5" s="7">
        <f>IF(AND(Arm1Design!$E$8&lt;&gt;0,Arm1Design!$E$9&lt;&gt;0,Arm1Design!$E$7=5),Dimensions!Q13+Arm1Design!$E$6,IF(Arm1Design!$E$7=2,Dimensions!$G$6+Arm1Design!$E$6,IF(Arm1Design!$E$7=3,Dimensions!$G$13+Arm1Design!$E$6,IF(Arm1Design!$E$7=4,Dimensions!$G$20+Arm1Design!$E$6,0))))</f>
        <v>0</v>
      </c>
      <c r="E5" s="7">
        <f>IF(AND(Arm1Design!$F$8&lt;&gt;0,Arm1Design!$F$9&lt;&gt;0,Arm1Design!$F$7=5),Dimensions!Q20+Arm1Design!$F$6,IF(Arm1Design!$F$7=2,Dimensions!$G$6+Arm1Design!$F$6,IF(Arm1Design!$F$7=3,Dimensions!$G$13+Arm1Design!$F$6,IF(Arm1Design!$F$7=4,Dimensions!$G$20+Arm1Design!$F$6,0))))</f>
        <v>0</v>
      </c>
      <c r="F5" s="7">
        <f>IF(AND(Arm1Design!$G$8&lt;&gt;0,Arm1Design!$G$9&lt;&gt;0,Arm1Design!$G$7=5),Dimensions!Q27+Arm1Design!$G$6,IF(Arm1Design!$G$7=2,Dimensions!$G$6+Arm1Design!$G$6,IF(Arm1Design!$G$7=3,Dimensions!$G$13+Arm1Design!$G$6,IF(Arm1Design!$G$7=4,Dimensions!$G$20+Arm1Design!$G$6,0))))</f>
        <v>0</v>
      </c>
      <c r="G5" s="7">
        <f>IF(AND(Arm1Design!$H$8&lt;&gt;0,Arm1Design!$H$9&lt;&gt;0,Arm1Design!$H$7=5),Dimensions!Q34+Arm1Design!$H$6,IF(Arm1Design!$H$7=2,Dimensions!$G$6+Arm1Design!$H$6,IF(Arm1Design!$H$7=3,Dimensions!$G$13+Arm1Design!$H$6,IF(Arm1Design!$H$7=4,Dimensions!$G$20+Arm1Design!$H$6,0))))</f>
        <v>56.083333333333336</v>
      </c>
      <c r="H5" s="7">
        <f>IF(AND(Arm1Design!$I$8&lt;&gt;0,Arm1Design!$I$9&lt;&gt;0,Arm1Design!$I$7=5),Dimensions!Q41+Arm1Design!$I$6,IF(Arm1Design!$I$7=2,Dimensions!$G$6+Arm1Design!$I$6,IF(Arm1Design!$I$7=3,Dimensions!$G$13+Arm1Design!$I$6,IF(Arm1Design!$I$7=4,Dimensions!$G$20+Arm1Design!$I$6,0))))</f>
        <v>46.083333333333336</v>
      </c>
      <c r="I5" s="7">
        <f>IF(AND(Arm1Design!$J$8&lt;&gt;0,Arm1Design!$J$9&lt;&gt;0,Arm1Design!$J$7=5),Dimensions!Q48+Arm1Design!$J$6,IF(Arm1Design!$J$7=2,Dimensions!$G$6+Arm1Design!$J$6,IF(Arm1Design!$J$7=3,Dimensions!$G$13+Arm1Design!$J$6,IF(Arm1Design!$J$7=4,Dimensions!$G$20+Arm1Design!$J$6,0))))</f>
        <v>36.083333333333336</v>
      </c>
      <c r="J5" s="7">
        <f>IF(AND(Arm1Design!$K$8&lt;&gt;0,Arm1Design!$K$9&lt;&gt;0,Arm1Design!$K$7=5),Dimensions!Q55+Arm1Design!$K$6,IF(Arm1Design!$K$7=2,Dimensions!$G$6+Arm1Design!$K$6,IF(Arm1Design!$K$7=3,Dimensions!$G$13+Arm1Design!$K$6,IF(Arm1Design!$K$7=4,Dimensions!$G$20+Arm1Design!$K$6,0))))</f>
        <v>29.083333333333332</v>
      </c>
      <c r="K5" s="7">
        <f>IF(AND(Arm1Design!$L$8&lt;&gt;0,Arm1Design!$L$9&lt;&gt;0,Arm1Design!$L$7=5),Dimensions!Q62+Arm1Design!$L$6,IF(Arm1Design!$L$7=2,Dimensions!$G$6+Arm1Design!$L$6,IF(Arm1Design!$L$7=3,Dimensions!$G$13+Arm1Design!$L$6,IF(Arm1Design!$L$7=4,Dimensions!$G$20+Arm1Design!$L$6,0))))</f>
        <v>23.083333333333332</v>
      </c>
      <c r="L5" s="7">
        <f>IF(AND(Arm1Design!$M$8&lt;&gt;0,Arm1Design!$M$9&lt;&gt;0,Arm1Design!$M$7=5),Dimensions!Q69+Arm1Design!$M$6,IF(Arm1Design!$M$7=2,Dimensions!$G$6+Arm1Design!$M$6,IF(Arm1Design!$M$7=3,Dimensions!$G$13+Arm1Design!$M$6,IF(Arm1Design!$M$7=4,Dimensions!$G$20+Arm1Design!$M$6,0))))</f>
        <v>17</v>
      </c>
      <c r="M5" s="8"/>
      <c r="N5" s="6">
        <v>0</v>
      </c>
      <c r="O5" s="6">
        <f>-O4</f>
        <v>0.48333333333333339</v>
      </c>
      <c r="P5" s="1"/>
    </row>
    <row r="6" spans="1:17">
      <c r="A6" s="8"/>
      <c r="B6" s="8"/>
      <c r="C6" s="7">
        <f>IF(AND(Arm1Design!$D$8&lt;&gt;0,Arm1Design!$D$9&lt;&gt;0,Arm1Design!$D$7=5),Dimensions!Q7+Arm1Design!$D$6,IF(Arm1Design!$D$7=2,Dimensions!$G$7+Arm1Design!$D$6,IF(Arm1Design!$D$7=3,Dimensions!$G$14+Arm1Design!$D$6,IF(Arm1Design!$D$7=4,Dimensions!$G$21+Arm1Design!$D$6,0))))</f>
        <v>0</v>
      </c>
      <c r="D6" s="7">
        <f>IF(AND(Arm1Design!$E$8&lt;&gt;0,Arm1Design!$E$9&lt;&gt;0,Arm1Design!$E$7=5),Dimensions!Q14+Arm1Design!$E$6,IF(Arm1Design!$E$7=2,Dimensions!$G$7+Arm1Design!$E$6,IF(Arm1Design!$E$7=3,Dimensions!$G$14+Arm1Design!$E$6,IF(Arm1Design!$E$7=4,Dimensions!$G$21+Arm1Design!$E$6,0))))</f>
        <v>0</v>
      </c>
      <c r="E6" s="7">
        <f>IF(AND(Arm1Design!$F$8&lt;&gt;0,Arm1Design!$F$9&lt;&gt;0,Arm1Design!$F$7=5),Dimensions!Q21+Arm1Design!$F$6,IF(Arm1Design!$F$7=2,Dimensions!$G$7+Arm1Design!$F$6,IF(Arm1Design!$F$7=3,Dimensions!$G$14+Arm1Design!$F$6,IF(Arm1Design!$F$7=4,Dimensions!$G$21+Arm1Design!$F$6,0))))</f>
        <v>0</v>
      </c>
      <c r="F6" s="7">
        <f>IF(AND(Arm1Design!$G$8&lt;&gt;0,Arm1Design!$G$9&lt;&gt;0,Arm1Design!$G$7=5),Dimensions!Q28+Arm1Design!$G$6,IF(Arm1Design!$G$7=2,Dimensions!$G$7+Arm1Design!$G$6,IF(Arm1Design!$G$7=3,Dimensions!$G$14+Arm1Design!$G$6,IF(Arm1Design!$G$7=4,Dimensions!$G$21+Arm1Design!$G$6,0))))</f>
        <v>0</v>
      </c>
      <c r="G6" s="7">
        <f>IF(AND(Arm1Design!$H$8&lt;&gt;0,Arm1Design!$H$9&lt;&gt;0,Arm1Design!$H$7=5),Dimensions!Q35+Arm1Design!$H$6,IF(Arm1Design!$H$7=2,Dimensions!$G$7+Arm1Design!$H$6,IF(Arm1Design!$H$7=3,Dimensions!$G$14+Arm1Design!$H$6,IF(Arm1Design!$H$7=4,Dimensions!$G$21+Arm1Design!$H$6,0))))</f>
        <v>53.916666666666664</v>
      </c>
      <c r="H6" s="7">
        <f>IF(AND(Arm1Design!$I$8&lt;&gt;0,Arm1Design!$I$9&lt;&gt;0,Arm1Design!$I$7=5),Dimensions!Q42+Arm1Design!$I$6,IF(Arm1Design!$I$7=2,Dimensions!$G$7+Arm1Design!$I$6,IF(Arm1Design!$I$7=3,Dimensions!$G$14+Arm1Design!$I$6,IF(Arm1Design!$I$7=4,Dimensions!$G$21+Arm1Design!$I$6,0))))</f>
        <v>43.916666666666664</v>
      </c>
      <c r="I6" s="7">
        <f>IF(AND(Arm1Design!$J$8&lt;&gt;0,Arm1Design!$J$9&lt;&gt;0,Arm1Design!$J$7=5),Dimensions!Q49+Arm1Design!$J$6,IF(Arm1Design!$J$7=2,Dimensions!$G$7+Arm1Design!$J$6,IF(Arm1Design!$J$7=3,Dimensions!$G$14+Arm1Design!$J$6,IF(Arm1Design!$J$7=4,Dimensions!$G$21+Arm1Design!$J$6,0))))</f>
        <v>33.916666666666664</v>
      </c>
      <c r="J6" s="7">
        <f>IF(AND(Arm1Design!$K$8&lt;&gt;0,Arm1Design!$K$9&lt;&gt;0,Arm1Design!$K$7=5),Dimensions!Q56+Arm1Design!$K$6,IF(Arm1Design!$K$7=2,Dimensions!$G$7+Arm1Design!$K$6,IF(Arm1Design!$K$7=3,Dimensions!$G$14+Arm1Design!$K$6,IF(Arm1Design!$K$7=4,Dimensions!$G$21+Arm1Design!$K$6,0))))</f>
        <v>26.916666666666668</v>
      </c>
      <c r="K6" s="7">
        <f>IF(AND(Arm1Design!$L$8&lt;&gt;0,Arm1Design!$L$9&lt;&gt;0,Arm1Design!$L$7=5),Dimensions!Q63+Arm1Design!$L$6,IF(Arm1Design!$L$7=2,Dimensions!$G$7+Arm1Design!$L$6,IF(Arm1Design!$L$7=3,Dimensions!$G$14+Arm1Design!$L$6,IF(Arm1Design!$L$7=4,Dimensions!$G$21+Arm1Design!$L$6,0))))</f>
        <v>20.916666666666668</v>
      </c>
      <c r="L6" s="7">
        <f>IF(AND(Arm1Design!$M$8&lt;&gt;0,Arm1Design!$M$9&lt;&gt;0,Arm1Design!$M$7=5),Dimensions!Q70+Arm1Design!$M$6,IF(Arm1Design!$M$7=2,Dimensions!$G$7+Arm1Design!$M$6,IF(Arm1Design!$M$7=3,Dimensions!$G$14+Arm1Design!$M$6,IF(Arm1Design!$M$7=4,Dimensions!$G$21+Arm1Design!$M$6,0))))</f>
        <v>7</v>
      </c>
      <c r="M6" s="8"/>
      <c r="N6" s="6">
        <f>N3</f>
        <v>70</v>
      </c>
      <c r="O6" s="6">
        <f>-O3</f>
        <v>0.25</v>
      </c>
      <c r="P6" s="1"/>
    </row>
    <row r="7" spans="1:17">
      <c r="A7" s="8"/>
      <c r="B7" s="8"/>
      <c r="C7" s="7">
        <f>IF(AND(Arm1Design!$D$8&lt;&gt;0,Arm1Design!$D$9&lt;&gt;0,Arm1Design!$D$7=5),Dimensions!Q8+Arm1Design!$D$6,IF(Arm1Design!$D$7=2,Dimensions!$G$8+Arm1Design!$D$6,IF(Arm1Design!$D$7=3,Dimensions!$G$15+Arm1Design!$D$6,IF(Arm1Design!$D$7=4,Dimensions!$G$22+Arm1Design!$D$6,0))))</f>
        <v>0</v>
      </c>
      <c r="D7" s="7">
        <f>IF(AND(Arm1Design!$E$8&lt;&gt;0,Arm1Design!$E$9&lt;&gt;0,Arm1Design!$E$7=5),Dimensions!Q15+Arm1Design!$E$6,IF(Arm1Design!$E$7=2,Dimensions!$G$8+Arm1Design!$E$6,IF(Arm1Design!$E$7=3,Dimensions!$G$15+Arm1Design!$E$6,IF(Arm1Design!$E$7=4,Dimensions!$G$22+Arm1Design!$E$6,0))))</f>
        <v>0</v>
      </c>
      <c r="E7" s="7">
        <f>IF(AND(Arm1Design!$F$8&lt;&gt;0,Arm1Design!$F$9&lt;&gt;0,Arm1Design!$F$7=5),Dimensions!Q22+Arm1Design!$F$6,IF(Arm1Design!$F$7=2,Dimensions!$G$8+Arm1Design!$F$6,IF(Arm1Design!$F$7=3,Dimensions!$G$15+Arm1Design!$F$6,IF(Arm1Design!$F$7=4,Dimensions!$G$22+Arm1Design!$F$6,0))))</f>
        <v>0</v>
      </c>
      <c r="F7" s="7">
        <f>IF(AND(Arm1Design!$G$8&lt;&gt;0,Arm1Design!$G$9&lt;&gt;0,Arm1Design!$G$7=5),Dimensions!Q29+Arm1Design!$G$6,IF(Arm1Design!$G$7=2,Dimensions!$G$8+Arm1Design!$G$6,IF(Arm1Design!$G$7=3,Dimensions!$G$15+Arm1Design!$G$6,IF(Arm1Design!$G$7=4,Dimensions!$G$22+Arm1Design!$G$6,0))))</f>
        <v>0</v>
      </c>
      <c r="G7" s="7">
        <f>IF(AND(Arm1Design!$H$8&lt;&gt;0,Arm1Design!$H$9&lt;&gt;0,Arm1Design!$H$7=5),Dimensions!Q36+Arm1Design!$H$6,IF(Arm1Design!$H$7=2,Dimensions!$G$8+Arm1Design!$H$6,IF(Arm1Design!$H$7=3,Dimensions!$G$15+Arm1Design!$H$6,IF(Arm1Design!$H$7=4,Dimensions!$G$22+Arm1Design!$H$6,0))))</f>
        <v>53.916666666666664</v>
      </c>
      <c r="H7" s="7">
        <f>IF(AND(Arm1Design!$I$8&lt;&gt;0,Arm1Design!$I$9&lt;&gt;0,Arm1Design!$I$7=5),Dimensions!Q43+Arm1Design!$I$6,IF(Arm1Design!$I$7=2,Dimensions!$G$8+Arm1Design!$I$6,IF(Arm1Design!$I$7=3,Dimensions!$G$15+Arm1Design!$I$6,IF(Arm1Design!$I$7=4,Dimensions!$G$22+Arm1Design!$I$6,0))))</f>
        <v>43.916666666666664</v>
      </c>
      <c r="I7" s="7">
        <f>IF(AND(Arm1Design!$J$8&lt;&gt;0,Arm1Design!$J$9&lt;&gt;0,Arm1Design!$J$7=5),Dimensions!Q50+Arm1Design!$J$6,IF(Arm1Design!$J$7=2,Dimensions!$G$8+Arm1Design!$J$6,IF(Arm1Design!$J$7=3,Dimensions!$G$15+Arm1Design!$J$6,IF(Arm1Design!$J$7=4,Dimensions!$G$22+Arm1Design!$J$6,0))))</f>
        <v>33.916666666666664</v>
      </c>
      <c r="J7" s="7">
        <f>IF(AND(Arm1Design!$K$8&lt;&gt;0,Arm1Design!$K$9&lt;&gt;0,Arm1Design!$K$7=5),Dimensions!Q57+Arm1Design!$K$6,IF(Arm1Design!$K$7=2,Dimensions!$G$8+Arm1Design!$K$6,IF(Arm1Design!$K$7=3,Dimensions!$G$15+Arm1Design!$K$6,IF(Arm1Design!$K$7=4,Dimensions!$G$22+Arm1Design!$K$6,0))))</f>
        <v>26.916666666666668</v>
      </c>
      <c r="K7" s="7">
        <f>IF(AND(Arm1Design!$L$8&lt;&gt;0,Arm1Design!$L$9&lt;&gt;0,Arm1Design!$L$7=5),Dimensions!Q64+Arm1Design!$L$6,IF(Arm1Design!$L$7=2,Dimensions!$G$8+Arm1Design!$L$6,IF(Arm1Design!$L$7=3,Dimensions!$G$15+Arm1Design!$L$6,IF(Arm1Design!$L$7=4,Dimensions!$G$22+Arm1Design!$L$6,0))))</f>
        <v>20.916666666666668</v>
      </c>
      <c r="L7" s="7">
        <f>IF(AND(Arm1Design!$M$8&lt;&gt;0,Arm1Design!$M$9&lt;&gt;0,Arm1Design!$M$7=5),Dimensions!Q71+Arm1Design!$M$6,IF(Arm1Design!$M$7=2,Dimensions!$G$8+Arm1Design!$M$6,IF(Arm1Design!$M$7=3,Dimensions!$G$15+Arm1Design!$M$6,IF(Arm1Design!$M$7=4,Dimensions!$G$22+Arm1Design!$M$6,0))))</f>
        <v>7</v>
      </c>
      <c r="M7" s="8"/>
      <c r="N7" s="6">
        <f>N3</f>
        <v>70</v>
      </c>
      <c r="O7" s="6">
        <f>O3</f>
        <v>-0.25</v>
      </c>
      <c r="P7" s="1"/>
    </row>
    <row r="8" spans="1:17">
      <c r="A8" s="8"/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1"/>
    </row>
    <row r="9" spans="1:17" ht="30">
      <c r="A9" s="8"/>
      <c r="B9" s="8"/>
      <c r="C9" s="9" t="s">
        <v>283</v>
      </c>
      <c r="D9" s="9" t="s">
        <v>284</v>
      </c>
      <c r="E9" s="9" t="s">
        <v>285</v>
      </c>
      <c r="F9" s="9" t="s">
        <v>286</v>
      </c>
      <c r="G9" s="9" t="s">
        <v>287</v>
      </c>
      <c r="H9" s="9" t="s">
        <v>288</v>
      </c>
      <c r="I9" s="9" t="s">
        <v>289</v>
      </c>
      <c r="J9" s="9" t="s">
        <v>290</v>
      </c>
      <c r="K9" s="9" t="s">
        <v>291</v>
      </c>
      <c r="L9" s="9" t="s">
        <v>292</v>
      </c>
      <c r="M9" s="8"/>
      <c r="N9" s="10" t="s">
        <v>42</v>
      </c>
      <c r="O9" s="10" t="s">
        <v>43</v>
      </c>
    </row>
    <row r="10" spans="1:17">
      <c r="A10" s="8"/>
      <c r="B10" s="8"/>
      <c r="C10" s="7">
        <f>IF(AND(Arm1Design!$D$8&lt;&gt;0,Arm1Design!$D$9&lt;&gt;0,Arm1Design!$D$7=5),Dimensions!R4,IF(Arm1Design!$D$7=2,Dimensions!$H$4,IF(Arm1Design!$D$7=3,Dimensions!$H$11,IF(Arm1Design!$D$7=4,Dimensions!$H$18,0))))</f>
        <v>0</v>
      </c>
      <c r="D10" s="7">
        <f>IF(AND(Arm1Design!$E$8&lt;&gt;0,Arm1Design!$E$9&lt;&gt;0,Arm1Design!$E$7=5),Dimensions!R11,IF(Arm1Design!$E$7=2,Dimensions!$H$4,IF(Arm1Design!$E$7=3,Dimensions!$H$11,IF(Arm1Design!$E$7=4,Dimensions!$H$18,0))))</f>
        <v>0</v>
      </c>
      <c r="E10" s="7">
        <f>IF(AND(Arm1Design!$F$8&lt;&gt;0,Arm1Design!$F$9&lt;&gt;0,Arm1Design!$F$7=5),Dimensions!R18,IF(Arm1Design!$F$7=2,Dimensions!$H$4,IF(Arm1Design!$F$7=3,Dimensions!$H$11,IF(Arm1Design!$F$7=4,Dimensions!$H$18,0))))</f>
        <v>0</v>
      </c>
      <c r="F10" s="7">
        <f>IF(AND(Arm1Design!$G$8&lt;&gt;0,Arm1Design!$G$9&lt;&gt;0,Arm1Design!$G$7=5),Dimensions!R25,IF(Arm1Design!$G$7=2,Dimensions!$H$4,IF(Arm1Design!$G$7=3,Dimensions!$H$11,IF(Arm1Design!$G$7=4,Dimensions!$H$18,0))))</f>
        <v>0</v>
      </c>
      <c r="G10" s="7">
        <f>IF(AND(Arm1Design!$H$8&lt;&gt;0,Arm1Design!$H$9&lt;&gt;0,Arm1Design!$H$7=5),Dimensions!R32,IF(Arm1Design!$H$7=2,Dimensions!$H$4,IF(Arm1Design!$H$7=3,Dimensions!$H$11,IF(Arm1Design!$H$7=4,Dimensions!$H$18,0))))</f>
        <v>-2.25</v>
      </c>
      <c r="H10" s="7">
        <f>IF(AND(Arm1Design!$I$8&lt;&gt;0,Arm1Design!$I$9&lt;&gt;0,Arm1Design!$I$7=5),Dimensions!R39,IF(Arm1Design!$I$7=2,Dimensions!$H$4,IF(Arm1Design!$I$7=3,Dimensions!$H$11,IF(Arm1Design!$I$7=4,Dimensions!$H$18,0))))</f>
        <v>-2.25</v>
      </c>
      <c r="I10" s="7">
        <f>IF(AND(Arm1Design!$J$8&lt;&gt;0,Arm1Design!$J$9&lt;&gt;0,Arm1Design!$J$7=5),Dimensions!R46,IF(Arm1Design!$J$7=2,Dimensions!$H$4,IF(Arm1Design!$J$7=3,Dimensions!$H$11,IF(Arm1Design!$J$7=4,Dimensions!$H$18,0))))</f>
        <v>-2.25</v>
      </c>
      <c r="J10" s="7">
        <f>IF(AND(Arm1Design!$K$8&lt;&gt;0,Arm1Design!$K$9&lt;&gt;0,Arm1Design!$K$7=5),Dimensions!R53,IF(Arm1Design!$K$7=2,Dimensions!$H$4,IF(Arm1Design!$K$7=3,Dimensions!$H$11,IF(Arm1Design!$K$7=4,Dimensions!$H$18,0))))</f>
        <v>-2.25</v>
      </c>
      <c r="K10" s="7">
        <f>IF(AND(Arm1Design!$L$8&lt;&gt;0,Arm1Design!$L$9&lt;&gt;0,Arm1Design!$L$7=5),Dimensions!R60,IF(Arm1Design!$L$7=2,Dimensions!$H$4,IF(Arm1Design!$L$7=3,Dimensions!$H$11,IF(Arm1Design!$L$7=4,Dimensions!$H$18,0))))</f>
        <v>-2.25</v>
      </c>
      <c r="L10" s="7">
        <f>IF(AND(Arm1Design!$M$8&lt;&gt;0,Arm1Design!$M$9&lt;&gt;0,Arm1Design!$M$7=5),Dimensions!R67,IF(Arm1Design!$M$7=2,Dimensions!$H$4,IF(Arm1Design!$M$7=3,Dimensions!$H$11,IF(Arm1Design!$M$7=4,Dimensions!$H$18,0))))</f>
        <v>-1</v>
      </c>
      <c r="M10" s="8"/>
      <c r="N10" s="7">
        <v>-0.2</v>
      </c>
      <c r="O10" s="8">
        <v>-5</v>
      </c>
    </row>
    <row r="11" spans="1:17">
      <c r="A11" s="8"/>
      <c r="B11" s="8"/>
      <c r="C11" s="7">
        <f>IF(AND(Arm1Design!$D$8&lt;&gt;0,Arm1Design!$D$9&lt;&gt;0,Arm1Design!$D$7=5),Dimensions!R5,IF(Arm1Design!$D$7=2,Dimensions!$H$5,IF(Arm1Design!$D$7=3,Dimensions!$H$12,IF(Arm1Design!$D$7=4,Dimensions!$H$19,0))))</f>
        <v>0</v>
      </c>
      <c r="D11" s="7">
        <f>IF(AND(Arm1Design!$E$8&lt;&gt;0,Arm1Design!$E$9&lt;&gt;0,Arm1Design!$E$7=5),Dimensions!R12,IF(Arm1Design!$E$7=2,Dimensions!$H$5,IF(Arm1Design!$E$7=3,Dimensions!$H$12,IF(Arm1Design!$E$7=4,Dimensions!$H$19,0))))</f>
        <v>0</v>
      </c>
      <c r="E11" s="7">
        <f>IF(AND(Arm1Design!$F$8&lt;&gt;0,Arm1Design!$F$9&lt;&gt;0,Arm1Design!$F$7=5),Dimensions!R19,IF(Arm1Design!$F$7=2,Dimensions!$H$5,IF(Arm1Design!$F$7=3,Dimensions!$H$12,IF(Arm1Design!$F$7=4,Dimensions!$H$19,0))))</f>
        <v>0</v>
      </c>
      <c r="F11" s="7">
        <f>IF(AND(Arm1Design!$G$8&lt;&gt;0,Arm1Design!$G$9&lt;&gt;0,Arm1Design!$G$7=5),Dimensions!R26,IF(Arm1Design!$G$7=2,Dimensions!$H$5,IF(Arm1Design!$G$7=3,Dimensions!$H$12,IF(Arm1Design!$G$7=4,Dimensions!$H$19,0))))</f>
        <v>0</v>
      </c>
      <c r="G11" s="7">
        <f>IF(AND(Arm1Design!$H$8&lt;&gt;0,Arm1Design!$H$9&lt;&gt;0,Arm1Design!$H$7=5),Dimensions!R33,IF(Arm1Design!$H$7=2,Dimensions!$H$5,IF(Arm1Design!$H$7=3,Dimensions!$H$12,IF(Arm1Design!$H$7=4,Dimensions!$H$19,0))))</f>
        <v>-2.25</v>
      </c>
      <c r="H11" s="7">
        <f>IF(AND(Arm1Design!$I$8&lt;&gt;0,Arm1Design!$I$9&lt;&gt;0,Arm1Design!$I$7=5),Dimensions!R40,IF(Arm1Design!$I$7=2,Dimensions!$H$5,IF(Arm1Design!$I$7=3,Dimensions!$H$12,IF(Arm1Design!$I$7=4,Dimensions!$H$19,0))))</f>
        <v>-2.25</v>
      </c>
      <c r="I11" s="7">
        <f>IF(AND(Arm1Design!$J$8&lt;&gt;0,Arm1Design!$J$9&lt;&gt;0,Arm1Design!$J$7=5),Dimensions!R47,IF(Arm1Design!$J$7=2,Dimensions!$H$5,IF(Arm1Design!$J$7=3,Dimensions!$H$12,IF(Arm1Design!$J$7=4,Dimensions!$H$19,0))))</f>
        <v>-2.25</v>
      </c>
      <c r="J11" s="7">
        <f>IF(AND(Arm1Design!$K$8&lt;&gt;0,Arm1Design!$K$9&lt;&gt;0,Arm1Design!$K$7=5),Dimensions!R54,IF(Arm1Design!$K$7=2,Dimensions!$H$5,IF(Arm1Design!$K$7=3,Dimensions!$H$12,IF(Arm1Design!$K$7=4,Dimensions!$H$19,0))))</f>
        <v>-2.25</v>
      </c>
      <c r="K11" s="7">
        <f>IF(AND(Arm1Design!$L$8&lt;&gt;0,Arm1Design!$L$9&lt;&gt;0,Arm1Design!$L$7=5),Dimensions!R61,IF(Arm1Design!$L$7=2,Dimensions!$H$5,IF(Arm1Design!$L$7=3,Dimensions!$H$12,IF(Arm1Design!$L$7=4,Dimensions!$H$19,0))))</f>
        <v>-2.25</v>
      </c>
      <c r="L11" s="7">
        <f>IF(AND(Arm1Design!$M$8&lt;&gt;0,Arm1Design!$M$9&lt;&gt;0,Arm1Design!$M$7=5),Dimensions!R68,IF(Arm1Design!$M$7=2,Dimensions!$H$5,IF(Arm1Design!$M$7=3,Dimensions!$H$12,IF(Arm1Design!$M$7=4,Dimensions!$H$19,0))))</f>
        <v>-1</v>
      </c>
      <c r="M11" s="8"/>
      <c r="N11" s="7">
        <f>O4*2.3</f>
        <v>-1.1116666666666668</v>
      </c>
      <c r="O11" s="8">
        <v>-5</v>
      </c>
    </row>
    <row r="12" spans="1:17">
      <c r="A12" s="8"/>
      <c r="B12" s="8"/>
      <c r="C12" s="7">
        <f>IF(AND(Arm1Design!$D$8&lt;&gt;0,Arm1Design!$D$9&lt;&gt;0,Arm1Design!$D$7=5),Dimensions!R6,IF(Arm1Design!$D$7=2,Dimensions!$H$6,IF(Arm1Design!$D$7=3,Dimensions!$H$13,IF(Arm1Design!$D$7=4,Dimensions!$H$20,0))))</f>
        <v>0</v>
      </c>
      <c r="D12" s="7">
        <f>IF(AND(Arm1Design!$E$8&lt;&gt;0,Arm1Design!$E$9&lt;&gt;0,Arm1Design!$E$7=5),Dimensions!R13,IF(Arm1Design!$E$7=2,Dimensions!$H$6,IF(Arm1Design!$E$7=3,Dimensions!$H$13,IF(Arm1Design!$E$7=4,Dimensions!$H$20,0))))</f>
        <v>0</v>
      </c>
      <c r="E12" s="7">
        <f>IF(AND(Arm1Design!$F$8&lt;&gt;0,Arm1Design!$F$9&lt;&gt;0,Arm1Design!$F$7=5),Dimensions!R20,IF(Arm1Design!$F$7=2,Dimensions!$H$6,IF(Arm1Design!$F$7=3,Dimensions!$H$13,IF(Arm1Design!$F$7=4,Dimensions!$H$20,0))))</f>
        <v>0</v>
      </c>
      <c r="F12" s="7">
        <f>IF(AND(Arm1Design!$G$8&lt;&gt;0,Arm1Design!$G$9&lt;&gt;0,Arm1Design!$G$7=5),Dimensions!R27,IF(Arm1Design!$G$7=2,Dimensions!$H$6,IF(Arm1Design!$G$7=3,Dimensions!$H$13,IF(Arm1Design!$G$7=4,Dimensions!$H$20,0))))</f>
        <v>0</v>
      </c>
      <c r="G12" s="7">
        <f>IF(AND(Arm1Design!$H$8&lt;&gt;0,Arm1Design!$H$9&lt;&gt;0,Arm1Design!$H$7=5),Dimensions!R34,IF(Arm1Design!$H$7=2,Dimensions!$H$6,IF(Arm1Design!$H$7=3,Dimensions!$H$13,IF(Arm1Design!$H$7=4,Dimensions!$H$20,0))))</f>
        <v>2.25</v>
      </c>
      <c r="H12" s="7">
        <f>IF(AND(Arm1Design!$I$8&lt;&gt;0,Arm1Design!$I$9&lt;&gt;0,Arm1Design!$I$7=5),Dimensions!R41,IF(Arm1Design!$I$7=2,Dimensions!$H$6,IF(Arm1Design!$I$7=3,Dimensions!$H$13,IF(Arm1Design!$I$7=4,Dimensions!$H$20,0))))</f>
        <v>2.25</v>
      </c>
      <c r="I12" s="7">
        <f>IF(AND(Arm1Design!$J$8&lt;&gt;0,Arm1Design!$J$9&lt;&gt;0,Arm1Design!$J$7=5),Dimensions!R48,IF(Arm1Design!$J$7=2,Dimensions!$H$6,IF(Arm1Design!$J$7=3,Dimensions!$H$13,IF(Arm1Design!$J$7=4,Dimensions!$H$20,0))))</f>
        <v>2.25</v>
      </c>
      <c r="J12" s="7">
        <f>IF(AND(Arm1Design!$K$8&lt;&gt;0,Arm1Design!$K$9&lt;&gt;0,Arm1Design!$K$7=5),Dimensions!R55,IF(Arm1Design!$K$7=2,Dimensions!$H$6,IF(Arm1Design!$K$7=3,Dimensions!$H$13,IF(Arm1Design!$K$7=4,Dimensions!$H$20,0))))</f>
        <v>2.25</v>
      </c>
      <c r="K12" s="7">
        <f>IF(AND(Arm1Design!$L$8&lt;&gt;0,Arm1Design!$L$9&lt;&gt;0,Arm1Design!$L$7=5),Dimensions!R62,IF(Arm1Design!$L$7=2,Dimensions!$H$6,IF(Arm1Design!$L$7=3,Dimensions!$H$13,IF(Arm1Design!$L$7=4,Dimensions!$H$20,0))))</f>
        <v>2.25</v>
      </c>
      <c r="L12" s="7">
        <f>IF(AND(Arm1Design!$M$8&lt;&gt;0,Arm1Design!$M$9&lt;&gt;0,Arm1Design!$M$7=5),Dimensions!R69,IF(Arm1Design!$M$7=2,Dimensions!$H$6,IF(Arm1Design!$M$7=3,Dimensions!$H$13,IF(Arm1Design!$M$7=4,Dimensions!$H$20,0))))</f>
        <v>1</v>
      </c>
      <c r="M12" s="8"/>
      <c r="N12" s="7">
        <f>O4*1.8</f>
        <v>-0.87000000000000011</v>
      </c>
      <c r="O12" s="8">
        <f>IF(Dimensions!C44=1,3,7)</f>
        <v>7</v>
      </c>
    </row>
    <row r="13" spans="1:17">
      <c r="A13" s="8"/>
      <c r="B13" s="8"/>
      <c r="C13" s="7">
        <f>IF(AND(Arm1Design!$D$8&lt;&gt;0,Arm1Design!$D$9&lt;&gt;0,Arm1Design!$D$7=5),Dimensions!R7,IF(Arm1Design!$D$7=2,Dimensions!$H$7,IF(Arm1Design!$D$7=3,Dimensions!$H$14,IF(Arm1Design!$D$7=4,Dimensions!$H$21,0))))</f>
        <v>0</v>
      </c>
      <c r="D13" s="7">
        <f>IF(AND(Arm1Design!$E$8&lt;&gt;0,Arm1Design!$E$9&lt;&gt;0,Arm1Design!$E$7=5),Dimensions!R14,IF(Arm1Design!$E$7=2,Dimensions!$H$7,IF(Arm1Design!$E$7=3,Dimensions!$H$14,IF(Arm1Design!$E$7=4,Dimensions!$H$21,0))))</f>
        <v>0</v>
      </c>
      <c r="E13" s="7">
        <f>IF(AND(Arm1Design!$F$8&lt;&gt;0,Arm1Design!$F$9&lt;&gt;0,Arm1Design!$F$7=5),Dimensions!R21,IF(Arm1Design!$F$7=2,Dimensions!$H$7,IF(Arm1Design!$F$7=3,Dimensions!$H$14,IF(Arm1Design!$F$7=4,Dimensions!$H$21,0))))</f>
        <v>0</v>
      </c>
      <c r="F13" s="7">
        <f>IF(AND(Arm1Design!$G$8&lt;&gt;0,Arm1Design!$G$9&lt;&gt;0,Arm1Design!$G$7=5),Dimensions!R28,IF(Arm1Design!$G$7=2,Dimensions!$H$7,IF(Arm1Design!$G$7=3,Dimensions!$H$14,IF(Arm1Design!$G$7=4,Dimensions!$H$21,0))))</f>
        <v>0</v>
      </c>
      <c r="G13" s="7">
        <f>IF(AND(Arm1Design!$H$8&lt;&gt;0,Arm1Design!$H$9&lt;&gt;0,Arm1Design!$H$7=5),Dimensions!R35,IF(Arm1Design!$H$7=2,Dimensions!$H$7,IF(Arm1Design!$H$7=3,Dimensions!$H$14,IF(Arm1Design!$H$7=4,Dimensions!$H$21,0))))</f>
        <v>2.25</v>
      </c>
      <c r="H13" s="7">
        <f>IF(AND(Arm1Design!$I$8&lt;&gt;0,Arm1Design!$I$9&lt;&gt;0,Arm1Design!$I$7=5),Dimensions!R42,IF(Arm1Design!$I$7=2,Dimensions!$H$7,IF(Arm1Design!$I$7=3,Dimensions!$H$14,IF(Arm1Design!$I$7=4,Dimensions!$H$21,0))))</f>
        <v>2.25</v>
      </c>
      <c r="I13" s="7">
        <f>IF(AND(Arm1Design!$J$8&lt;&gt;0,Arm1Design!$J$9&lt;&gt;0,Arm1Design!$J$7=5),Dimensions!R49,IF(Arm1Design!$J$7=2,Dimensions!$H$7,IF(Arm1Design!$J$7=3,Dimensions!$H$14,IF(Arm1Design!$J$7=4,Dimensions!$H$21,0))))</f>
        <v>2.25</v>
      </c>
      <c r="J13" s="7">
        <f>IF(AND(Arm1Design!$K$8&lt;&gt;0,Arm1Design!$K$9&lt;&gt;0,Arm1Design!$K$7=5),Dimensions!R56,IF(Arm1Design!$K$7=2,Dimensions!$H$7,IF(Arm1Design!$K$7=3,Dimensions!$H$14,IF(Arm1Design!$K$7=4,Dimensions!$H$21,0))))</f>
        <v>2.25</v>
      </c>
      <c r="K13" s="7">
        <f>IF(AND(Arm1Design!$L$8&lt;&gt;0,Arm1Design!$L$9&lt;&gt;0,Arm1Design!$L$7=5),Dimensions!R63,IF(Arm1Design!$L$7=2,Dimensions!$H$7,IF(Arm1Design!$L$7=3,Dimensions!$H$14,IF(Arm1Design!$L$7=4,Dimensions!$H$21,0))))</f>
        <v>2.25</v>
      </c>
      <c r="L13" s="7">
        <f>IF(AND(Arm1Design!$M$8&lt;&gt;0,Arm1Design!$M$9&lt;&gt;0,Arm1Design!$M$7=5),Dimensions!R70,IF(Arm1Design!$M$7=2,Dimensions!$H$7,IF(Arm1Design!$M$7=3,Dimensions!$H$14,IF(Arm1Design!$M$7=4,Dimensions!$H$21,0))))</f>
        <v>1</v>
      </c>
      <c r="M13" s="8"/>
      <c r="N13" s="7">
        <v>0</v>
      </c>
      <c r="O13" s="8">
        <f>O12</f>
        <v>7</v>
      </c>
    </row>
    <row r="14" spans="1:17">
      <c r="A14" s="8"/>
      <c r="B14" s="8"/>
      <c r="C14" s="7">
        <f>IF(AND(Arm1Design!$D$8&lt;&gt;0,Arm1Design!$D$9&lt;&gt;0,Arm1Design!$D$7=5),Dimensions!R8,IF(Arm1Design!$D$7=2,Dimensions!$H$8,IF(Arm1Design!$D$7=3,Dimensions!$H$15,IF(Arm1Design!$D$7=4,Dimensions!$H$22,0))))</f>
        <v>0</v>
      </c>
      <c r="D14" s="7">
        <f>IF(AND(Arm1Design!$E$8&lt;&gt;0,Arm1Design!$E$9&lt;&gt;0,Arm1Design!$E$7=5),Dimensions!R15,IF(Arm1Design!$E$7=2,Dimensions!$H$8,IF(Arm1Design!$E$7=3,Dimensions!$H$15,IF(Arm1Design!$E$7=4,Dimensions!$H$22,0))))</f>
        <v>0</v>
      </c>
      <c r="E14" s="7">
        <f>IF(AND(Arm1Design!$F$8&lt;&gt;0,Arm1Design!$F$9&lt;&gt;0,Arm1Design!$F$7=5),Dimensions!R22,IF(Arm1Design!$F$7=2,Dimensions!$H$8,IF(Arm1Design!$F$7=3,Dimensions!$H$15,IF(Arm1Design!$F$7=4,Dimensions!$H$22,0))))</f>
        <v>0</v>
      </c>
      <c r="F14" s="7">
        <f>IF(AND(Arm1Design!$G$8&lt;&gt;0,Arm1Design!$G$9&lt;&gt;0,Arm1Design!$G$7=5),Dimensions!R29,IF(Arm1Design!$G$7=2,Dimensions!$H$8,IF(Arm1Design!$G$7=3,Dimensions!$H$15,IF(Arm1Design!$G$7=4,Dimensions!$H$22,0))))</f>
        <v>0</v>
      </c>
      <c r="G14" s="7">
        <f>IF(AND(Arm1Design!$H$8&lt;&gt;0,Arm1Design!$H$9&lt;&gt;0,Arm1Design!$H$7=5),Dimensions!R36,IF(Arm1Design!$H$7=2,Dimensions!$H$8,IF(Arm1Design!$H$7=3,Dimensions!$H$15,IF(Arm1Design!$H$7=4,Dimensions!$H$22,0))))</f>
        <v>-2.25</v>
      </c>
      <c r="H14" s="7">
        <f>IF(AND(Arm1Design!$I$8&lt;&gt;0,Arm1Design!$I$9&lt;&gt;0,Arm1Design!$I$7=5),Dimensions!R43,IF(Arm1Design!$I$7=2,Dimensions!$H$8,IF(Arm1Design!$I$7=3,Dimensions!$H$15,IF(Arm1Design!$I$7=4,Dimensions!$H$22,0))))</f>
        <v>-2.25</v>
      </c>
      <c r="I14" s="7">
        <f>IF(AND(Arm1Design!$J$8&lt;&gt;0,Arm1Design!$J$9&lt;&gt;0,Arm1Design!$J$7=5),Dimensions!R50,IF(Arm1Design!$J$7=2,Dimensions!$H$8,IF(Arm1Design!$J$7=3,Dimensions!$H$15,IF(Arm1Design!$J$7=4,Dimensions!$H$22,0))))</f>
        <v>-2.25</v>
      </c>
      <c r="J14" s="7">
        <f>IF(AND(Arm1Design!$K$8&lt;&gt;0,Arm1Design!$K$9&lt;&gt;0,Arm1Design!$K$7=5),Dimensions!R57,IF(Arm1Design!$K$7=2,Dimensions!$H$8,IF(Arm1Design!$K$7=3,Dimensions!$H$15,IF(Arm1Design!$K$7=4,Dimensions!$H$22,0))))</f>
        <v>-2.25</v>
      </c>
      <c r="K14" s="7">
        <f>IF(AND(Arm1Design!$L$8&lt;&gt;0,Arm1Design!$L$9&lt;&gt;0,Arm1Design!$L$7=5),Dimensions!R64,IF(Arm1Design!$L$7=2,Dimensions!$H$8,IF(Arm1Design!$L$7=3,Dimensions!$H$15,IF(Arm1Design!$L$7=4,Dimensions!$H$22,0))))</f>
        <v>-2.25</v>
      </c>
      <c r="L14" s="7">
        <f>IF(AND(Arm1Design!$M$8&lt;&gt;0,Arm1Design!$M$9&lt;&gt;0,Arm1Design!$M$7=5),Dimensions!R71,IF(Arm1Design!$M$7=2,Dimensions!$H$8,IF(Arm1Design!$M$7=3,Dimensions!$H$15,IF(Arm1Design!$M$7=4,Dimensions!$H$22,0))))</f>
        <v>-1</v>
      </c>
      <c r="M14" s="8"/>
      <c r="N14" s="7">
        <v>-0.2</v>
      </c>
      <c r="O14" s="8">
        <v>-5</v>
      </c>
    </row>
    <row r="15" spans="1:17">
      <c r="A15" s="8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Q15">
        <f>Dimensions!Z67+Arm2Design!$M$6</f>
        <v>5</v>
      </c>
    </row>
    <row r="16" spans="1:17">
      <c r="A16" s="8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</row>
    <row r="17" spans="1:15">
      <c r="A17" s="8"/>
      <c r="B17" s="8"/>
      <c r="C17" s="436" t="s">
        <v>196</v>
      </c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</row>
    <row r="18" spans="1:15" ht="30">
      <c r="A18" s="8"/>
      <c r="B18" s="8"/>
      <c r="C18" s="9" t="s">
        <v>273</v>
      </c>
      <c r="D18" s="9" t="s">
        <v>274</v>
      </c>
      <c r="E18" s="9" t="s">
        <v>275</v>
      </c>
      <c r="F18" s="9" t="s">
        <v>276</v>
      </c>
      <c r="G18" s="9" t="s">
        <v>277</v>
      </c>
      <c r="H18" s="9" t="s">
        <v>278</v>
      </c>
      <c r="I18" s="9" t="s">
        <v>279</v>
      </c>
      <c r="J18" s="9" t="s">
        <v>280</v>
      </c>
      <c r="K18" s="9" t="s">
        <v>281</v>
      </c>
      <c r="L18" s="9" t="s">
        <v>282</v>
      </c>
      <c r="M18" s="7"/>
      <c r="N18" s="10" t="s">
        <v>6</v>
      </c>
      <c r="O18" s="10" t="s">
        <v>7</v>
      </c>
    </row>
    <row r="19" spans="1:15" s="3" customFormat="1">
      <c r="A19" s="8"/>
      <c r="B19" s="8"/>
      <c r="C19" s="7">
        <f>IF(AND(Arm2Design!$D$8&lt;&gt;0,Arm2Design!$D$9&lt;&gt;0,Arm2Design!$D$7=5),Dimensions!Z4+Arm2Design!$D$6,IF(Arm2Design!$D$7=2,Dimensions!$G$4+Arm2Design!$D$6,IF(Arm2Design!$D$7=3,Dimensions!$G$11+Arm2Design!$D$6,IF(Arm2Design!$D$7=4,Dimensions!$G$18+Arm2Design!$D$6,0))))</f>
        <v>0</v>
      </c>
      <c r="D19" s="7">
        <f>IF(AND(Arm2Design!$E$8&lt;&gt;0,Arm2Design!$E$9&lt;&gt;0,Arm2Design!$E$7=5),Dimensions!Z11+Arm2Design!$E$6,IF(Arm2Design!$E$7=2,Dimensions!$G$4+Arm2Design!$E$6,IF(Arm2Design!$E$7=3,Dimensions!$G$11+Arm2Design!$E$6,IF(Arm2Design!$E$7=4,Dimensions!$G$18+Arm2Design!$E$6,0))))</f>
        <v>0</v>
      </c>
      <c r="E19" s="7">
        <f>IF(AND(Arm2Design!$F$8&lt;&gt;0,Arm2Design!$F$9&lt;&gt;0,Arm2Design!$F$7=5),Dimensions!Z18+Arm2Design!$F$6,IF(Arm2Design!$F$7=2,Dimensions!$G$4+Arm2Design!$F$6,IF(Arm2Design!$F$7=3,Dimensions!$G$11+Arm2Design!$F$6,IF(Arm2Design!$F$7=4,Dimensions!$G$18+Arm2Design!$F$6,0))))</f>
        <v>0</v>
      </c>
      <c r="F19" s="7">
        <f>IF(AND(Arm2Design!$G$8&lt;&gt;0,Arm2Design!$G$9&lt;&gt;0,Arm2Design!$G$7=5),Dimensions!Z25+Arm2Design!$G$6,IF(Arm2Design!$G$7=2,Dimensions!$G$4+Arm2Design!$G$6,IF(Arm2Design!$G$7=3,Dimensions!$G$11+Arm2Design!$G$6,IF(Arm2Design!$G$7=4,Dimensions!$G$18+Arm2Design!$G$6,0))))</f>
        <v>0</v>
      </c>
      <c r="G19" s="7">
        <f>IF(AND(Arm2Design!$H$8&lt;&gt;0,Arm2Design!$H$9&lt;&gt;0,Arm2Design!$H$7=5),Dimensions!Z32+Arm2Design!$H$6,IF(Arm2Design!$H$7=2,Dimensions!$G$4+Arm2Design!$H$6,IF(Arm2Design!$H$7=3,Dimensions!$G$11+Arm2Design!$H$6,IF(Arm2Design!$H$7=4,Dimensions!$G$18+Arm2Design!$H$6,0))))</f>
        <v>0</v>
      </c>
      <c r="H19" s="7">
        <f>IF(AND(Arm2Design!$I$8&lt;&gt;0,Arm2Design!$I$9&lt;&gt;0,Arm2Design!$I$7=5),Dimensions!Z39+Arm2Design!$I$6,IF(Arm2Design!$I$7=2,Dimensions!$G$4+Arm2Design!$I$6,IF(Arm2Design!$I$7=3,Dimensions!$G$11+Arm2Design!$I$6,IF(Arm2Design!$I$7=4,Dimensions!$G$18+Arm2Design!$I$6,0))))</f>
        <v>0</v>
      </c>
      <c r="I19" s="7">
        <f>IF(AND(Arm2Design!$J$8&lt;&gt;0,Arm2Design!$J$9&lt;&gt;0,Arm2Design!$J$7=5),Dimensions!Z46+Arm2Design!$J$6,IF(Arm2Design!$J$7=2,Dimensions!$G$4+Arm2Design!$J$6,IF(Arm2Design!$J$7=3,Dimensions!$G$11+Arm2Design!$J$6,IF(Arm2Design!$J$7=4,Dimensions!$G$18+Arm2Design!$J$6,0))))</f>
        <v>36.916666666666664</v>
      </c>
      <c r="J19" s="7">
        <f>IF(AND(Arm2Design!$K$8&lt;&gt;0,Arm2Design!$K$9&lt;&gt;0,Arm2Design!$K$7=5),Dimensions!Z53+Arm2Design!$K$6,IF(Arm2Design!$K$7=2,Dimensions!$G$4+Arm2Design!$K$6,IF(Arm2Design!$K$7=3,Dimensions!$G$11+Arm2Design!$K$6,IF(Arm2Design!$K$7=4,Dimensions!$G$18+Arm2Design!$K$6,0))))</f>
        <v>26.916666666666668</v>
      </c>
      <c r="K19" s="7">
        <f>IF(AND(Arm2Design!$L$8&lt;&gt;0,Arm2Design!$L$9&lt;&gt;0,Arm2Design!$L$7=5),Dimensions!Z60+Arm2Design!$L$6,IF(Arm2Design!$L$7=2,Dimensions!$G$4+Arm2Design!$L$6,IF(Arm2Design!$L$7=3,Dimensions!$G$11+Arm2Design!$L$6,IF(Arm2Design!$L$7=4,Dimensions!$G$18+Arm2Design!$L$6,0))))</f>
        <v>17.916666666666668</v>
      </c>
      <c r="L19" s="7">
        <f>IF(AND(Arm2Design!$M$8&lt;&gt;0,Arm2Design!$M$9&lt;&gt;0,Arm2Design!$M$7=5),Dimensions!Z67+Arm2Design!$M$6,IF(Arm2Design!$M$7=2,Dimensions!$G$4+Arm2Design!$M$6,IF(Arm2Design!$M$7=3,Dimensions!$G$11+Arm2Design!$M$6,IF(Arm2Design!$M$7=4,Dimensions!$G$18+Arm2Design!$M$6,0))))</f>
        <v>5</v>
      </c>
      <c r="M19" s="8"/>
      <c r="N19" s="6">
        <f>Dimensions!$D$41</f>
        <v>40</v>
      </c>
      <c r="O19" s="6">
        <f>-Dimensions!$F$36</f>
        <v>-0.25</v>
      </c>
    </row>
    <row r="20" spans="1:15">
      <c r="A20" s="8"/>
      <c r="B20" s="8"/>
      <c r="C20" s="7">
        <f>IF(AND(Arm2Design!$D$8&lt;&gt;0,Arm2Design!$D$9&lt;&gt;0,Arm2Design!$D$7=5),Dimensions!Z5+Arm2Design!$D$6,IF(Arm2Design!$D$7=2,Dimensions!$G$5+Arm2Design!$D$6,IF(Arm2Design!$D$7=3,Dimensions!$G$12+Arm2Design!$D$6,IF(Arm2Design!$D$7=4,Dimensions!$G$19+Arm2Design!$D$6,0))))</f>
        <v>0</v>
      </c>
      <c r="D20" s="7">
        <f>IF(AND(Arm2Design!$E$8&lt;&gt;0,Arm2Design!$E$9&lt;&gt;0,Arm2Design!$E$7=5),Dimensions!Z12+Arm2Design!$E$6,IF(Arm2Design!$E$7=2,Dimensions!$G$5+Arm2Design!$E$6,IF(Arm2Design!$E$7=3,Dimensions!$G$12+Arm2Design!$E$6,IF(Arm2Design!$E$7=4,Dimensions!$G$19+Arm2Design!$E$6,0))))</f>
        <v>0</v>
      </c>
      <c r="E20" s="7">
        <f>IF(AND(Arm2Design!$F$8&lt;&gt;0,Arm2Design!$F$9&lt;&gt;0,Arm2Design!$F$7=5),Dimensions!Z19+Arm2Design!$F$6,IF(Arm2Design!$F$7=2,Dimensions!$G$5+Arm2Design!$F$6,IF(Arm2Design!$F$7=3,Dimensions!$G$12+Arm2Design!$F$6,IF(Arm2Design!$F$7=4,Dimensions!$G$19+Arm2Design!$F$6,0))))</f>
        <v>0</v>
      </c>
      <c r="F20" s="7">
        <f>IF(AND(Arm2Design!$G$8&lt;&gt;0,Arm2Design!$G$9&lt;&gt;0,Arm2Design!$G$7=5),Dimensions!Z26+Arm2Design!$G$6,IF(Arm2Design!$G$7=2,Dimensions!$G$5+Arm2Design!$G$6,IF(Arm2Design!$G$7=3,Dimensions!$G$12+Arm2Design!$G$6,IF(Arm2Design!$G$7=4,Dimensions!$G$19+Arm2Design!$G$6,0))))</f>
        <v>0</v>
      </c>
      <c r="G20" s="7">
        <f>IF(AND(Arm2Design!$H$8&lt;&gt;0,Arm2Design!$H$9&lt;&gt;0,Arm2Design!$H$7=5),Dimensions!Z33+Arm2Design!$H$6,IF(Arm2Design!$H$7=2,Dimensions!$G$5+Arm2Design!$H$6,IF(Arm2Design!$H$7=3,Dimensions!$G$12+Arm2Design!$H$6,IF(Arm2Design!$H$7=4,Dimensions!$G$19+Arm2Design!$H$6,0))))</f>
        <v>0</v>
      </c>
      <c r="H20" s="7">
        <f>IF(AND(Arm2Design!$I$8&lt;&gt;0,Arm2Design!$I$9&lt;&gt;0,Arm2Design!$I$7=5),Dimensions!Z40+Arm2Design!$I$6,IF(Arm2Design!$I$7=2,Dimensions!$G$5+Arm2Design!$I$6,IF(Arm2Design!$I$7=3,Dimensions!$G$12+Arm2Design!$I$6,IF(Arm2Design!$I$7=4,Dimensions!$G$19+Arm2Design!$I$6,0))))</f>
        <v>0</v>
      </c>
      <c r="I20" s="7">
        <f>IF(AND(Arm2Design!$J$8&lt;&gt;0,Arm2Design!$J$9&lt;&gt;0,Arm2Design!$J$7=5),Dimensions!Z47+Arm2Design!$J$6,IF(Arm2Design!$J$7=2,Dimensions!$G$5+Arm2Design!$J$6,IF(Arm2Design!$J$7=3,Dimensions!$G$12+Arm2Design!$J$6,IF(Arm2Design!$J$7=4,Dimensions!$G$19+Arm2Design!$J$6,0))))</f>
        <v>39.083333333333336</v>
      </c>
      <c r="J20" s="7">
        <f>IF(AND(Arm2Design!$K$8&lt;&gt;0,Arm2Design!$K$9&lt;&gt;0,Arm2Design!$K$7=5),Dimensions!Z54+Arm2Design!$K$6,IF(Arm2Design!$K$7=2,Dimensions!$G$5+Arm2Design!$K$6,IF(Arm2Design!$K$7=3,Dimensions!$G$12+Arm2Design!$K$6,IF(Arm2Design!$K$7=4,Dimensions!$G$19+Arm2Design!$K$6,0))))</f>
        <v>29.083333333333332</v>
      </c>
      <c r="K20" s="7">
        <f>IF(AND(Arm2Design!$L$8&lt;&gt;0,Arm2Design!$L$9&lt;&gt;0,Arm2Design!$L$7=5),Dimensions!Z61+Arm2Design!$L$6,IF(Arm2Design!$L$7=2,Dimensions!$G$5+Arm2Design!$L$6,IF(Arm2Design!$L$7=3,Dimensions!$G$12+Arm2Design!$L$6,IF(Arm2Design!$L$7=4,Dimensions!$G$19+Arm2Design!$L$6,0))))</f>
        <v>20.083333333333332</v>
      </c>
      <c r="L20" s="7">
        <f>IF(AND(Arm2Design!$M$8&lt;&gt;0,Arm2Design!$M$9&lt;&gt;0,Arm2Design!$M$7=5),Dimensions!Z68+Arm2Design!$M$6,IF(Arm2Design!$M$7=2,Dimensions!$G$5+Arm2Design!$M$6,IF(Arm2Design!$M$7=3,Dimensions!$G$12+Arm2Design!$M$6,IF(Arm2Design!$M$7=4,Dimensions!$G$19+Arm2Design!$M$6,0))))</f>
        <v>15</v>
      </c>
      <c r="M20" s="8"/>
      <c r="N20" s="6">
        <v>0</v>
      </c>
      <c r="O20" s="6">
        <f>2*(-Dimensions!$D$41*Dimensions!$D$36)/12-Dimensions!$F$36</f>
        <v>-0.3833333333333333</v>
      </c>
    </row>
    <row r="21" spans="1:15" s="3" customFormat="1">
      <c r="A21" s="8"/>
      <c r="C21" s="7">
        <f>IF(AND(Arm2Design!$D$8&lt;&gt;0,Arm2Design!$D$9&lt;&gt;0,Arm2Design!$D$7=5),Dimensions!Z6+Arm2Design!$D$6,IF(Arm2Design!$D$7=2,Dimensions!$G$6+Arm2Design!$D$6,IF(Arm2Design!$D$7=3,Dimensions!$G$13+Arm2Design!$D$6,IF(Arm2Design!$D$7=4,Dimensions!$G$20+Arm2Design!$D$6,0))))</f>
        <v>0</v>
      </c>
      <c r="D21" s="7">
        <f>IF(AND(Arm2Design!$E$8&lt;&gt;0,Arm2Design!$E$9&lt;&gt;0,Arm2Design!$E$7=5),Dimensions!Z13+Arm2Design!$E$6,IF(Arm2Design!$E$7=2,Dimensions!$G$6+Arm2Design!$E$6,IF(Arm2Design!$E$7=3,Dimensions!$G$13+Arm2Design!$E$6,IF(Arm2Design!$E$7=4,Dimensions!$G$20+Arm2Design!$E$6,0))))</f>
        <v>0</v>
      </c>
      <c r="E21" s="7">
        <f>IF(AND(Arm2Design!$F$8&lt;&gt;0,Arm2Design!$F$9&lt;&gt;0,Arm2Design!$F$7=5),Dimensions!Z20+Arm2Design!$F$6,IF(Arm2Design!$F$7=2,Dimensions!$G$6+Arm2Design!$F$6,IF(Arm2Design!$F$7=3,Dimensions!$G$13+Arm2Design!$F$6,IF(Arm2Design!$F$7=4,Dimensions!$G$20+Arm2Design!$F$6,0))))</f>
        <v>0</v>
      </c>
      <c r="F21" s="7">
        <f>IF(AND(Arm2Design!$G$8&lt;&gt;0,Arm2Design!$G$9&lt;&gt;0,Arm2Design!$G$7=5),Dimensions!Z27+Arm2Design!$G$6,IF(Arm2Design!$G$7=2,Dimensions!$G$6+Arm2Design!$G$6,IF(Arm2Design!$G$7=3,Dimensions!$G$13+Arm2Design!$G$6,IF(Arm2Design!$G$7=4,Dimensions!$G$20+Arm2Design!$G$6,0))))</f>
        <v>0</v>
      </c>
      <c r="G21" s="7">
        <f>IF(AND(Arm2Design!$H$8&lt;&gt;0,Arm2Design!$H$9&lt;&gt;0,Arm2Design!$H$7=5),Dimensions!Z34+Arm2Design!$H$6,IF(Arm2Design!$H$7=2,Dimensions!$G$6+Arm2Design!$H$6,IF(Arm2Design!$H$7=3,Dimensions!$G$13+Arm2Design!$H$6,IF(Arm2Design!$H$7=4,Dimensions!$G$20+Arm2Design!$H$6,0))))</f>
        <v>0</v>
      </c>
      <c r="H21" s="7">
        <f>IF(AND(Arm2Design!$I$8&lt;&gt;0,Arm2Design!$I$9&lt;&gt;0,Arm2Design!$I$7=5),Dimensions!Z41+Arm2Design!$I$6,IF(Arm2Design!$I$7=2,Dimensions!$G$6+Arm2Design!$I$6,IF(Arm2Design!$I$7=3,Dimensions!$G$13+Arm2Design!$I$6,IF(Arm2Design!$I$7=4,Dimensions!$G$20+Arm2Design!$I$6,0))))</f>
        <v>0</v>
      </c>
      <c r="I21" s="7">
        <f>IF(AND(Arm2Design!$J$8&lt;&gt;0,Arm2Design!$J$9&lt;&gt;0,Arm2Design!$J$7=5),Dimensions!Z48+Arm2Design!$J$6,IF(Arm2Design!$J$7=2,Dimensions!$G$6+Arm2Design!$J$6,IF(Arm2Design!$J$7=3,Dimensions!$G$13+Arm2Design!$J$6,IF(Arm2Design!$J$7=4,Dimensions!$G$20+Arm2Design!$J$6,0))))</f>
        <v>39.083333333333336</v>
      </c>
      <c r="J21" s="7">
        <f>IF(AND(Arm2Design!$K$8&lt;&gt;0,Arm2Design!$K$9&lt;&gt;0,Arm2Design!$K$7=5),Dimensions!Z55+Arm2Design!$K$6,IF(Arm2Design!$K$7=2,Dimensions!$G$6+Arm2Design!$K$6,IF(Arm2Design!$K$7=3,Dimensions!$G$13+Arm2Design!$K$6,IF(Arm2Design!$K$7=4,Dimensions!$G$20+Arm2Design!$K$6,0))))</f>
        <v>29.083333333333332</v>
      </c>
      <c r="K21" s="7">
        <f>IF(AND(Arm2Design!$L$8&lt;&gt;0,Arm2Design!$L$9&lt;&gt;0,Arm2Design!$L$7=5),Dimensions!Z62+Arm2Design!$L$6,IF(Arm2Design!$L$7=2,Dimensions!$G$6+Arm2Design!$L$6,IF(Arm2Design!$L$7=3,Dimensions!$G$13+Arm2Design!$L$6,IF(Arm2Design!$L$7=4,Dimensions!$G$20+Arm2Design!$L$6,0))))</f>
        <v>20.083333333333332</v>
      </c>
      <c r="L21" s="7">
        <f>IF(AND(Arm2Design!$M$8&lt;&gt;0,Arm2Design!$M$9&lt;&gt;0,Arm2Design!$M$7=5),Dimensions!Z69+Arm2Design!$M$6,IF(Arm2Design!$M$7=2,Dimensions!$G$6+Arm2Design!$M$6,IF(Arm2Design!$M$7=3,Dimensions!$G$13+Arm2Design!$M$6,IF(Arm2Design!$M$7=4,Dimensions!$G$20+Arm2Design!$M$6,0))))</f>
        <v>15</v>
      </c>
      <c r="M21" s="8"/>
      <c r="N21" s="6">
        <v>0</v>
      </c>
      <c r="O21" s="6">
        <f>-O20</f>
        <v>0.3833333333333333</v>
      </c>
    </row>
    <row r="22" spans="1:15" s="3" customFormat="1">
      <c r="A22" s="8"/>
      <c r="C22" s="7">
        <f>IF(AND(Arm2Design!$D$8&lt;&gt;0,Arm2Design!$D$9&lt;&gt;0,Arm2Design!$D$7=5),Dimensions!Z7+Arm2Design!$D$6,IF(Arm2Design!$D$7=2,Dimensions!$G$7+Arm2Design!$D$6,IF(Arm2Design!$D$7=3,Dimensions!$G$14+Arm2Design!$D$6,IF(Arm2Design!$D$7=4,Dimensions!$G$21+Arm2Design!$D$6,0))))</f>
        <v>0</v>
      </c>
      <c r="D22" s="7">
        <f>IF(AND(Arm2Design!$E$8&lt;&gt;0,Arm2Design!$E$9&lt;&gt;0,Arm2Design!$E$7=5),Dimensions!Z14+Arm2Design!$E$6,IF(Arm2Design!$E$7=2,Dimensions!$G$7+Arm2Design!$E$6,IF(Arm2Design!$E$7=3,Dimensions!$G$14+Arm2Design!$E$6,IF(Arm2Design!$E$7=4,Dimensions!$G$21+Arm2Design!$E$6,0))))</f>
        <v>0</v>
      </c>
      <c r="E22" s="7">
        <f>IF(AND(Arm2Design!$F$8&lt;&gt;0,Arm2Design!$F$9&lt;&gt;0,Arm2Design!$F$7=5),Dimensions!Z21+Arm2Design!$F$6,IF(Arm2Design!$F$7=2,Dimensions!$G$7+Arm2Design!$F$6,IF(Arm2Design!$F$7=3,Dimensions!$G$14+Arm2Design!$F$6,IF(Arm2Design!$F$7=4,Dimensions!$G$21+Arm2Design!$F$6,0))))</f>
        <v>0</v>
      </c>
      <c r="F22" s="7">
        <f>IF(AND(Arm2Design!$G$8&lt;&gt;0,Arm2Design!$G$9&lt;&gt;0,Arm2Design!$G$7=5),Dimensions!Z28+Arm2Design!$G$6,IF(Arm2Design!$G$7=2,Dimensions!$G$7+Arm2Design!$G$6,IF(Arm2Design!$G$7=3,Dimensions!$G$14+Arm2Design!$G$6,IF(Arm2Design!$G$7=4,Dimensions!$G$21+Arm2Design!$G$6,0))))</f>
        <v>0</v>
      </c>
      <c r="G22" s="7">
        <f>IF(AND(Arm2Design!$H$8&lt;&gt;0,Arm2Design!$H$9&lt;&gt;0,Arm2Design!$H$7=5),Dimensions!Z35+Arm2Design!$H$6,IF(Arm2Design!$H$7=2,Dimensions!$G$7+Arm2Design!$H$6,IF(Arm2Design!$H$7=3,Dimensions!$G$14+Arm2Design!$H$6,IF(Arm2Design!$H$7=4,Dimensions!$G$21+Arm2Design!$H$6,0))))</f>
        <v>0</v>
      </c>
      <c r="H22" s="7">
        <f>IF(AND(Arm2Design!$I$8&lt;&gt;0,Arm2Design!$I$9&lt;&gt;0,Arm2Design!$I$7=5),Dimensions!Z42+Arm2Design!$I$6,IF(Arm2Design!$I$7=2,Dimensions!$G$7+Arm2Design!$I$6,IF(Arm2Design!$I$7=3,Dimensions!$G$14+Arm2Design!$I$6,IF(Arm2Design!$I$7=4,Dimensions!$G$21+Arm2Design!$I$6,0))))</f>
        <v>0</v>
      </c>
      <c r="I22" s="7">
        <f>IF(AND(Arm2Design!$J$8&lt;&gt;0,Arm2Design!$J$9&lt;&gt;0,Arm2Design!$J$7=5),Dimensions!Z49+Arm2Design!$J$6,IF(Arm2Design!$J$7=2,Dimensions!$G$7+Arm2Design!$J$6,IF(Arm2Design!$J$7=3,Dimensions!$G$14+Arm2Design!$J$6,IF(Arm2Design!$J$7=4,Dimensions!$G$21+Arm2Design!$J$6,0))))</f>
        <v>36.916666666666664</v>
      </c>
      <c r="J22" s="7">
        <f>IF(AND(Arm2Design!$K$8&lt;&gt;0,Arm2Design!$K$9&lt;&gt;0,Arm2Design!$K$7=5),Dimensions!Z56+Arm2Design!$K$6,IF(Arm2Design!$K$7=2,Dimensions!$G$7+Arm2Design!$K$6,IF(Arm2Design!$K$7=3,Dimensions!$G$14+Arm2Design!$K$6,IF(Arm2Design!$K$7=4,Dimensions!$G$21+Arm2Design!$K$6,0))))</f>
        <v>26.916666666666668</v>
      </c>
      <c r="K22" s="7">
        <f>IF(AND(Arm2Design!$L$8&lt;&gt;0,Arm2Design!$L$9&lt;&gt;0,Arm2Design!$L$7=5),Dimensions!Z63+Arm2Design!$L$6,IF(Arm2Design!$L$7=2,Dimensions!$G$7+Arm2Design!$L$6,IF(Arm2Design!$L$7=3,Dimensions!$G$14+Arm2Design!$L$6,IF(Arm2Design!$L$7=4,Dimensions!$G$21+Arm2Design!$L$6,0))))</f>
        <v>17.916666666666668</v>
      </c>
      <c r="L22" s="7">
        <f>IF(AND(Arm2Design!$M$8&lt;&gt;0,Arm2Design!$M$9&lt;&gt;0,Arm2Design!$M$7=5),Dimensions!Z70+Arm2Design!$M$6,IF(Arm2Design!$M$7=2,Dimensions!$G$7+Arm2Design!$M$6,IF(Arm2Design!$M$7=3,Dimensions!$G$14+Arm2Design!$M$6,IF(Arm2Design!$M$7=4,Dimensions!$G$21+Arm2Design!$M$6,0))))</f>
        <v>5</v>
      </c>
      <c r="M22" s="8"/>
      <c r="N22" s="6">
        <f>N19</f>
        <v>40</v>
      </c>
      <c r="O22" s="6">
        <f>-O19</f>
        <v>0.25</v>
      </c>
    </row>
    <row r="23" spans="1:15" s="3" customFormat="1">
      <c r="A23" s="8"/>
      <c r="C23" s="7">
        <f>IF(AND(Arm2Design!$D$8&lt;&gt;0,Arm2Design!$D$9&lt;&gt;0,Arm2Design!$D$7=5),Dimensions!Z8+Arm2Design!$D$6,IF(Arm2Design!$D$7=2,Dimensions!$G$8+Arm2Design!$D$6,IF(Arm2Design!$D$7=3,Dimensions!$G$15+Arm2Design!$D$6,IF(Arm2Design!$D$7=4,Dimensions!$G$22+Arm2Design!$D$6,0))))</f>
        <v>0</v>
      </c>
      <c r="D23" s="7">
        <f>IF(AND(Arm2Design!$E$8&lt;&gt;0,Arm2Design!$E$9&lt;&gt;0,Arm2Design!$E$7=5),Dimensions!Z15+Arm2Design!$E$6,IF(Arm2Design!$E$7=2,Dimensions!$G$8+Arm2Design!$E$6,IF(Arm2Design!$E$7=3,Dimensions!$G$15+Arm2Design!$E$6,IF(Arm2Design!$E$7=4,Dimensions!$G$22+Arm2Design!$E$6,0))))</f>
        <v>0</v>
      </c>
      <c r="E23" s="7">
        <f>IF(AND(Arm2Design!$F$8&lt;&gt;0,Arm2Design!$F$9&lt;&gt;0,Arm2Design!$F$7=5),Dimensions!Z22+Arm2Design!$F$6,IF(Arm2Design!$F$7=2,Dimensions!$G$8+Arm2Design!$F$6,IF(Arm2Design!$F$7=3,Dimensions!$G$15+Arm2Design!$F$6,IF(Arm2Design!$F$7=4,Dimensions!$G$22+Arm2Design!$F$6,0))))</f>
        <v>0</v>
      </c>
      <c r="F23" s="7">
        <f>IF(AND(Arm2Design!$G$8&lt;&gt;0,Arm2Design!$G$9&lt;&gt;0,Arm2Design!$G$7=5),Dimensions!Z29+Arm2Design!$G$6,IF(Arm2Design!$G$7=2,Dimensions!$G$8+Arm2Design!$G$6,IF(Arm2Design!$G$7=3,Dimensions!$G$15+Arm2Design!$G$6,IF(Arm2Design!$G$7=4,Dimensions!$G$22+Arm2Design!$G$6,0))))</f>
        <v>0</v>
      </c>
      <c r="G23" s="7">
        <f>IF(AND(Arm2Design!$H$8&lt;&gt;0,Arm2Design!$H$9&lt;&gt;0,Arm2Design!$H$7=5),Dimensions!Z36+Arm2Design!$H$6,IF(Arm2Design!$H$7=2,Dimensions!$G$8+Arm2Design!$H$6,IF(Arm2Design!$H$7=3,Dimensions!$G$15+Arm2Design!$H$6,IF(Arm2Design!$H$7=4,Dimensions!$G$22+Arm2Design!$H$6,0))))</f>
        <v>0</v>
      </c>
      <c r="H23" s="7">
        <f>IF(AND(Arm2Design!$I$8&lt;&gt;0,Arm2Design!$I$9&lt;&gt;0,Arm2Design!$I$7=5),Dimensions!Z43+Arm2Design!$I$6,IF(Arm2Design!$I$7=2,Dimensions!$G$8+Arm2Design!$I$6,IF(Arm2Design!$I$7=3,Dimensions!$G$15+Arm2Design!$I$6,IF(Arm2Design!$I$7=4,Dimensions!$G$22+Arm2Design!$I$6,0))))</f>
        <v>0</v>
      </c>
      <c r="I23" s="7">
        <f>IF(AND(Arm2Design!$J$8&lt;&gt;0,Arm2Design!$J$9&lt;&gt;0,Arm2Design!$J$7=5),Dimensions!Z50+Arm2Design!$J$6,IF(Arm2Design!$J$7=2,Dimensions!$G$8+Arm2Design!$J$6,IF(Arm2Design!$J$7=3,Dimensions!$G$15+Arm2Design!$J$6,IF(Arm2Design!$J$7=4,Dimensions!$G$22+Arm2Design!$J$6,0))))</f>
        <v>36.916666666666664</v>
      </c>
      <c r="J23" s="7">
        <f>IF(AND(Arm2Design!$K$8&lt;&gt;0,Arm2Design!$K$9&lt;&gt;0,Arm2Design!$K$7=5),Dimensions!Z57+Arm2Design!$K$6,IF(Arm2Design!$K$7=2,Dimensions!$G$8+Arm2Design!$K$6,IF(Arm2Design!$K$7=3,Dimensions!$G$15+Arm2Design!$K$6,IF(Arm2Design!$K$7=4,Dimensions!$G$22+Arm2Design!$K$6,0))))</f>
        <v>26.916666666666668</v>
      </c>
      <c r="K23" s="7">
        <f>IF(AND(Arm2Design!$L$8&lt;&gt;0,Arm2Design!$L$9&lt;&gt;0,Arm2Design!$L$7=5),Dimensions!Z64+Arm2Design!$L$6,IF(Arm2Design!$L$7=2,Dimensions!$G$8+Arm2Design!$L$6,IF(Arm2Design!$L$7=3,Dimensions!$G$15+Arm2Design!$L$6,IF(Arm2Design!$L$7=4,Dimensions!$G$22+Arm2Design!$L$6,0))))</f>
        <v>17.916666666666668</v>
      </c>
      <c r="L23" s="7">
        <f>IF(AND(Arm2Design!$M$8&lt;&gt;0,Arm2Design!$M$9&lt;&gt;0,Arm2Design!$M$7=5),Dimensions!Z71+Arm2Design!$M$6,IF(Arm2Design!$M$7=2,Dimensions!$G$8+Arm2Design!$M$6,IF(Arm2Design!$M$7=3,Dimensions!$G$15+Arm2Design!$M$6,IF(Arm2Design!$M$7=4,Dimensions!$G$22+Arm2Design!$M$6,0))))</f>
        <v>5</v>
      </c>
      <c r="M23" s="8"/>
      <c r="N23" s="6">
        <f>N19</f>
        <v>40</v>
      </c>
      <c r="O23" s="6">
        <f>O19</f>
        <v>-0.25</v>
      </c>
    </row>
    <row r="24" spans="1:15" s="3" customFormat="1">
      <c r="A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8"/>
      <c r="O24" s="8"/>
    </row>
    <row r="25" spans="1:15" ht="30">
      <c r="A25" s="8"/>
      <c r="C25" s="9" t="s">
        <v>283</v>
      </c>
      <c r="D25" s="9" t="s">
        <v>284</v>
      </c>
      <c r="E25" s="9" t="s">
        <v>285</v>
      </c>
      <c r="F25" s="9" t="s">
        <v>286</v>
      </c>
      <c r="G25" s="9" t="s">
        <v>287</v>
      </c>
      <c r="H25" s="9" t="s">
        <v>288</v>
      </c>
      <c r="I25" s="9" t="s">
        <v>289</v>
      </c>
      <c r="J25" s="9" t="s">
        <v>290</v>
      </c>
      <c r="K25" s="9" t="s">
        <v>291</v>
      </c>
      <c r="L25" s="9" t="s">
        <v>292</v>
      </c>
      <c r="M25" s="7"/>
      <c r="N25" s="7"/>
      <c r="O25" s="7"/>
    </row>
    <row r="26" spans="1:15">
      <c r="A26" s="8"/>
      <c r="C26" s="7">
        <f>IF(AND(Arm2Design!$D$8&lt;&gt;0,Arm2Design!$D$9&lt;&gt;0,Arm2Design!$D$7=5),Dimensions!AA4,IF(Arm2Design!$D$7=2,Dimensions!$H$4,IF(Arm2Design!$D$7=3,Dimensions!$H$11,IF(Arm2Design!$D$7=4,Dimensions!$H$18,0))))</f>
        <v>0</v>
      </c>
      <c r="D26" s="7">
        <f>IF(AND(Arm2Design!$E$8&lt;&gt;0,Arm2Design!$E$9&lt;&gt;0,Arm2Design!$E$7=5),Dimensions!AA11,IF(Arm2Design!$E$7=2,Dimensions!$H$4,IF(Arm2Design!$E$7=3,Dimensions!$H$11,IF(Arm2Design!$E$7=4,Dimensions!$H$18,0))))</f>
        <v>0</v>
      </c>
      <c r="E26" s="7">
        <f>IF(AND(Arm2Design!$F$8&lt;&gt;0,Arm2Design!$F$9&lt;&gt;0,Arm2Design!$F$7=5),Dimensions!AA18,IF(Arm2Design!$F$7=2,Dimensions!$H$4,IF(Arm2Design!$F$7=3,Dimensions!$H$11,IF(Arm2Design!$F$7=4,Dimensions!$H$18,0))))</f>
        <v>0</v>
      </c>
      <c r="F26" s="7">
        <f>IF(AND(Arm2Design!$G$8&lt;&gt;0,Arm2Design!$G$9&lt;&gt;0,Arm2Design!$G$7=5),Dimensions!AA25,IF(Arm2Design!$G$7=2,Dimensions!$H$4,IF(Arm2Design!$G$7=3,Dimensions!$H$11,IF(Arm2Design!$G$7=4,Dimensions!$H$18,0))))</f>
        <v>0</v>
      </c>
      <c r="G26" s="7">
        <f>IF(AND(Arm2Design!$H$8&lt;&gt;0,Arm2Design!$H$9&lt;&gt;0,Arm2Design!$H$7=5),Dimensions!AA32,IF(Arm2Design!$H$7=2,Dimensions!$H$4,IF(Arm2Design!$H$7=3,Dimensions!$H$11,IF(Arm2Design!$H$7=4,Dimensions!$H$18,0))))</f>
        <v>0</v>
      </c>
      <c r="H26" s="7">
        <f>IF(AND(Arm2Design!$I$8&lt;&gt;0,Arm2Design!$I$9&lt;&gt;0,Arm2Design!$I$7=5),Dimensions!AA39,IF(Arm2Design!$I$7=2,Dimensions!$H$4,IF(Arm2Design!$I$7=3,Dimensions!$H$11,IF(Arm2Design!$I$7=4,Dimensions!$H$18,0))))</f>
        <v>0</v>
      </c>
      <c r="I26" s="7">
        <f>IF(AND(Arm2Design!$J$8&lt;&gt;0,Arm2Design!$J$9&lt;&gt;0,Arm2Design!$J$7=5),Dimensions!AA46,IF(Arm2Design!$J$7=2,Dimensions!$H$4,IF(Arm2Design!$J$7=3,Dimensions!$H$11,IF(Arm2Design!$J$7=4,Dimensions!$H$18,0))))</f>
        <v>-2.25</v>
      </c>
      <c r="J26" s="7">
        <f>IF(AND(Arm2Design!$K$8&lt;&gt;0,Arm2Design!$K$9&lt;&gt;0,Arm2Design!$K$7=5),Dimensions!AA53,IF(Arm2Design!$K$7=2,Dimensions!$H$4,IF(Arm2Design!$K$7=3,Dimensions!$H$11,IF(Arm2Design!$K$7=4,Dimensions!$H$18,0))))</f>
        <v>-2.25</v>
      </c>
      <c r="K26" s="7">
        <f>IF(AND(Arm2Design!$L$8&lt;&gt;0,Arm2Design!$L$9&lt;&gt;0,Arm2Design!$L$7=5),Dimensions!AA60,IF(Arm2Design!$L$7=2,Dimensions!$H$4,IF(Arm2Design!$L$7=3,Dimensions!$H$11,IF(Arm2Design!$L$7=4,Dimensions!$H$18,0))))</f>
        <v>-2.25</v>
      </c>
      <c r="L26" s="7">
        <f>IF(AND(Arm2Design!$M$8&lt;&gt;0,Arm2Design!$M$9&lt;&gt;0,Arm2Design!$M$7=5),Dimensions!AA67,IF(Arm2Design!$M$7=2,Dimensions!$H$4,IF(Arm2Design!$M$7=3,Dimensions!$H$11,IF(Arm2Design!$M$7=4,Dimensions!$H$18,0))))</f>
        <v>-1</v>
      </c>
      <c r="M26" s="8"/>
      <c r="N26" s="7"/>
      <c r="O26" s="8"/>
    </row>
    <row r="27" spans="1:15" s="3" customFormat="1">
      <c r="A27"/>
      <c r="C27" s="7">
        <f>IF(AND(Arm2Design!$D$8&lt;&gt;0,Arm2Design!$D$9&lt;&gt;0,Arm2Design!$D$7=5),Dimensions!AA5,IF(Arm2Design!$D$7=2,Dimensions!$H$5,IF(Arm2Design!$D$7=3,Dimensions!$H$12,IF(Arm2Design!$D$7=4,Dimensions!$H$19,0))))</f>
        <v>0</v>
      </c>
      <c r="D27" s="7">
        <f>IF(AND(Arm2Design!$E$8&lt;&gt;0,Arm2Design!$E$9&lt;&gt;0,Arm2Design!$E$7=5),Dimensions!AA12,IF(Arm2Design!$E$7=2,Dimensions!$H$5,IF(Arm2Design!$E$7=3,Dimensions!$H$12,IF(Arm2Design!$E$7=4,Dimensions!$H$19,0))))</f>
        <v>0</v>
      </c>
      <c r="E27" s="7">
        <f>IF(AND(Arm2Design!$F$8&lt;&gt;0,Arm2Design!$F$9&lt;&gt;0,Arm2Design!$F$7=5),Dimensions!AA19,IF(Arm2Design!$F$7=2,Dimensions!$H$5,IF(Arm2Design!$F$7=3,Dimensions!$H$12,IF(Arm2Design!$F$7=4,Dimensions!$H$19,0))))</f>
        <v>0</v>
      </c>
      <c r="F27" s="7">
        <f>IF(AND(Arm2Design!$G$8&lt;&gt;0,Arm2Design!$G$9&lt;&gt;0,Arm2Design!$G$7=5),Dimensions!AA26,IF(Arm2Design!$G$7=2,Dimensions!$H$5,IF(Arm2Design!$G$7=3,Dimensions!$H$12,IF(Arm2Design!$G$7=4,Dimensions!$H$19,0))))</f>
        <v>0</v>
      </c>
      <c r="G27" s="7">
        <f>IF(AND(Arm2Design!$H$8&lt;&gt;0,Arm2Design!$H$9&lt;&gt;0,Arm2Design!$H$7=5),Dimensions!AA33,IF(Arm2Design!$H$7=2,Dimensions!$H$5,IF(Arm2Design!$H$7=3,Dimensions!$H$12,IF(Arm2Design!$H$7=4,Dimensions!$H$19,0))))</f>
        <v>0</v>
      </c>
      <c r="H27" s="7">
        <f>IF(AND(Arm2Design!$I$8&lt;&gt;0,Arm2Design!$I$9&lt;&gt;0,Arm2Design!$I$7=5),Dimensions!AA40,IF(Arm2Design!$I$7=2,Dimensions!$H$5,IF(Arm2Design!$I$7=3,Dimensions!$H$12,IF(Arm2Design!$I$7=4,Dimensions!$H$19,0))))</f>
        <v>0</v>
      </c>
      <c r="I27" s="7">
        <f>IF(AND(Arm2Design!$J$8&lt;&gt;0,Arm2Design!$J$9&lt;&gt;0,Arm2Design!$J$7=5),Dimensions!AA47,IF(Arm2Design!$J$7=2,Dimensions!$H$5,IF(Arm2Design!$J$7=3,Dimensions!$H$12,IF(Arm2Design!$J$7=4,Dimensions!$H$19,0))))</f>
        <v>-2.25</v>
      </c>
      <c r="J27" s="7">
        <f>IF(AND(Arm2Design!$K$8&lt;&gt;0,Arm2Design!$K$9&lt;&gt;0,Arm2Design!$K$7=5),Dimensions!AA54,IF(Arm2Design!$K$7=2,Dimensions!$H$5,IF(Arm2Design!$K$7=3,Dimensions!$H$12,IF(Arm2Design!$K$7=4,Dimensions!$H$19,0))))</f>
        <v>-2.25</v>
      </c>
      <c r="K27" s="7">
        <f>IF(AND(Arm2Design!$L$8&lt;&gt;0,Arm2Design!$L$9&lt;&gt;0,Arm2Design!$L$7=5),Dimensions!AA61,IF(Arm2Design!$L$7=2,Dimensions!$H$5,IF(Arm2Design!$L$7=3,Dimensions!$H$12,IF(Arm2Design!$L$7=4,Dimensions!$H$19,0))))</f>
        <v>-2.25</v>
      </c>
      <c r="L27" s="7">
        <f>IF(AND(Arm2Design!$M$8&lt;&gt;0,Arm2Design!$M$9&lt;&gt;0,Arm2Design!$M$7=5),Dimensions!AA68,IF(Arm2Design!$M$7=2,Dimensions!$H$5,IF(Arm2Design!$M$7=3,Dimensions!$H$12,IF(Arm2Design!$M$7=4,Dimensions!$H$19,0))))</f>
        <v>-1</v>
      </c>
      <c r="M27" s="8"/>
      <c r="N27" s="7"/>
      <c r="O27" s="8"/>
    </row>
    <row r="28" spans="1:15">
      <c r="B28" s="3"/>
      <c r="C28" s="7">
        <f>IF(AND(Arm2Design!$D$8&lt;&gt;0,Arm2Design!$D$9&lt;&gt;0,Arm2Design!$D$7=5),Dimensions!AA6,IF(Arm2Design!$D$7=2,Dimensions!$H$6,IF(Arm2Design!$D$7=3,Dimensions!$H$13,IF(Arm2Design!$D$7=4,Dimensions!$H$20,0))))</f>
        <v>0</v>
      </c>
      <c r="D28" s="7">
        <f>IF(AND(Arm2Design!$E$8&lt;&gt;0,Arm2Design!$E$9&lt;&gt;0,Arm2Design!$E$7=5),Dimensions!AA13,IF(Arm2Design!$E$7=2,Dimensions!$H$6,IF(Arm2Design!$E$7=3,Dimensions!$H$13,IF(Arm2Design!$E$7=4,Dimensions!$H$20,0))))</f>
        <v>0</v>
      </c>
      <c r="E28" s="7">
        <f>IF(AND(Arm2Design!$F$8&lt;&gt;0,Arm2Design!$F$9&lt;&gt;0,Arm2Design!$F$7=5),Dimensions!AA20,IF(Arm2Design!$F$7=2,Dimensions!$H$6,IF(Arm2Design!$F$7=3,Dimensions!$H$13,IF(Arm2Design!$F$7=4,Dimensions!$H$20,0))))</f>
        <v>0</v>
      </c>
      <c r="F28" s="7">
        <f>IF(AND(Arm2Design!$G$8&lt;&gt;0,Arm2Design!$G$9&lt;&gt;0,Arm2Design!$G$7=5),Dimensions!AA27,IF(Arm2Design!$G$7=2,Dimensions!$H$6,IF(Arm2Design!$G$7=3,Dimensions!$H$13,IF(Arm2Design!$G$7=4,Dimensions!$H$20,0))))</f>
        <v>0</v>
      </c>
      <c r="G28" s="7">
        <f>IF(AND(Arm2Design!$H$8&lt;&gt;0,Arm2Design!$H$9&lt;&gt;0,Arm2Design!$H$7=5),Dimensions!AA34,IF(Arm2Design!$H$7=2,Dimensions!$H$6,IF(Arm2Design!$H$7=3,Dimensions!$H$13,IF(Arm2Design!$H$7=4,Dimensions!$H$20,0))))</f>
        <v>0</v>
      </c>
      <c r="H28" s="7">
        <f>IF(AND(Arm2Design!$I$8&lt;&gt;0,Arm2Design!$I$9&lt;&gt;0,Arm2Design!$I$7=5),Dimensions!AA41,IF(Arm2Design!$I$7=2,Dimensions!$H$6,IF(Arm2Design!$I$7=3,Dimensions!$H$13,IF(Arm2Design!$I$7=4,Dimensions!$H$20,0))))</f>
        <v>0</v>
      </c>
      <c r="I28" s="7">
        <f>IF(AND(Arm2Design!$J$8&lt;&gt;0,Arm2Design!$J$9&lt;&gt;0,Arm2Design!$J$7=5),Dimensions!AA48,IF(Arm2Design!$J$7=2,Dimensions!$H$6,IF(Arm2Design!$J$7=3,Dimensions!$H$13,IF(Arm2Design!$J$7=4,Dimensions!$H$20,0))))</f>
        <v>2.25</v>
      </c>
      <c r="J28" s="7">
        <f>IF(AND(Arm2Design!$K$8&lt;&gt;0,Arm2Design!$K$9&lt;&gt;0,Arm2Design!$K$7=5),Dimensions!AA55,IF(Arm2Design!$K$7=2,Dimensions!$H$6,IF(Arm2Design!$K$7=3,Dimensions!$H$13,IF(Arm2Design!$K$7=4,Dimensions!$H$20,0))))</f>
        <v>2.25</v>
      </c>
      <c r="K28" s="7">
        <f>IF(AND(Arm2Design!$L$8&lt;&gt;0,Arm2Design!$L$9&lt;&gt;0,Arm2Design!$L$7=5),Dimensions!AA62,IF(Arm2Design!$L$7=2,Dimensions!$H$6,IF(Arm2Design!$L$7=3,Dimensions!$H$13,IF(Arm2Design!$L$7=4,Dimensions!$H$20,0))))</f>
        <v>2.25</v>
      </c>
      <c r="L28" s="7">
        <f>IF(AND(Arm2Design!$M$8&lt;&gt;0,Arm2Design!$M$9&lt;&gt;0,Arm2Design!$M$7=5),Dimensions!AA69,IF(Arm2Design!$M$7=2,Dimensions!$H$6,IF(Arm2Design!$M$7=3,Dimensions!$H$13,IF(Arm2Design!$M$7=4,Dimensions!$H$20,0))))</f>
        <v>1</v>
      </c>
      <c r="M28" s="8"/>
      <c r="N28" s="7"/>
      <c r="O28" s="8"/>
    </row>
    <row r="29" spans="1:15">
      <c r="C29" s="7">
        <f>IF(AND(Arm2Design!$D$8&lt;&gt;0,Arm2Design!$D$9&lt;&gt;0,Arm2Design!$D$7=5),Dimensions!AA7,IF(Arm2Design!$D$7=2,Dimensions!$H$7,IF(Arm2Design!$D$7=3,Dimensions!$H$14,IF(Arm2Design!$D$7=4,Dimensions!$H$21,0))))</f>
        <v>0</v>
      </c>
      <c r="D29" s="7">
        <f>IF(AND(Arm2Design!$E$8&lt;&gt;0,Arm2Design!$E$9&lt;&gt;0,Arm2Design!$E$7=5),Dimensions!AA14,IF(Arm2Design!$E$7=2,Dimensions!$H$7,IF(Arm2Design!$E$7=3,Dimensions!$H$14,IF(Arm2Design!$E$7=4,Dimensions!$H$21,0))))</f>
        <v>0</v>
      </c>
      <c r="E29" s="7">
        <f>IF(AND(Arm2Design!$F$8&lt;&gt;0,Arm2Design!$F$9&lt;&gt;0,Arm2Design!$F$7=5),Dimensions!AA21,IF(Arm2Design!$F$7=2,Dimensions!$H$7,IF(Arm2Design!$F$7=3,Dimensions!$H$14,IF(Arm2Design!$F$7=4,Dimensions!$H$21,0))))</f>
        <v>0</v>
      </c>
      <c r="F29" s="7">
        <f>IF(AND(Arm2Design!$G$8&lt;&gt;0,Arm2Design!$G$9&lt;&gt;0,Arm2Design!$G$7=5),Dimensions!AA28,IF(Arm2Design!$G$7=2,Dimensions!$H$7,IF(Arm2Design!$G$7=3,Dimensions!$H$14,IF(Arm2Design!$G$7=4,Dimensions!$H$21,0))))</f>
        <v>0</v>
      </c>
      <c r="G29" s="7">
        <f>IF(AND(Arm2Design!$H$8&lt;&gt;0,Arm2Design!$H$9&lt;&gt;0,Arm2Design!$H$7=5),Dimensions!AA35,IF(Arm2Design!$H$7=2,Dimensions!$H$7,IF(Arm2Design!$H$7=3,Dimensions!$H$14,IF(Arm2Design!$H$7=4,Dimensions!$H$21,0))))</f>
        <v>0</v>
      </c>
      <c r="H29" s="7">
        <f>IF(AND(Arm2Design!$I$8&lt;&gt;0,Arm2Design!$I$9&lt;&gt;0,Arm2Design!$I$7=5),Dimensions!AA42,IF(Arm2Design!$I$7=2,Dimensions!$H$7,IF(Arm2Design!$I$7=3,Dimensions!$H$14,IF(Arm2Design!$I$7=4,Dimensions!$H$21,0))))</f>
        <v>0</v>
      </c>
      <c r="I29" s="7">
        <f>IF(AND(Arm2Design!$J$8&lt;&gt;0,Arm2Design!$J$9&lt;&gt;0,Arm2Design!$J$7=5),Dimensions!AA49,IF(Arm2Design!$J$7=2,Dimensions!$H$7,IF(Arm2Design!$J$7=3,Dimensions!$H$14,IF(Arm2Design!$J$7=4,Dimensions!$H$21,0))))</f>
        <v>2.25</v>
      </c>
      <c r="J29" s="7">
        <f>IF(AND(Arm2Design!$K$8&lt;&gt;0,Arm2Design!$K$9&lt;&gt;0,Arm2Design!$K$7=5),Dimensions!AA56,IF(Arm2Design!$K$7=2,Dimensions!$H$7,IF(Arm2Design!$K$7=3,Dimensions!$H$14,IF(Arm2Design!$K$7=4,Dimensions!$H$21,0))))</f>
        <v>2.25</v>
      </c>
      <c r="K29" s="7">
        <f>IF(AND(Arm2Design!$L$8&lt;&gt;0,Arm2Design!$L$9&lt;&gt;0,Arm2Design!$L$7=5),Dimensions!AA63,IF(Arm2Design!$L$7=2,Dimensions!$H$7,IF(Arm2Design!$L$7=3,Dimensions!$H$14,IF(Arm2Design!$L$7=4,Dimensions!$H$21,0))))</f>
        <v>2.25</v>
      </c>
      <c r="L29" s="7">
        <f>IF(AND(Arm2Design!$M$8&lt;&gt;0,Arm2Design!$M$9&lt;&gt;0,Arm2Design!$M$7=5),Dimensions!AA70,IF(Arm2Design!$M$7=2,Dimensions!$H$7,IF(Arm2Design!$M$7=3,Dimensions!$H$14,IF(Arm2Design!$M$7=4,Dimensions!$H$21,0))))</f>
        <v>1</v>
      </c>
      <c r="M29" s="8"/>
      <c r="N29" s="7"/>
      <c r="O29" s="8"/>
    </row>
    <row r="30" spans="1:15">
      <c r="C30" s="7">
        <f>IF(AND(Arm2Design!$D$8&lt;&gt;0,Arm2Design!$D$9&lt;&gt;0,Arm2Design!$D$7=5),Dimensions!AA8,IF(Arm2Design!$D$7=2,Dimensions!$H$8,IF(Arm2Design!$D$7=3,Dimensions!$H$15,IF(Arm2Design!$D$7=4,Dimensions!$H$22,0))))</f>
        <v>0</v>
      </c>
      <c r="D30" s="7">
        <f>IF(AND(Arm2Design!$E$8&lt;&gt;0,Arm2Design!$E$9&lt;&gt;0,Arm2Design!$E$7=5),Dimensions!AA15,IF(Arm2Design!$E$7=2,Dimensions!$H$8,IF(Arm2Design!$E$7=3,Dimensions!$H$15,IF(Arm2Design!$E$7=4,Dimensions!$H$22,0))))</f>
        <v>0</v>
      </c>
      <c r="E30" s="7">
        <f>IF(AND(Arm2Design!$F$8&lt;&gt;0,Arm2Design!$F$9&lt;&gt;0,Arm2Design!$F$7=5),Dimensions!AA22,IF(Arm2Design!$F$7=2,Dimensions!$H$8,IF(Arm2Design!$F$7=3,Dimensions!$H$15,IF(Arm2Design!$F$7=4,Dimensions!$H$22,0))))</f>
        <v>0</v>
      </c>
      <c r="F30" s="7">
        <f>IF(AND(Arm2Design!$G$8&lt;&gt;0,Arm2Design!$G$9&lt;&gt;0,Arm2Design!$G$7=5),Dimensions!AA29,IF(Arm2Design!$G$7=2,Dimensions!$H$8,IF(Arm2Design!$G$7=3,Dimensions!$H$15,IF(Arm2Design!$G$7=4,Dimensions!$H$22,0))))</f>
        <v>0</v>
      </c>
      <c r="G30" s="7">
        <f>IF(AND(Arm2Design!$H$8&lt;&gt;0,Arm2Design!$H$9&lt;&gt;0,Arm2Design!$H$7=5),Dimensions!AA36,IF(Arm2Design!$H$7=2,Dimensions!$H$8,IF(Arm2Design!$H$7=3,Dimensions!$H$15,IF(Arm2Design!$H$7=4,Dimensions!$H$22,0))))</f>
        <v>0</v>
      </c>
      <c r="H30" s="7">
        <f>IF(AND(Arm2Design!$I$8&lt;&gt;0,Arm2Design!$I$9&lt;&gt;0,Arm2Design!$I$7=5),Dimensions!AA43,IF(Arm2Design!$I$7=2,Dimensions!$H$8,IF(Arm2Design!$I$7=3,Dimensions!$H$15,IF(Arm2Design!$I$7=4,Dimensions!$H$22,0))))</f>
        <v>0</v>
      </c>
      <c r="I30" s="7">
        <f>IF(AND(Arm2Design!$J$8&lt;&gt;0,Arm2Design!$J$9&lt;&gt;0,Arm2Design!$J$7=5),Dimensions!AA50,IF(Arm2Design!$J$7=2,Dimensions!$H$8,IF(Arm2Design!$J$7=3,Dimensions!$H$15,IF(Arm2Design!$J$7=4,Dimensions!$H$22,0))))</f>
        <v>-2.25</v>
      </c>
      <c r="J30" s="7">
        <f>IF(AND(Arm2Design!$K$8&lt;&gt;0,Arm2Design!$K$9&lt;&gt;0,Arm2Design!$K$7=5),Dimensions!AA57,IF(Arm2Design!$K$7=2,Dimensions!$H$8,IF(Arm2Design!$K$7=3,Dimensions!$H$15,IF(Arm2Design!$K$7=4,Dimensions!$H$22,0))))</f>
        <v>-2.25</v>
      </c>
      <c r="K30" s="7">
        <f>IF(AND(Arm2Design!$L$8&lt;&gt;0,Arm2Design!$L$9&lt;&gt;0,Arm2Design!$L$7=5),Dimensions!AA64,IF(Arm2Design!$L$7=2,Dimensions!$H$8,IF(Arm2Design!$L$7=3,Dimensions!$H$15,IF(Arm2Design!$L$7=4,Dimensions!$H$22,0))))</f>
        <v>-2.25</v>
      </c>
      <c r="L30" s="7">
        <f>IF(AND(Arm2Design!$M$8&lt;&gt;0,Arm2Design!$M$9&lt;&gt;0,Arm2Design!$M$7=5),Dimensions!AA71,IF(Arm2Design!$M$7=2,Dimensions!$H$8,IF(Arm2Design!$M$7=3,Dimensions!$H$15,IF(Arm2Design!$M$7=4,Dimensions!$H$22,0))))</f>
        <v>-1</v>
      </c>
      <c r="M30" s="8"/>
      <c r="N30" s="7"/>
      <c r="O30" s="8"/>
    </row>
    <row r="32" spans="1:15">
      <c r="J32" s="3"/>
    </row>
    <row r="36" spans="1:15">
      <c r="C36" s="3"/>
      <c r="D36" s="3"/>
      <c r="E36" s="3"/>
      <c r="F36" s="3"/>
      <c r="G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3" customFormat="1"/>
    <row r="39" spans="1:15" s="3" customFormat="1">
      <c r="A39"/>
      <c r="B39"/>
      <c r="H39"/>
      <c r="I39"/>
      <c r="J39"/>
      <c r="K39"/>
      <c r="L39"/>
      <c r="M39"/>
      <c r="N39"/>
      <c r="O39"/>
    </row>
    <row r="40" spans="1:15">
      <c r="C40" s="3"/>
      <c r="D40" s="3"/>
      <c r="E40" s="3"/>
      <c r="F40" s="3"/>
      <c r="G40" s="3"/>
    </row>
    <row r="41" spans="1:15">
      <c r="C41" s="3"/>
      <c r="D41" s="3"/>
      <c r="E41" s="3"/>
      <c r="F41" s="3"/>
      <c r="G41" s="3"/>
    </row>
    <row r="42" spans="1:15">
      <c r="C42" s="3"/>
      <c r="D42" s="3"/>
      <c r="E42" s="3"/>
      <c r="F42" s="3"/>
      <c r="G42" s="3"/>
    </row>
    <row r="43" spans="1:15">
      <c r="C43" s="3"/>
      <c r="D43" s="3"/>
      <c r="E43" s="3"/>
      <c r="F43" s="3"/>
      <c r="G43" s="3"/>
    </row>
    <row r="44" spans="1:15">
      <c r="C44" s="3"/>
      <c r="D44" s="3"/>
      <c r="E44" s="3"/>
      <c r="F44" s="3"/>
      <c r="G44" s="3"/>
    </row>
  </sheetData>
  <sheetProtection sheet="1" objects="1" scenarios="1"/>
  <mergeCells count="2">
    <mergeCell ref="C1:O1"/>
    <mergeCell ref="C17:O17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79998168889431442"/>
    <pageSetUpPr fitToPage="1"/>
  </sheetPr>
  <dimension ref="A1:AJ57"/>
  <sheetViews>
    <sheetView zoomScaleNormal="100" workbookViewId="0">
      <selection activeCell="B1" sqref="B1"/>
    </sheetView>
  </sheetViews>
  <sheetFormatPr defaultRowHeight="15"/>
  <cols>
    <col min="1" max="1" width="10.140625" customWidth="1"/>
    <col min="4" max="5" width="9.140625" style="3"/>
    <col min="7" max="9" width="9.140625" style="3"/>
    <col min="12" max="13" width="9.140625" style="3"/>
    <col min="16" max="16" width="4.28515625" customWidth="1"/>
    <col min="18" max="18" width="9.140625" customWidth="1"/>
    <col min="22" max="23" width="9.140625" style="3"/>
    <col min="30" max="30" width="9.140625" customWidth="1"/>
  </cols>
  <sheetData>
    <row r="1" spans="1:36" s="3" customFormat="1" ht="60.75" thickBot="1">
      <c r="A1" s="156" t="s">
        <v>61</v>
      </c>
      <c r="B1" s="20">
        <f>0.00256*1*0.85*1.14*Dimensions!$D$42^2*0.79</f>
        <v>44.093375999999992</v>
      </c>
      <c r="D1" s="157" t="s">
        <v>62</v>
      </c>
      <c r="E1" s="25">
        <v>50</v>
      </c>
      <c r="G1" s="156" t="s">
        <v>55</v>
      </c>
      <c r="H1" s="20">
        <f>0.00256*1*0.85*1.14*Dimensions!$D$42^2*1.2</f>
        <v>66.977279999999993</v>
      </c>
    </row>
    <row r="2" spans="1:36" s="3" customFormat="1" ht="15.75" thickBot="1"/>
    <row r="3" spans="1:36" s="3" customFormat="1" ht="19.5" thickBot="1">
      <c r="A3" s="465" t="s">
        <v>168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7"/>
      <c r="Q3" s="465" t="s">
        <v>88</v>
      </c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7"/>
    </row>
    <row r="4" spans="1:36" ht="15" customHeight="1" thickBot="1">
      <c r="A4" s="549" t="s">
        <v>24</v>
      </c>
      <c r="B4" s="551" t="s">
        <v>25</v>
      </c>
      <c r="C4" s="552"/>
      <c r="D4" s="552"/>
      <c r="E4" s="552"/>
      <c r="F4" s="552"/>
      <c r="G4" s="552"/>
      <c r="H4" s="553"/>
      <c r="I4" s="465" t="s">
        <v>46</v>
      </c>
      <c r="J4" s="466"/>
      <c r="K4" s="466"/>
      <c r="L4" s="466"/>
      <c r="M4" s="466"/>
      <c r="N4" s="466"/>
      <c r="O4" s="467"/>
      <c r="Q4" s="479" t="s">
        <v>71</v>
      </c>
      <c r="R4" s="480"/>
      <c r="S4" s="480"/>
      <c r="T4" s="480"/>
      <c r="U4" s="480"/>
      <c r="V4" s="481"/>
      <c r="W4" s="438" t="s">
        <v>248</v>
      </c>
      <c r="X4" s="439"/>
      <c r="Y4" s="439"/>
      <c r="Z4" s="439"/>
      <c r="AA4" s="439"/>
      <c r="AB4" s="438" t="s">
        <v>247</v>
      </c>
      <c r="AC4" s="439"/>
      <c r="AD4" s="439"/>
      <c r="AE4" s="439"/>
      <c r="AF4" s="440"/>
      <c r="AG4" s="3"/>
      <c r="AH4" s="3"/>
    </row>
    <row r="5" spans="1:36" ht="51.75" thickBot="1">
      <c r="A5" s="550"/>
      <c r="B5" s="124" t="s">
        <v>134</v>
      </c>
      <c r="C5" s="125" t="s">
        <v>135</v>
      </c>
      <c r="D5" s="125" t="s">
        <v>48</v>
      </c>
      <c r="E5" s="125" t="s">
        <v>49</v>
      </c>
      <c r="F5" s="125" t="s">
        <v>63</v>
      </c>
      <c r="G5" s="125" t="s">
        <v>93</v>
      </c>
      <c r="H5" s="126" t="s">
        <v>54</v>
      </c>
      <c r="I5" s="124" t="s">
        <v>134</v>
      </c>
      <c r="J5" s="125" t="s">
        <v>135</v>
      </c>
      <c r="K5" s="125" t="s">
        <v>48</v>
      </c>
      <c r="L5" s="125" t="s">
        <v>49</v>
      </c>
      <c r="M5" s="125" t="s">
        <v>63</v>
      </c>
      <c r="N5" s="125" t="s">
        <v>92</v>
      </c>
      <c r="O5" s="127" t="s">
        <v>50</v>
      </c>
      <c r="Q5" s="157" t="s">
        <v>201</v>
      </c>
      <c r="R5" s="96" t="s">
        <v>83</v>
      </c>
      <c r="S5" s="96" t="s">
        <v>18</v>
      </c>
      <c r="T5" s="96" t="s">
        <v>70</v>
      </c>
      <c r="U5" s="96" t="s">
        <v>233</v>
      </c>
      <c r="V5" s="97" t="s">
        <v>234</v>
      </c>
      <c r="W5" s="210" t="s">
        <v>235</v>
      </c>
      <c r="X5" s="211" t="s">
        <v>236</v>
      </c>
      <c r="Y5" s="240" t="s">
        <v>107</v>
      </c>
      <c r="Z5" s="240" t="s">
        <v>103</v>
      </c>
      <c r="AA5" s="186" t="s">
        <v>104</v>
      </c>
      <c r="AB5" s="210" t="s">
        <v>235</v>
      </c>
      <c r="AC5" s="212" t="s">
        <v>236</v>
      </c>
      <c r="AD5" s="240" t="s">
        <v>107</v>
      </c>
      <c r="AE5" s="240" t="s">
        <v>103</v>
      </c>
      <c r="AF5" s="240" t="s">
        <v>104</v>
      </c>
      <c r="AG5" s="3"/>
      <c r="AH5" s="3"/>
    </row>
    <row r="6" spans="1:36">
      <c r="A6" s="128">
        <v>30</v>
      </c>
      <c r="B6" s="119">
        <v>0.25</v>
      </c>
      <c r="C6" s="120">
        <v>11</v>
      </c>
      <c r="D6" s="129">
        <f>3.14*(C6/2-B6/2)^2*B6</f>
        <v>22.679140625000002</v>
      </c>
      <c r="E6" s="129">
        <f>1.26*D6</f>
        <v>28.575717187500004</v>
      </c>
      <c r="F6" s="130">
        <v>10</v>
      </c>
      <c r="G6" s="130">
        <v>10</v>
      </c>
      <c r="H6" s="131">
        <v>107</v>
      </c>
      <c r="I6" s="119">
        <v>0.25</v>
      </c>
      <c r="J6" s="120">
        <v>12</v>
      </c>
      <c r="K6" s="129">
        <f>3.14*(J6/2-I6/2)^2*I6</f>
        <v>27.094765625000001</v>
      </c>
      <c r="L6" s="129">
        <f>1.26*K6</f>
        <v>34.139404687500004</v>
      </c>
      <c r="M6" s="132">
        <v>11</v>
      </c>
      <c r="N6" s="133">
        <v>11</v>
      </c>
      <c r="O6" s="135">
        <v>125</v>
      </c>
      <c r="Q6" s="91">
        <v>1</v>
      </c>
      <c r="R6" s="92" t="s">
        <v>75</v>
      </c>
      <c r="S6" s="70">
        <v>20</v>
      </c>
      <c r="T6" s="70">
        <v>5</v>
      </c>
      <c r="U6" s="70">
        <v>1800</v>
      </c>
      <c r="V6" s="145">
        <v>589</v>
      </c>
      <c r="W6" s="158">
        <f t="shared" ref="W6:W13" si="0">$T$25+$T$27*S6</f>
        <v>503.88882549562851</v>
      </c>
      <c r="X6" s="476">
        <f>T26</f>
        <v>231.41144321893486</v>
      </c>
      <c r="Y6" s="151" t="str">
        <f>IF((U6&gt;W6)*(T6&gt;=$O$17), "Okay", "NoGood")</f>
        <v>Okay</v>
      </c>
      <c r="Z6" s="152" t="str">
        <f>IF((V6&gt;$X$6), "Okay", "NoGood")</f>
        <v>Okay</v>
      </c>
      <c r="AA6" s="153" t="str">
        <f>IF((Y6="Okay")*(Z6="Okay"),"Okay","NoGood")</f>
        <v>Okay</v>
      </c>
      <c r="AB6" s="213">
        <f>IF(Dimensions!C41=1,0,W6*U28)</f>
        <v>554.27770804519139</v>
      </c>
      <c r="AC6" s="473">
        <f>IF(Dimensions!C41=1,0,U26)</f>
        <v>254.55258754082837</v>
      </c>
      <c r="AD6" s="152" t="str">
        <f>IF(Dimensions!C41=1,0,IF((U6&gt;AB6)*(T6&gt;=$O$17), "Okay", "NoGood"))</f>
        <v>Okay</v>
      </c>
      <c r="AE6" s="152" t="str">
        <f>IF(Dimensions!C41=1,0,IF((V6&gt;$AC$6), "Okay", "NoGood"))</f>
        <v>Okay</v>
      </c>
      <c r="AF6" s="153" t="str">
        <f>IF(Dimensions!C41=1,0,IF((AD6="Okay")*(AE6="Okay"),"Okay","NoGood"))</f>
        <v>Okay</v>
      </c>
      <c r="AG6" s="3"/>
      <c r="AH6" s="3"/>
    </row>
    <row r="7" spans="1:36">
      <c r="A7" s="11">
        <f>A6+10</f>
        <v>40</v>
      </c>
      <c r="B7" s="117">
        <v>0.25</v>
      </c>
      <c r="C7" s="118">
        <v>13</v>
      </c>
      <c r="D7" s="16">
        <f t="shared" ref="D7:D11" si="1">3.14*(C7/2-B7/2)^2*B7</f>
        <v>31.902890625000001</v>
      </c>
      <c r="E7" s="16">
        <f t="shared" ref="E7:E11" si="2">1.26*D7</f>
        <v>40.197642187500001</v>
      </c>
      <c r="F7" s="33">
        <v>20</v>
      </c>
      <c r="G7" s="33">
        <v>20</v>
      </c>
      <c r="H7" s="15">
        <v>145</v>
      </c>
      <c r="I7" s="117">
        <v>0.25</v>
      </c>
      <c r="J7" s="118">
        <v>14</v>
      </c>
      <c r="K7" s="16">
        <f t="shared" ref="K7:K11" si="3">3.14*(J7/2-I7/2)^2*I7</f>
        <v>37.103515625</v>
      </c>
      <c r="L7" s="16">
        <f t="shared" ref="L7:L11" si="4">1.26*K7</f>
        <v>46.750429687500002</v>
      </c>
      <c r="M7" s="26">
        <v>22</v>
      </c>
      <c r="N7" s="26">
        <v>22</v>
      </c>
      <c r="O7" s="13">
        <v>166</v>
      </c>
      <c r="Q7" s="117">
        <v>2</v>
      </c>
      <c r="R7" s="89" t="s">
        <v>76</v>
      </c>
      <c r="S7" s="65">
        <v>18</v>
      </c>
      <c r="T7" s="65">
        <v>5</v>
      </c>
      <c r="U7" s="65">
        <v>1312</v>
      </c>
      <c r="V7" s="146">
        <v>477</v>
      </c>
      <c r="W7" s="148">
        <f t="shared" si="0"/>
        <v>480.64305813562851</v>
      </c>
      <c r="X7" s="477"/>
      <c r="Y7" s="66" t="str">
        <f t="shared" ref="Y7:Y13" si="5">IF((U7&gt;W7)*(T7&gt;=$O$17), "Okay", "NoGood")</f>
        <v>Okay</v>
      </c>
      <c r="Z7" s="65" t="str">
        <f t="shared" ref="Z7:Z13" si="6">IF((V7&gt;$X$6), "Okay", "NoGood")</f>
        <v>Okay</v>
      </c>
      <c r="AA7" s="72" t="str">
        <f t="shared" ref="AA7:AA13" si="7">IF((Y7="Okay")*(Z7="Okay"),"Okay","NoGood")</f>
        <v>Okay</v>
      </c>
      <c r="AB7" s="214">
        <f>IF(Dimensions!C41=1,0,W7*U28)</f>
        <v>528.7073639491914</v>
      </c>
      <c r="AC7" s="474"/>
      <c r="AD7" s="65" t="str">
        <f>IF(Dimensions!C41=1,0,IF((U7&gt;AB7)*(T7&gt;=$O$17), "Okay", "NoGood"))</f>
        <v>Okay</v>
      </c>
      <c r="AE7" s="65" t="str">
        <f>IF(Dimensions!C41=1,0,IF((V7&gt;$AC$6), "Okay", "NoGood"))</f>
        <v>Okay</v>
      </c>
      <c r="AF7" s="72" t="str">
        <f>IF(Dimensions!C41=1,0,IF((AD7="Okay")*(AE7="Okay"),"Okay","NoGood"))</f>
        <v>Okay</v>
      </c>
      <c r="AG7" s="3"/>
      <c r="AH7" s="3"/>
    </row>
    <row r="8" spans="1:36">
      <c r="A8" s="11">
        <f>A7+10</f>
        <v>50</v>
      </c>
      <c r="B8" s="117">
        <v>0.3125</v>
      </c>
      <c r="C8" s="118">
        <v>14</v>
      </c>
      <c r="D8" s="16">
        <f t="shared" si="1"/>
        <v>45.958721923828129</v>
      </c>
      <c r="E8" s="16">
        <f t="shared" si="2"/>
        <v>57.907989624023443</v>
      </c>
      <c r="F8" s="33">
        <v>36</v>
      </c>
      <c r="G8" s="33">
        <v>33</v>
      </c>
      <c r="H8" s="15">
        <v>215</v>
      </c>
      <c r="I8" s="117">
        <v>0.3125</v>
      </c>
      <c r="J8" s="118">
        <v>15</v>
      </c>
      <c r="K8" s="16">
        <f t="shared" si="3"/>
        <v>52.919464111328125</v>
      </c>
      <c r="L8" s="16">
        <f t="shared" si="4"/>
        <v>66.678524780273435</v>
      </c>
      <c r="M8" s="26">
        <v>40</v>
      </c>
      <c r="N8" s="26">
        <v>37</v>
      </c>
      <c r="O8" s="13">
        <v>244</v>
      </c>
      <c r="Q8" s="117">
        <v>3</v>
      </c>
      <c r="R8" s="89" t="s">
        <v>77</v>
      </c>
      <c r="S8" s="65">
        <v>16</v>
      </c>
      <c r="T8" s="65">
        <v>5</v>
      </c>
      <c r="U8" s="65">
        <v>922</v>
      </c>
      <c r="V8" s="146">
        <v>377</v>
      </c>
      <c r="W8" s="148">
        <f t="shared" si="0"/>
        <v>457.39729077562851</v>
      </c>
      <c r="X8" s="477"/>
      <c r="Y8" s="66" t="str">
        <f t="shared" si="5"/>
        <v>Okay</v>
      </c>
      <c r="Z8" s="65" t="str">
        <f t="shared" si="6"/>
        <v>Okay</v>
      </c>
      <c r="AA8" s="72" t="str">
        <f t="shared" si="7"/>
        <v>Okay</v>
      </c>
      <c r="AB8" s="214">
        <f>IF(Dimensions!C41=1,0,W8*U28)</f>
        <v>503.13701985319142</v>
      </c>
      <c r="AC8" s="474"/>
      <c r="AD8" s="65" t="str">
        <f>IF(Dimensions!C41=1,0,IF((U8&gt;AB8)*(T8&gt;=$O$17), "Okay", "NoGood"))</f>
        <v>Okay</v>
      </c>
      <c r="AE8" s="65" t="str">
        <f>IF(Dimensions!C41=1,0,IF((V8&gt;$AC$6), "Okay", "NoGood"))</f>
        <v>Okay</v>
      </c>
      <c r="AF8" s="72" t="str">
        <f>IF(Dimensions!C41=1,0,IF((AD8="Okay")*(AE8="Okay"),"Okay","NoGood"))</f>
        <v>Okay</v>
      </c>
      <c r="AG8" s="3"/>
      <c r="AH8" s="3"/>
    </row>
    <row r="9" spans="1:36">
      <c r="A9" s="11">
        <f>A8+10</f>
        <v>60</v>
      </c>
      <c r="B9" s="117">
        <v>0.375</v>
      </c>
      <c r="C9" s="118">
        <v>15</v>
      </c>
      <c r="D9" s="16">
        <f t="shared" si="1"/>
        <v>62.964052734375002</v>
      </c>
      <c r="E9" s="16">
        <f t="shared" si="2"/>
        <v>79.334706445312506</v>
      </c>
      <c r="F9" s="33">
        <v>56</v>
      </c>
      <c r="G9" s="33">
        <v>48</v>
      </c>
      <c r="H9" s="15">
        <v>300</v>
      </c>
      <c r="I9" s="117">
        <v>0.375</v>
      </c>
      <c r="J9" s="118">
        <v>16</v>
      </c>
      <c r="K9" s="16">
        <f t="shared" si="3"/>
        <v>71.868896484375</v>
      </c>
      <c r="L9" s="16">
        <f t="shared" si="4"/>
        <v>90.5548095703125</v>
      </c>
      <c r="M9" s="26">
        <v>62</v>
      </c>
      <c r="N9" s="26">
        <v>53</v>
      </c>
      <c r="O9" s="13">
        <v>340</v>
      </c>
      <c r="Q9" s="117">
        <v>4</v>
      </c>
      <c r="R9" s="89" t="s">
        <v>78</v>
      </c>
      <c r="S9" s="65">
        <v>16</v>
      </c>
      <c r="T9" s="65">
        <v>4.5</v>
      </c>
      <c r="U9" s="65">
        <v>829</v>
      </c>
      <c r="V9" s="146">
        <v>305</v>
      </c>
      <c r="W9" s="148">
        <f t="shared" si="0"/>
        <v>457.39729077562851</v>
      </c>
      <c r="X9" s="477"/>
      <c r="Y9" s="66" t="str">
        <f t="shared" si="5"/>
        <v>NoGood</v>
      </c>
      <c r="Z9" s="65" t="str">
        <f t="shared" si="6"/>
        <v>Okay</v>
      </c>
      <c r="AA9" s="72" t="str">
        <f t="shared" si="7"/>
        <v>NoGood</v>
      </c>
      <c r="AB9" s="214">
        <f>IF(Dimensions!C41=1,0,W9*U28)</f>
        <v>503.13701985319142</v>
      </c>
      <c r="AC9" s="474"/>
      <c r="AD9" s="65" t="str">
        <f>IF(Dimensions!C41=1,0,IF((U9&gt;AB9)*(T9&gt;=$O$17), "Okay", "NoGood"))</f>
        <v>NoGood</v>
      </c>
      <c r="AE9" s="65" t="str">
        <f>IF(Dimensions!C41=1,0,IF((V9&gt;$AC$6), "Okay", "NoGood"))</f>
        <v>Okay</v>
      </c>
      <c r="AF9" s="72" t="str">
        <f>IF(Dimensions!C41=1,0,IF((AD9="Okay")*(AE9="Okay"),"Okay","NoGood"))</f>
        <v>NoGood</v>
      </c>
      <c r="AG9" s="3"/>
      <c r="AH9" s="3"/>
    </row>
    <row r="10" spans="1:36">
      <c r="A10" s="11">
        <f>A9+10</f>
        <v>70</v>
      </c>
      <c r="B10" s="117">
        <v>0.375</v>
      </c>
      <c r="C10" s="118">
        <v>17</v>
      </c>
      <c r="D10" s="16">
        <f t="shared" si="1"/>
        <v>81.362490234375002</v>
      </c>
      <c r="E10" s="16">
        <f t="shared" si="2"/>
        <v>102.5167376953125</v>
      </c>
      <c r="F10" s="33">
        <v>85</v>
      </c>
      <c r="G10" s="33">
        <v>71</v>
      </c>
      <c r="H10" s="15">
        <v>380</v>
      </c>
      <c r="I10" s="117">
        <v>0.375</v>
      </c>
      <c r="J10" s="118">
        <v>18</v>
      </c>
      <c r="K10" s="16">
        <f t="shared" si="3"/>
        <v>91.444833984375009</v>
      </c>
      <c r="L10" s="16">
        <f t="shared" si="4"/>
        <v>115.22049082031251</v>
      </c>
      <c r="M10" s="26">
        <v>100</v>
      </c>
      <c r="N10" s="26">
        <v>77</v>
      </c>
      <c r="O10" s="13">
        <v>422</v>
      </c>
      <c r="Q10" s="117">
        <v>5</v>
      </c>
      <c r="R10" s="89" t="s">
        <v>79</v>
      </c>
      <c r="S10" s="65">
        <v>14</v>
      </c>
      <c r="T10" s="65">
        <v>5</v>
      </c>
      <c r="U10" s="65">
        <v>617</v>
      </c>
      <c r="V10" s="146">
        <v>289</v>
      </c>
      <c r="W10" s="148">
        <f t="shared" si="0"/>
        <v>434.1515234156285</v>
      </c>
      <c r="X10" s="477"/>
      <c r="Y10" s="66" t="str">
        <f t="shared" si="5"/>
        <v>Okay</v>
      </c>
      <c r="Z10" s="65" t="str">
        <f t="shared" si="6"/>
        <v>Okay</v>
      </c>
      <c r="AA10" s="72" t="str">
        <f t="shared" si="7"/>
        <v>Okay</v>
      </c>
      <c r="AB10" s="214">
        <f>IF(Dimensions!C41=1,0,W10*U28)</f>
        <v>477.56667575719138</v>
      </c>
      <c r="AC10" s="474"/>
      <c r="AD10" s="65" t="str">
        <f>IF(Dimensions!C41=1,0,IF((U10&gt;AB10)*(T10&gt;=$O$17), "Okay", "NoGood"))</f>
        <v>Okay</v>
      </c>
      <c r="AE10" s="65" t="str">
        <f>IF(Dimensions!C41=1,0,IF((V10&gt;$AC$6), "Okay", "NoGood"))</f>
        <v>Okay</v>
      </c>
      <c r="AF10" s="72" t="str">
        <f>IF(Dimensions!C41=1,0,IF((AD10="Okay")*(AE10="Okay"),"Okay","NoGood"))</f>
        <v>Okay</v>
      </c>
      <c r="AG10" s="3"/>
      <c r="AH10" s="3"/>
    </row>
    <row r="11" spans="1:36" ht="15.75" thickBot="1">
      <c r="A11" s="12">
        <f>A10+8</f>
        <v>78</v>
      </c>
      <c r="B11" s="4">
        <v>0.375</v>
      </c>
      <c r="C11" s="14">
        <v>18</v>
      </c>
      <c r="D11" s="134">
        <f t="shared" si="1"/>
        <v>91.444833984375009</v>
      </c>
      <c r="E11" s="134">
        <f t="shared" si="2"/>
        <v>115.22049082031251</v>
      </c>
      <c r="F11" s="34">
        <v>110</v>
      </c>
      <c r="G11" s="34">
        <v>90</v>
      </c>
      <c r="H11" s="18">
        <v>422</v>
      </c>
      <c r="I11" s="4">
        <v>0.375</v>
      </c>
      <c r="J11" s="14">
        <v>20</v>
      </c>
      <c r="K11" s="134">
        <f t="shared" si="3"/>
        <v>113.37577148437501</v>
      </c>
      <c r="L11" s="134">
        <f t="shared" si="4"/>
        <v>142.85347207031251</v>
      </c>
      <c r="M11" s="27">
        <v>130</v>
      </c>
      <c r="N11" s="27">
        <v>106</v>
      </c>
      <c r="O11" s="17">
        <v>512</v>
      </c>
      <c r="Q11" s="117">
        <v>6</v>
      </c>
      <c r="R11" s="89" t="s">
        <v>80</v>
      </c>
      <c r="S11" s="65">
        <v>14</v>
      </c>
      <c r="T11" s="65">
        <v>4.5</v>
      </c>
      <c r="U11" s="65">
        <v>556</v>
      </c>
      <c r="V11" s="146">
        <v>234</v>
      </c>
      <c r="W11" s="148">
        <f t="shared" si="0"/>
        <v>434.1515234156285</v>
      </c>
      <c r="X11" s="477"/>
      <c r="Y11" s="66" t="str">
        <f t="shared" si="5"/>
        <v>NoGood</v>
      </c>
      <c r="Z11" s="65" t="str">
        <f t="shared" si="6"/>
        <v>Okay</v>
      </c>
      <c r="AA11" s="72" t="str">
        <f t="shared" si="7"/>
        <v>NoGood</v>
      </c>
      <c r="AB11" s="214">
        <f>IF(Dimensions!C41=1,0,W11*U28)</f>
        <v>477.56667575719138</v>
      </c>
      <c r="AC11" s="474"/>
      <c r="AD11" s="65" t="str">
        <f>IF(Dimensions!C41=1,0,IF((U11&gt;AB11)*(T11&gt;=$O$17), "Okay", "NoGood"))</f>
        <v>NoGood</v>
      </c>
      <c r="AE11" s="65" t="str">
        <f>IF(Dimensions!C41=1,0,IF((V11&gt;$AC$6), "Okay", "NoGood"))</f>
        <v>NoGood</v>
      </c>
      <c r="AF11" s="72" t="str">
        <f>IF(Dimensions!C41=1,0,IF((AD11="Okay")*(AE11="Okay"),"Okay","NoGood"))</f>
        <v>NoGood</v>
      </c>
      <c r="AG11" s="3"/>
      <c r="AH11" s="3"/>
    </row>
    <row r="12" spans="1:36">
      <c r="A12" s="3"/>
      <c r="B12" s="3"/>
      <c r="C12" s="3"/>
      <c r="F12" s="3"/>
      <c r="J12" s="3"/>
      <c r="K12" s="5"/>
      <c r="L12" s="5"/>
      <c r="M12" s="5"/>
      <c r="N12" s="3"/>
      <c r="O12" s="3"/>
      <c r="P12" s="3"/>
      <c r="Q12" s="117">
        <v>7</v>
      </c>
      <c r="R12" s="89" t="s">
        <v>81</v>
      </c>
      <c r="S12" s="65">
        <v>12</v>
      </c>
      <c r="T12" s="65">
        <v>4.5</v>
      </c>
      <c r="U12" s="65">
        <v>350</v>
      </c>
      <c r="V12" s="146">
        <v>172</v>
      </c>
      <c r="W12" s="148">
        <f t="shared" si="0"/>
        <v>410.9057560556285</v>
      </c>
      <c r="X12" s="477"/>
      <c r="Y12" s="66" t="str">
        <f t="shared" si="5"/>
        <v>NoGood</v>
      </c>
      <c r="Z12" s="65" t="str">
        <f t="shared" si="6"/>
        <v>NoGood</v>
      </c>
      <c r="AA12" s="72" t="str">
        <f t="shared" si="7"/>
        <v>NoGood</v>
      </c>
      <c r="AB12" s="214">
        <f>IF(Dimensions!C41=1,0,W12*U28)</f>
        <v>451.99633166119139</v>
      </c>
      <c r="AC12" s="474"/>
      <c r="AD12" s="65" t="str">
        <f>IF(Dimensions!C41=1,0,IF((U12&gt;AB12)*(T12&gt;=$O$17), "Okay", "NoGood"))</f>
        <v>NoGood</v>
      </c>
      <c r="AE12" s="65" t="str">
        <f>IF(Dimensions!C41=1,0,IF((V12&gt;$AC$6), "Okay", "NoGood"))</f>
        <v>NoGood</v>
      </c>
      <c r="AF12" s="72" t="str">
        <f>IF(Dimensions!C41=1,0,IF((AD12="Okay")*(AE12="Okay"),"Okay","NoGood"))</f>
        <v>NoGood</v>
      </c>
      <c r="AG12" s="3"/>
      <c r="AH12" s="3"/>
    </row>
    <row r="13" spans="1:36" ht="15.75" thickBot="1">
      <c r="C13" s="3"/>
      <c r="D13" s="7"/>
      <c r="E13" s="7"/>
      <c r="F13" s="7"/>
      <c r="G13" s="7"/>
      <c r="J13" s="3"/>
      <c r="K13" s="3"/>
      <c r="M13" s="5"/>
      <c r="N13" s="3"/>
      <c r="O13" s="3"/>
      <c r="P13" s="3"/>
      <c r="Q13" s="239">
        <v>8</v>
      </c>
      <c r="R13" s="90" t="s">
        <v>82</v>
      </c>
      <c r="S13" s="68">
        <v>12</v>
      </c>
      <c r="T13" s="68">
        <v>4</v>
      </c>
      <c r="U13" s="68">
        <v>311</v>
      </c>
      <c r="V13" s="147">
        <v>136</v>
      </c>
      <c r="W13" s="149">
        <f t="shared" si="0"/>
        <v>410.9057560556285</v>
      </c>
      <c r="X13" s="478"/>
      <c r="Y13" s="67" t="str">
        <f t="shared" si="5"/>
        <v>NoGood</v>
      </c>
      <c r="Z13" s="68" t="str">
        <f t="shared" si="6"/>
        <v>NoGood</v>
      </c>
      <c r="AA13" s="73" t="str">
        <f t="shared" si="7"/>
        <v>NoGood</v>
      </c>
      <c r="AB13" s="215">
        <f>IF(Dimensions!C41=1,0,W13*U28)</f>
        <v>451.99633166119139</v>
      </c>
      <c r="AC13" s="475"/>
      <c r="AD13" s="68" t="str">
        <f>IF(Dimensions!C41=1,0,IF((U13&gt;AB13)*(T13&gt;=$O$17), "Okay", "NoGood"))</f>
        <v>NoGood</v>
      </c>
      <c r="AE13" s="68" t="str">
        <f>IF(Dimensions!C41=1,0,IF((V13&gt;$AC$6), "Okay", "NoGood"))</f>
        <v>NoGood</v>
      </c>
      <c r="AF13" s="73" t="str">
        <f>IF(Dimensions!C41=1,0,IF((AD13="Okay")*(AE13="Okay"),"Okay","NoGood"))</f>
        <v>NoGood</v>
      </c>
      <c r="AG13" s="3"/>
      <c r="AH13" s="3"/>
    </row>
    <row r="14" spans="1:36" ht="15.75" thickBot="1">
      <c r="A14" s="22"/>
      <c r="B14" s="22"/>
      <c r="C14" s="22"/>
      <c r="D14" s="7"/>
      <c r="E14" s="7"/>
      <c r="F14" s="7"/>
      <c r="G14" s="7"/>
      <c r="J14" s="3"/>
      <c r="K14" s="21"/>
      <c r="L14" s="23"/>
      <c r="N14" s="3"/>
      <c r="O14" s="3"/>
      <c r="Q14" s="3"/>
      <c r="R14" s="3"/>
      <c r="V14"/>
      <c r="W14"/>
      <c r="Z14" s="3"/>
    </row>
    <row r="15" spans="1:36" ht="19.5" customHeight="1" thickBot="1">
      <c r="A15" s="470" t="s">
        <v>169</v>
      </c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2"/>
      <c r="M15"/>
      <c r="N15" s="462" t="s">
        <v>249</v>
      </c>
      <c r="O15" s="468" t="s">
        <v>106</v>
      </c>
      <c r="Q15" s="438" t="s">
        <v>205</v>
      </c>
      <c r="R15" s="439"/>
      <c r="S15" s="439"/>
      <c r="T15" s="439"/>
      <c r="U15" s="439"/>
      <c r="V15" s="439"/>
      <c r="W15" s="440"/>
      <c r="Y15" s="438" t="s">
        <v>105</v>
      </c>
      <c r="Z15" s="439"/>
      <c r="AA15" s="439"/>
      <c r="AB15" s="439"/>
      <c r="AC15" s="440"/>
      <c r="AD15" s="3"/>
      <c r="AI15" s="3"/>
      <c r="AJ15" s="3"/>
    </row>
    <row r="16" spans="1:36" ht="30.75" thickBot="1">
      <c r="A16" s="266"/>
      <c r="B16" s="28" t="s">
        <v>237</v>
      </c>
      <c r="C16" s="28" t="s">
        <v>238</v>
      </c>
      <c r="D16" s="28" t="s">
        <v>239</v>
      </c>
      <c r="E16" s="28" t="s">
        <v>240</v>
      </c>
      <c r="F16" s="28" t="s">
        <v>241</v>
      </c>
      <c r="G16" s="28" t="s">
        <v>242</v>
      </c>
      <c r="H16" s="28" t="s">
        <v>243</v>
      </c>
      <c r="I16" s="28" t="s">
        <v>244</v>
      </c>
      <c r="J16" s="28" t="s">
        <v>245</v>
      </c>
      <c r="K16" s="29" t="s">
        <v>246</v>
      </c>
      <c r="L16" s="30" t="s">
        <v>64</v>
      </c>
      <c r="M16"/>
      <c r="N16" s="462"/>
      <c r="O16" s="469"/>
      <c r="Q16" s="484" t="s">
        <v>84</v>
      </c>
      <c r="R16" s="485"/>
      <c r="S16" s="485"/>
      <c r="T16" s="485"/>
      <c r="U16" s="486"/>
      <c r="V16" s="216" t="s">
        <v>202</v>
      </c>
      <c r="W16" s="216" t="s">
        <v>203</v>
      </c>
      <c r="Y16" s="229"/>
      <c r="Z16" s="255" t="s">
        <v>209</v>
      </c>
      <c r="AA16" s="210" t="s">
        <v>210</v>
      </c>
      <c r="AB16" s="154" t="s">
        <v>211</v>
      </c>
      <c r="AC16" s="256" t="s">
        <v>212</v>
      </c>
      <c r="AD16" s="3"/>
      <c r="AI16" s="3"/>
      <c r="AJ16" s="3"/>
    </row>
    <row r="17" spans="1:36" ht="45.75" thickBot="1">
      <c r="A17" s="31" t="s">
        <v>51</v>
      </c>
      <c r="B17" s="241">
        <f>IF(Arm1Design!D7&lt;&gt;1,Arm1Design!D10*Arm1Design!D6*$H$1/1000,0)</f>
        <v>0</v>
      </c>
      <c r="C17" s="241">
        <f>IF(Arm1Design!E7&lt;&gt;1,Arm1Design!E10*Arm1Design!E6*$H$1/1000,0)</f>
        <v>0</v>
      </c>
      <c r="D17" s="241">
        <f>IF(Arm1Design!F7&lt;&gt;1,Arm1Design!F10*Arm1Design!F6*$H$1/1000,0)</f>
        <v>0</v>
      </c>
      <c r="E17" s="241">
        <f>IF(Arm1Design!G7&lt;&gt;1,Arm1Design!G10*Arm1Design!G6*$H$1/1000,0)</f>
        <v>0</v>
      </c>
      <c r="F17" s="241">
        <f>IF(Arm1Design!H7&lt;&gt;1,Arm1Design!H10*Arm1Design!H6*$H$1/1000,0)</f>
        <v>35.916566399999994</v>
      </c>
      <c r="G17" s="241">
        <f>IF(Arm1Design!I7&lt;&gt;1,Arm1Design!I10*Arm1Design!I6*$H$1/1000,0)</f>
        <v>29.386281599999997</v>
      </c>
      <c r="H17" s="241">
        <f>IF(Arm1Design!J7&lt;&gt;1,Arm1Design!J10*Arm1Design!J6*$H$1/1000,0)</f>
        <v>22.855996799999996</v>
      </c>
      <c r="I17" s="241">
        <f>IF(Arm1Design!K7&lt;&gt;1,Arm1Design!K10*Arm1Design!K6*$H$1/1000,0)</f>
        <v>18.284797439999998</v>
      </c>
      <c r="J17" s="241">
        <f>IF(Arm1Design!L7&lt;&gt;1,Arm1Design!L10*Arm1Design!L6*$H$1/1000,0)</f>
        <v>14.366626559999998</v>
      </c>
      <c r="K17" s="137">
        <f>IF(Arm1Design!M7&lt;&gt;1,Arm1Design!M10*Arm1Design!M6*$H$1/1000,0)</f>
        <v>16.074547199999998</v>
      </c>
      <c r="L17" s="35">
        <f>SUM(B17:K17)</f>
        <v>136.88481599999997</v>
      </c>
      <c r="M17"/>
      <c r="N17" s="462"/>
      <c r="O17" s="94">
        <f>IF((Dimensions!D40&gt;61)+((Dimensions!D40&gt;51)*(Dimensions!D41&gt;51)),5,IF(((Dimensions!D40=30)*(Dimensions!D41=0)),4,4.5))</f>
        <v>5</v>
      </c>
      <c r="Q17" s="487" t="str">
        <f>"Drilled Shaft Index req'd for Overturning including Min. Diamter"</f>
        <v>Drilled Shaft Index req'd for Overturning including Min. Diamter</v>
      </c>
      <c r="R17" s="488"/>
      <c r="S17" s="488"/>
      <c r="T17" s="488"/>
      <c r="U17" s="489"/>
      <c r="V17" s="220">
        <f>IF((Y10="Okay")*(Y9="NoGood"),5,INDEX(Q6:AA13,MATCH("NoGood",Y6:Y13,-1),1)-1)</f>
        <v>5</v>
      </c>
      <c r="W17" s="329">
        <f>IF(Dimensions!C41=1,0,IF((AD10="Okay")*(AD9="NoGood"),5,INDEX(Q6:AF13,MATCH("NoGood",AD6:AD13,-1),1)-1))</f>
        <v>5</v>
      </c>
      <c r="Y17" s="159" t="s">
        <v>114</v>
      </c>
      <c r="Z17" s="263" t="s">
        <v>98</v>
      </c>
      <c r="AA17" s="137">
        <f>L18</f>
        <v>11.231000000000002</v>
      </c>
      <c r="AB17" s="264" t="s">
        <v>98</v>
      </c>
      <c r="AC17" s="143">
        <f>IF(Dimensions!C41=1,0,L26)</f>
        <v>5.5550000000000006</v>
      </c>
      <c r="AD17" s="3"/>
      <c r="AI17" s="3"/>
      <c r="AJ17" s="3"/>
    </row>
    <row r="18" spans="1:36" ht="45.75" thickBot="1">
      <c r="A18" s="32" t="s">
        <v>69</v>
      </c>
      <c r="B18" s="242">
        <f>1.1*Arm1Design!D6/1000*IF(Arm1Design!D7=2,Dimensions!$J$4,IF(Arm1Design!D7=3,Dimensions!$J$11,IF(Arm1Design!D7=4,Dimensions!$J$18,IF(Arm1Design!D7=5,Dimensions!T4,0))))</f>
        <v>0</v>
      </c>
      <c r="C18" s="242">
        <f>1.1*Arm1Design!E6/1000*IF(Arm1Design!E7=2,Dimensions!$J$4,IF(Arm1Design!E7=3,Dimensions!$J$11,IF(Arm1Design!E7=4,Dimensions!$J$18,IF(Arm1Design!E7=5,Dimensions!T11,0))))</f>
        <v>0</v>
      </c>
      <c r="D18" s="242">
        <f>1.1*Arm1Design!F6/1000*IF(Arm1Design!F7=2,Dimensions!$J$4,IF(Arm1Design!F7=3,Dimensions!$J$11,IF(Arm1Design!F7=4,Dimensions!$J$18,IF(Arm1Design!F7=5,Dimensions!T18,0))))</f>
        <v>0</v>
      </c>
      <c r="E18" s="242">
        <f>1.1*Arm1Design!G6/1000*IF(Arm1Design!G7=2,Dimensions!$J$4,IF(Arm1Design!G7=3,Dimensions!$J$11,IF(Arm1Design!G7=4,Dimensions!$J$18,IF(Arm1Design!G7=5,Dimensions!T25,0))))</f>
        <v>0</v>
      </c>
      <c r="F18" s="242">
        <f>1.1*Arm1Design!H6/1000*IF(Arm1Design!H7=2,Dimensions!$J$4,IF(Arm1Design!H7=3,Dimensions!$J$11,IF(Arm1Design!H7=4,Dimensions!$J$18,IF(Arm1Design!H7=5,Dimensions!T32,0))))</f>
        <v>3.0250000000000004</v>
      </c>
      <c r="G18" s="242">
        <f>1.1*Arm1Design!I6/1000*IF(Arm1Design!I7=2,Dimensions!$J$4,IF(Arm1Design!I7=3,Dimensions!$J$11,IF(Arm1Design!I7=4,Dimensions!$J$18,IF(Arm1Design!I7=5,Dimensions!T39,0))))</f>
        <v>2.4750000000000005</v>
      </c>
      <c r="H18" s="242">
        <f>1.1*Arm1Design!J6/1000*IF(Arm1Design!J7=2,Dimensions!$J$4,IF(Arm1Design!J7=3,Dimensions!$J$11,IF(Arm1Design!J7=4,Dimensions!$J$18,IF(Arm1Design!J7=5,Dimensions!T46,0))))</f>
        <v>1.925</v>
      </c>
      <c r="I18" s="242">
        <f>1.1*Arm1Design!K6/1000*IF(Arm1Design!K7=2,Dimensions!$J$4,IF(Arm1Design!K7=3,Dimensions!$J$11,IF(Arm1Design!K7=4,Dimensions!$J$18,IF(Arm1Design!K7=5,Dimensions!T53,0))))</f>
        <v>1.5400000000000003</v>
      </c>
      <c r="J18" s="242">
        <f>1.1*Arm1Design!L6/1000*IF(Arm1Design!L7=2,Dimensions!$J$4,IF(Arm1Design!L7=3,Dimensions!$J$11,IF(Arm1Design!L7=4,Dimensions!$J$18,IF(Arm1Design!L7=5,Dimensions!T60,0))))</f>
        <v>1.2100000000000002</v>
      </c>
      <c r="K18" s="138">
        <f>1.1*Arm1Design!M6/1000*IF(Arm1Design!M7=2,Dimensions!$J$4,IF(Arm1Design!M7=3,Dimensions!$J$11,IF(Arm1Design!M7=4,Dimensions!$J$18,IF(Arm1Design!M7=5,Dimensions!T67,0))))</f>
        <v>1.056</v>
      </c>
      <c r="L18" s="35">
        <f>SUM(B18:K18)</f>
        <v>11.231000000000002</v>
      </c>
      <c r="N18" s="3"/>
      <c r="Q18" s="497" t="s">
        <v>204</v>
      </c>
      <c r="R18" s="498"/>
      <c r="S18" s="498"/>
      <c r="T18" s="498"/>
      <c r="U18" s="478"/>
      <c r="V18" s="328">
        <f>IF(Z13="Okay",Q13,INDEX(Q6:AA14,MATCH("NoGood",Z6:Z14,-1),1)-1)</f>
        <v>6</v>
      </c>
      <c r="W18" s="219">
        <f>IF(Dimensions!C41=1,0,IF(AE13="Okay",Q13,INDEX(Q6:AF13,MATCH("NoGood",AE6:AE14,-1),1)-1))</f>
        <v>5</v>
      </c>
      <c r="X18" s="150"/>
      <c r="Y18" s="162" t="s">
        <v>115</v>
      </c>
      <c r="Z18" s="260" t="s">
        <v>98</v>
      </c>
      <c r="AA18" s="230">
        <f>IF(C31="Use Regular Arm",L20,M20)</f>
        <v>93.500000000000014</v>
      </c>
      <c r="AB18" s="262" t="s">
        <v>98</v>
      </c>
      <c r="AC18" s="142">
        <f>IF(Dimensions!C41=1,0,IF(C37="Use Regular Arm",L28,M28))</f>
        <v>22</v>
      </c>
      <c r="AD18" s="3"/>
    </row>
    <row r="19" spans="1:36" ht="45.75" customHeight="1" thickBot="1">
      <c r="A19" s="257" t="s">
        <v>171</v>
      </c>
      <c r="B19" s="444"/>
      <c r="C19" s="444"/>
      <c r="D19" s="444"/>
      <c r="E19" s="444"/>
      <c r="F19" s="444"/>
      <c r="G19" s="444"/>
      <c r="H19" s="444"/>
      <c r="I19" s="444"/>
      <c r="J19" s="444"/>
      <c r="K19" s="445"/>
      <c r="L19" s="136">
        <f>VLOOKUP(Dimensions!D40,A6:O11,7)*IF(Dimensions!C42=1,1,IF(Dimensions!C42=2,(150/130)^2,(170/130)^2))</f>
        <v>94.526627218934891</v>
      </c>
      <c r="M19" s="35">
        <f>VLOOKUP(Dimensions!D40,A6:O11,14)*IF(Dimensions!C42=1,1,IF(Dimensions!C42=2,(150/130)^2,(170/130)^2))</f>
        <v>102.51479289940826</v>
      </c>
      <c r="N19" s="150" t="s">
        <v>108</v>
      </c>
      <c r="O19" s="3"/>
      <c r="Q19" s="499" t="str">
        <f xml:space="preserve"> "Drilled Shaft Controlling Load Case"</f>
        <v>Drilled Shaft Controlling Load Case</v>
      </c>
      <c r="R19" s="500"/>
      <c r="S19" s="500"/>
      <c r="T19" s="500"/>
      <c r="U19" s="501"/>
      <c r="V19" s="218">
        <f>IF(MIN(V17,V18)=0,"Custom Shaft Reqd",MIN(V17,V18))</f>
        <v>5</v>
      </c>
      <c r="W19" s="217">
        <f>IF(Dimensions!C41=1,0,IF(MIN(W17,W18)=0,"Custom Shaft",MIN(W17,W18)))</f>
        <v>5</v>
      </c>
      <c r="Y19" s="228" t="s">
        <v>116</v>
      </c>
      <c r="Z19" s="181">
        <f>40*(18/12)*B1/1000</f>
        <v>2.6456025599999995</v>
      </c>
      <c r="AA19" s="231">
        <f>IF(C31="Use Regular Arm",Z19,Z19*1.2)*40/2</f>
        <v>52.912051199999993</v>
      </c>
      <c r="AB19" s="158">
        <f>IF(Dimensions!C41=1,0,Z19)</f>
        <v>2.6456025599999995</v>
      </c>
      <c r="AC19" s="227">
        <f>IF(Dimensions!C41=1,0,AA19)</f>
        <v>52.912051199999993</v>
      </c>
      <c r="AD19" s="437" t="s">
        <v>250</v>
      </c>
      <c r="AE19" s="437"/>
    </row>
    <row r="20" spans="1:36" ht="45.75" thickBot="1">
      <c r="A20" s="258" t="s">
        <v>172</v>
      </c>
      <c r="B20" s="446"/>
      <c r="C20" s="446"/>
      <c r="D20" s="446"/>
      <c r="E20" s="446"/>
      <c r="F20" s="446"/>
      <c r="G20" s="446"/>
      <c r="H20" s="446"/>
      <c r="I20" s="446"/>
      <c r="J20" s="446"/>
      <c r="K20" s="447"/>
      <c r="L20" s="136">
        <f>1.1*VLOOKUP(Dimensions!D40,A6:O11,6)</f>
        <v>93.500000000000014</v>
      </c>
      <c r="M20" s="35">
        <f>1.1*VLOOKUP(Dimensions!D40,A6:O11,13)</f>
        <v>110.00000000000001</v>
      </c>
      <c r="N20" s="150" t="s">
        <v>108</v>
      </c>
      <c r="O20" s="3"/>
      <c r="Y20" s="160" t="s">
        <v>117</v>
      </c>
      <c r="Z20" s="24">
        <f>SUM(Arm1Design!D10:M10)*H1/1000</f>
        <v>4.6046879999999994</v>
      </c>
      <c r="AA20" s="138">
        <f>Z20*22</f>
        <v>101.30313599999999</v>
      </c>
      <c r="AB20" s="148">
        <f>IF(Dimensions!C41=1,0,SUM(Arm2Design!D10:M10)*H1/1000)</f>
        <v>3.2986310399999996</v>
      </c>
      <c r="AC20" s="141">
        <f>IF(Dimensions!C41=1,0,AB20*22)</f>
        <v>72.569882879999994</v>
      </c>
      <c r="AD20" s="3"/>
      <c r="AF20" s="5"/>
    </row>
    <row r="21" spans="1:36" ht="18" customHeight="1" thickBot="1">
      <c r="A21" s="3"/>
      <c r="B21" s="19"/>
      <c r="C21" s="19"/>
      <c r="D21" s="19"/>
      <c r="E21" s="19"/>
      <c r="F21" s="19"/>
      <c r="G21" s="19"/>
      <c r="H21" s="492" t="s">
        <v>72</v>
      </c>
      <c r="I21" s="492"/>
      <c r="J21" s="492"/>
      <c r="K21" s="492"/>
      <c r="L21" s="35">
        <f>((L17+L19)^2+(L18+L20)^2)^0.5</f>
        <v>254.00755582003919</v>
      </c>
      <c r="M21" s="35">
        <f>((L17+M19)^2+(L18+M20)^2)^0.5+0.5</f>
        <v>268.84516597507326</v>
      </c>
      <c r="N21" s="3"/>
      <c r="O21" s="3"/>
      <c r="R21" s="545" t="s">
        <v>125</v>
      </c>
      <c r="S21" s="546"/>
      <c r="T21" s="546"/>
      <c r="U21" s="547"/>
      <c r="Y21" s="160" t="s">
        <v>118</v>
      </c>
      <c r="Z21" s="24">
        <f>Dimensions!D40*B1/1000*IF(C33="/H",Arm1Design!E26/12,Arm1Design!D26/12)</f>
        <v>4.3725931199999986</v>
      </c>
      <c r="AA21" s="138">
        <f>Z21*22</f>
        <v>96.197048639999963</v>
      </c>
      <c r="AB21" s="148">
        <f>IF(Dimensions!C41=1,0,Dimensions!D41*B1/1000*IF(C39="/H",Arm2Design!E25/12,Arm2Design!D25/12))</f>
        <v>1.9107129599999995</v>
      </c>
      <c r="AC21" s="141">
        <f>IF(Dimensions!C41=1,0,AB21*22)</f>
        <v>42.035685119999989</v>
      </c>
      <c r="AD21" s="3"/>
    </row>
    <row r="22" spans="1:36" ht="15.75" thickBot="1">
      <c r="A22" s="3"/>
      <c r="B22" s="19"/>
      <c r="C22" s="19"/>
      <c r="D22" s="19"/>
      <c r="E22" s="19"/>
      <c r="F22" s="19"/>
      <c r="G22" s="19"/>
      <c r="H22" s="188"/>
      <c r="I22" s="188"/>
      <c r="J22" s="188"/>
      <c r="K22" s="188"/>
      <c r="L22" s="22"/>
      <c r="M22" s="22"/>
      <c r="N22" s="74"/>
      <c r="O22" s="3"/>
      <c r="R22" s="545"/>
      <c r="S22" s="548"/>
      <c r="T22" s="144" t="s">
        <v>126</v>
      </c>
      <c r="U22" s="226" t="s">
        <v>127</v>
      </c>
      <c r="Y22" s="161" t="s">
        <v>312</v>
      </c>
      <c r="Z22" s="259" t="s">
        <v>98</v>
      </c>
      <c r="AA22" s="232">
        <f>L17</f>
        <v>136.88481599999997</v>
      </c>
      <c r="AB22" s="261" t="s">
        <v>98</v>
      </c>
      <c r="AC22" s="141">
        <f>IF(Dimensions!C41=1,0,L25)</f>
        <v>68.902876799999987</v>
      </c>
      <c r="AD22" s="3"/>
    </row>
    <row r="23" spans="1:36" ht="19.5" thickBot="1">
      <c r="A23" s="470" t="s">
        <v>170</v>
      </c>
      <c r="B23" s="471"/>
      <c r="C23" s="471"/>
      <c r="D23" s="471"/>
      <c r="E23" s="471"/>
      <c r="F23" s="471"/>
      <c r="G23" s="471"/>
      <c r="H23" s="471"/>
      <c r="I23" s="471"/>
      <c r="J23" s="471"/>
      <c r="K23" s="471"/>
      <c r="L23" s="472"/>
      <c r="M23" s="22"/>
      <c r="O23" s="3"/>
      <c r="R23" s="502" t="s">
        <v>100</v>
      </c>
      <c r="S23" s="503"/>
      <c r="T23" s="181">
        <f>AA17+AA18</f>
        <v>104.73100000000002</v>
      </c>
      <c r="U23" s="463" t="s">
        <v>98</v>
      </c>
      <c r="Y23" s="162" t="s">
        <v>313</v>
      </c>
      <c r="Z23" s="260" t="s">
        <v>98</v>
      </c>
      <c r="AA23" s="230">
        <f>L19</f>
        <v>94.526627218934891</v>
      </c>
      <c r="AB23" s="262" t="s">
        <v>98</v>
      </c>
      <c r="AC23" s="142">
        <f>IF(Dimensions!C41=1,0,L27)</f>
        <v>26.627218934911237</v>
      </c>
      <c r="AD23" s="3"/>
    </row>
    <row r="24" spans="1:36" s="3" customFormat="1" ht="30.75" thickBot="1">
      <c r="A24" s="266"/>
      <c r="B24" s="28" t="s">
        <v>237</v>
      </c>
      <c r="C24" s="28" t="s">
        <v>238</v>
      </c>
      <c r="D24" s="28" t="s">
        <v>239</v>
      </c>
      <c r="E24" s="28" t="s">
        <v>240</v>
      </c>
      <c r="F24" s="28" t="s">
        <v>241</v>
      </c>
      <c r="G24" s="28" t="s">
        <v>242</v>
      </c>
      <c r="H24" s="28" t="s">
        <v>243</v>
      </c>
      <c r="I24" s="28" t="s">
        <v>244</v>
      </c>
      <c r="J24" s="28" t="s">
        <v>245</v>
      </c>
      <c r="K24" s="29" t="s">
        <v>246</v>
      </c>
      <c r="L24" s="30" t="s">
        <v>64</v>
      </c>
      <c r="M24" s="22"/>
      <c r="R24" s="495" t="s">
        <v>101</v>
      </c>
      <c r="S24" s="496"/>
      <c r="T24" s="24">
        <f>AA19+AA20+AA21</f>
        <v>250.41223583999997</v>
      </c>
      <c r="U24" s="464"/>
      <c r="AB24"/>
    </row>
    <row r="25" spans="1:36" ht="45.75" thickBot="1">
      <c r="A25" s="31" t="s">
        <v>51</v>
      </c>
      <c r="B25" s="191">
        <f>IF(Arm2Design!D7&lt;&gt;1,Arm2Design!D10*Arm2Design!D6*$H$1/1000,0)</f>
        <v>0</v>
      </c>
      <c r="C25" s="191">
        <f>IF(Arm2Design!E7&lt;&gt;1,Arm2Design!E10*Arm2Design!E6*$H$1/1000,0)</f>
        <v>0</v>
      </c>
      <c r="D25" s="191">
        <f>IF(Arm2Design!F7&lt;&gt;1,Arm2Design!F10*Arm2Design!F6*$H$1/1000,0)</f>
        <v>0</v>
      </c>
      <c r="E25" s="191">
        <f>IF(Arm2Design!G7&lt;&gt;1,Arm2Design!G10*Arm2Design!G6*$H$1/1000,0)</f>
        <v>0</v>
      </c>
      <c r="F25" s="191">
        <f>IF(Arm2Design!H7&lt;&gt;1,Arm2Design!H10*Arm2Design!H6*$H$1/1000,0)</f>
        <v>0</v>
      </c>
      <c r="G25" s="191">
        <f>IF(Arm2Design!I7&lt;&gt;1,Arm2Design!I10*Arm2Design!I6*$H$1/1000,0)</f>
        <v>0</v>
      </c>
      <c r="H25" s="192">
        <f>IF(Arm2Design!J7&lt;&gt;1,Arm2Design!J10*Arm2Design!J6*$H$1/1000,0)</f>
        <v>24.815082239999995</v>
      </c>
      <c r="I25" s="192">
        <f>IF(Arm2Design!K7&lt;&gt;1,Arm2Design!K10*Arm2Design!K6*$H$1/1000,0)</f>
        <v>18.284797439999998</v>
      </c>
      <c r="J25" s="192">
        <f>IF(Arm2Design!L7&lt;&gt;1,Arm2Design!L10*Arm2Design!L6*$H$1/1000,0)</f>
        <v>12.407541119999998</v>
      </c>
      <c r="K25" s="193">
        <f>IF(Arm2Design!M7&lt;&gt;1,Arm2Design!M10*Arm2Design!M6*$H$1/1000,0)</f>
        <v>13.395455999999998</v>
      </c>
      <c r="L25" s="35">
        <f>SUM(B25:K25)</f>
        <v>68.902876799999987</v>
      </c>
      <c r="M25" s="22"/>
      <c r="N25" s="3"/>
      <c r="O25" s="3"/>
      <c r="R25" s="495" t="s">
        <v>102</v>
      </c>
      <c r="S25" s="496"/>
      <c r="T25" s="24">
        <f>(T23^2+T24^2)^0.5</f>
        <v>271.43115189562855</v>
      </c>
      <c r="U25" s="141">
        <f>IF(Dimensions!C41=1,0,U28*MAX(T25,((AC17+AD18)^2+(AC19+AC20+AD21)^2)^0.5))</f>
        <v>298.57426708519142</v>
      </c>
      <c r="Y25" s="529" t="s">
        <v>150</v>
      </c>
      <c r="Z25" s="530"/>
      <c r="AA25" s="530"/>
      <c r="AB25" s="531"/>
    </row>
    <row r="26" spans="1:36" ht="45.75" thickBot="1">
      <c r="A26" s="32" t="s">
        <v>69</v>
      </c>
      <c r="B26" s="189">
        <f>1.1*Arm2Design!D6/1000*IF(Arm2Design!D7=2,Dimensions!$J$4,IF(Arm2Design!D7=3,Dimensions!$J$11,IF(Arm2Design!D7=4,Dimensions!$J$18,IF(Arm2Design!D7=5,Dimensions!T4,0))))</f>
        <v>0</v>
      </c>
      <c r="C26" s="189">
        <f>1.1*Arm2Design!E6/1000*IF(Arm2Design!E7=2,Dimensions!$J$4,IF(Arm2Design!E7=3,Dimensions!$J$11,IF(Arm2Design!E7=4,Dimensions!$J$18,IF(Arm2Design!E7=5,Dimensions!T11,0))))</f>
        <v>0</v>
      </c>
      <c r="D26" s="189">
        <f>1.1*Arm2Design!F6/1000*IF(Arm2Design!F7=2,Dimensions!$J$4,IF(Arm2Design!F7=3,Dimensions!$J$11,IF(Arm2Design!F7=4,Dimensions!$J$18,IF(Arm2Design!F7=5,Dimensions!T18,0))))</f>
        <v>0</v>
      </c>
      <c r="E26" s="189">
        <f>1.1*Arm2Design!G6/1000*IF(Arm2Design!G7=2,Dimensions!$J$4,IF(Arm2Design!G7=3,Dimensions!$J$11,IF(Arm2Design!G7=4,Dimensions!$J$18,IF(Arm2Design!G7=5,Dimensions!T25,0))))</f>
        <v>0</v>
      </c>
      <c r="F26" s="189">
        <f>1.1*Arm2Design!H6/1000*IF(Arm2Design!H7=2,Dimensions!$J$4,IF(Arm2Design!H7=3,Dimensions!$J$11,IF(Arm2Design!H7=4,Dimensions!$J$18,IF(Arm2Design!H7=5,Dimensions!T32,0))))</f>
        <v>0</v>
      </c>
      <c r="G26" s="189">
        <f>1.1*Arm2Design!I6/1000*IF(Arm2Design!I7=2,Dimensions!$J$4,IF(Arm2Design!I7=3,Dimensions!$J$11,IF(Arm2Design!I7=4,Dimensions!$J$18,IF(Arm2Design!I7=5,Dimensions!T39,0))))</f>
        <v>0</v>
      </c>
      <c r="H26" s="190">
        <f>1.1*Arm2Design!J6/1000*IF(Arm2Design!J7=2,Dimensions!$J$4,IF(Arm2Design!J7=3,Dimensions!$J$11,IF(Arm2Design!J7=4,Dimensions!$J$18,IF(Arm2Design!J7=5,Dimensions!T46,0))))</f>
        <v>2.0900000000000003</v>
      </c>
      <c r="I26" s="190">
        <f>1.1*Arm2Design!K6/1000*IF(Arm2Design!K7=2,Dimensions!$J$4,IF(Arm2Design!K7=3,Dimensions!$J$11,IF(Arm2Design!K7=4,Dimensions!$J$18,IF(Arm2Design!K7=5,Dimensions!T53,0))))</f>
        <v>1.5400000000000003</v>
      </c>
      <c r="J26" s="190">
        <f>1.1*Arm2Design!L6/1000*IF(Arm2Design!L7=2,Dimensions!$J$4,IF(Arm2Design!L7=3,Dimensions!$J$11,IF(Arm2Design!L7=4,Dimensions!$J$18,IF(Arm2Design!L7=5,Dimensions!T60,0))))</f>
        <v>1.0450000000000002</v>
      </c>
      <c r="K26" s="194">
        <f>1.1*Arm2Design!M6/1000*IF(Arm2Design!M7=2,Dimensions!$J$4,IF(Arm2Design!M7=3,Dimensions!$J$11,IF(Arm2Design!M7=4,Dimensions!$J$18,IF(Arm2Design!M7=5,Dimensions!T67,0))))</f>
        <v>0.87999999999999989</v>
      </c>
      <c r="L26" s="35">
        <f>SUM(B26:K26)</f>
        <v>5.5550000000000006</v>
      </c>
      <c r="M26" s="22"/>
      <c r="P26" s="3"/>
      <c r="R26" s="495" t="s">
        <v>99</v>
      </c>
      <c r="S26" s="496"/>
      <c r="T26" s="24">
        <f>AA22+AA23</f>
        <v>231.41144321893486</v>
      </c>
      <c r="U26" s="141">
        <f>IF(Dimensions!C41=1,0,U28*MAX(T26,AC22+AC23))</f>
        <v>254.55258754082837</v>
      </c>
      <c r="Y26" s="265" t="s">
        <v>164</v>
      </c>
      <c r="Z26" s="25">
        <f>Dimensions!D40</f>
        <v>70</v>
      </c>
      <c r="AA26" s="265" t="s">
        <v>165</v>
      </c>
      <c r="AB26" s="25">
        <f>Dimensions!D41</f>
        <v>40</v>
      </c>
    </row>
    <row r="27" spans="1:36" ht="45.75" thickBot="1">
      <c r="A27" s="257" t="s">
        <v>173</v>
      </c>
      <c r="B27" s="490"/>
      <c r="C27" s="490"/>
      <c r="D27" s="490"/>
      <c r="E27" s="490"/>
      <c r="F27" s="490"/>
      <c r="G27" s="490"/>
      <c r="H27" s="490"/>
      <c r="I27" s="490"/>
      <c r="J27" s="490"/>
      <c r="K27" s="491"/>
      <c r="L27" s="35">
        <f>IF(Dimensions!C41=1,0,VLOOKUP(Dimensions!D41,A6:O11,7)*IF(Dimensions!C42=1,1,IF(Dimensions!C42=2,(150/130)^2,(170/130)^2)))</f>
        <v>26.627218934911237</v>
      </c>
      <c r="M27" s="35">
        <f>IF(Dimensions!C41=1,0,VLOOKUP(Dimensions!D41,A6:O11,14)*IF(Dimensions!C42=1,1,IF(Dimensions!C42=2,(150/130)^2,(170/130)^2)))</f>
        <v>29.289940828402361</v>
      </c>
      <c r="P27" s="3"/>
      <c r="R27" s="493" t="s">
        <v>97</v>
      </c>
      <c r="S27" s="494"/>
      <c r="T27" s="155">
        <f>Z19+Z20+Z21</f>
        <v>11.622883679999997</v>
      </c>
      <c r="U27" s="330">
        <f>IF(Dimensions!C41=1,0,U28*MAX(T27,AB19+AB20+AB21))</f>
        <v>12.785172047999998</v>
      </c>
      <c r="Y27" s="3"/>
      <c r="Z27" s="238" t="s">
        <v>150</v>
      </c>
      <c r="AA27" s="268" t="str">
        <f>IF(((Dimensions!D40=30)*(Dimensions!D41=30)),"P2",IF(((Dimensions!D40=60)*(Dimensions!D41=60)),"P5",IF(((Dimensions!D40&gt;70)*(Dimensions!D41&gt;60)),"P7",IF(((Dimensions!D40&gt;60)*(Dimensions!D41&gt;50)),"P6","P"&amp;ROUNDUP(Z26/10-2,0)))))</f>
        <v>P5</v>
      </c>
      <c r="AB27" s="3"/>
    </row>
    <row r="28" spans="1:36" ht="45.75" thickBot="1">
      <c r="A28" s="258" t="s">
        <v>174</v>
      </c>
      <c r="B28" s="451"/>
      <c r="C28" s="451"/>
      <c r="D28" s="451"/>
      <c r="E28" s="451"/>
      <c r="F28" s="451"/>
      <c r="G28" s="451"/>
      <c r="H28" s="451"/>
      <c r="I28" s="451"/>
      <c r="J28" s="451"/>
      <c r="K28" s="452"/>
      <c r="L28" s="35">
        <f>IF(Dimensions!C41=1,0,1.1*VLOOKUP(Dimensions!D41,A6:O11,6))</f>
        <v>22</v>
      </c>
      <c r="M28" s="35">
        <f>IF(Dimensions!C41=1,0,1.1*VLOOKUP(Dimensions!D41,A6:O11,13))</f>
        <v>24.200000000000003</v>
      </c>
      <c r="N28" s="3"/>
      <c r="O28" s="3"/>
      <c r="S28" s="3"/>
      <c r="T28" s="333" t="s">
        <v>96</v>
      </c>
      <c r="U28" s="331">
        <f>IF(Dimensions!D40-Dimensions!D41&lt;7,1.4,IF(Dimensions!D40-Dimensions!D41&lt;17,1.3,IF(Dimensions!D40-Dimensions!D41&lt;27,1.2,IF(Dimensions!D40-Dimensions!D41&lt;37,1.1,1.1))))</f>
        <v>1.1000000000000001</v>
      </c>
      <c r="V28" s="332" t="s">
        <v>296</v>
      </c>
    </row>
    <row r="29" spans="1:36" s="3" customFormat="1" ht="15.75" thickBot="1">
      <c r="B29" s="19"/>
      <c r="C29" s="19"/>
      <c r="D29" s="19"/>
      <c r="E29" s="19"/>
      <c r="F29" s="19"/>
      <c r="G29" s="19"/>
      <c r="H29" s="188"/>
      <c r="I29" s="188"/>
      <c r="J29" s="188"/>
      <c r="K29" s="188"/>
      <c r="L29" s="35">
        <f>IF(Dimensions!C41=1,0,((L25+L27)^2+(L26+L28)^2)^0.5)</f>
        <v>99.424731410858257</v>
      </c>
      <c r="M29" s="35">
        <f>IF(Dimensions!C41=1,0,((L25+M27)^2+(L26+M28)^2)^0.5+0.5)</f>
        <v>103.10209285781983</v>
      </c>
    </row>
    <row r="30" spans="1:36" s="3" customFormat="1" ht="15.75" thickBot="1">
      <c r="B30" s="19"/>
      <c r="C30" s="19"/>
      <c r="F30" s="19"/>
      <c r="H30" s="87"/>
      <c r="I30" s="188"/>
      <c r="J30" s="188"/>
      <c r="K30" s="188"/>
      <c r="L30" s="22"/>
      <c r="M30" s="22"/>
    </row>
    <row r="31" spans="1:36" s="3" customFormat="1" ht="15.75" thickBot="1">
      <c r="A31" s="453" t="s">
        <v>198</v>
      </c>
      <c r="B31" s="454"/>
      <c r="C31" s="448" t="str">
        <f>IF(C47&lt;1,"Use Regular Arm",IF(C48&lt;1,"Use Heavy Duty Arm","Loads &gt; Standard Arms"))</f>
        <v>Use Regular Arm</v>
      </c>
      <c r="D31" s="449"/>
      <c r="E31" s="450"/>
      <c r="F31" s="19"/>
      <c r="G31" s="19"/>
      <c r="H31" s="19"/>
      <c r="I31" s="188"/>
      <c r="J31" s="188"/>
      <c r="K31" s="188"/>
      <c r="L31" s="22"/>
      <c r="M31" s="22"/>
    </row>
    <row r="32" spans="1:36">
      <c r="A32" s="455" t="s">
        <v>121</v>
      </c>
      <c r="B32" s="456"/>
      <c r="C32" s="456"/>
      <c r="D32" s="457" t="s">
        <v>87</v>
      </c>
      <c r="E32" s="458"/>
      <c r="F32" s="459"/>
      <c r="G32" s="460" t="s">
        <v>88</v>
      </c>
      <c r="H32" s="461"/>
      <c r="I32" s="188"/>
      <c r="J32" s="188"/>
      <c r="K32" s="188"/>
      <c r="L32" s="22"/>
      <c r="M32" s="22"/>
      <c r="N32" s="3"/>
      <c r="O32" s="3"/>
      <c r="P32" s="3"/>
      <c r="Q32" s="3"/>
    </row>
    <row r="33" spans="1:27">
      <c r="A33" s="177" t="str">
        <f>"A"&amp;Arm1Design!D24</f>
        <v>A70</v>
      </c>
      <c r="B33" s="176" t="str">
        <f>"/S"</f>
        <v>/S</v>
      </c>
      <c r="C33" s="176" t="str">
        <f>IF(C31="Use Heavy Duty Arm","/H","")</f>
        <v/>
      </c>
      <c r="D33" s="176" t="str">
        <f>AA27</f>
        <v>P5</v>
      </c>
      <c r="E33" s="176" t="str">
        <f>B33</f>
        <v>/S</v>
      </c>
      <c r="F33" s="176" t="str">
        <f>IF(Dimensions!C44=2,"/L","")</f>
        <v>/L</v>
      </c>
      <c r="G33" s="176" t="s">
        <v>89</v>
      </c>
      <c r="H33" s="178"/>
      <c r="J33" s="3"/>
      <c r="K33" s="3"/>
      <c r="N33" s="3"/>
      <c r="O33" s="3"/>
      <c r="P33" s="3"/>
      <c r="Q33" s="3"/>
      <c r="Y33" s="3"/>
      <c r="Z33" s="3"/>
      <c r="AA33" s="3"/>
    </row>
    <row r="34" spans="1:27" ht="15.75" thickBot="1">
      <c r="A34" s="504" t="str">
        <f>IF(C31="Loads &gt; Standard Arms","Std. Arm Capacity too small",A33&amp;B33&amp;C33&amp;"-")</f>
        <v>A70/S-</v>
      </c>
      <c r="B34" s="505"/>
      <c r="C34" s="506"/>
      <c r="D34" s="198" t="str">
        <f>IF(C31="Loads &gt; Standard Arms","No Standard Solution",D33&amp;E33&amp;F33&amp;"-")</f>
        <v>P5/S/L-</v>
      </c>
      <c r="E34" s="198"/>
      <c r="F34" s="198"/>
      <c r="G34" s="199" t="str">
        <f>IF(V19="Custom Shaft",V19,VLOOKUP(V19,Q6:R13,2))</f>
        <v>DS/14/5</v>
      </c>
      <c r="H34" s="200"/>
      <c r="J34" s="3"/>
      <c r="K34" s="3"/>
      <c r="N34" s="3"/>
      <c r="O34" s="3"/>
      <c r="P34" s="3"/>
      <c r="Q34" s="3"/>
      <c r="Y34" s="3"/>
      <c r="Z34" s="3"/>
      <c r="AA34" s="3"/>
    </row>
    <row r="35" spans="1:27" ht="15.75" thickBot="1">
      <c r="A35" s="441" t="str">
        <f>IF(C31="Loads &gt; Standard Arms","Std. Arm Capacity too small",A34&amp;D34&amp;G34)</f>
        <v>A70/S-P5/S/L-DS/14/5</v>
      </c>
      <c r="B35" s="442"/>
      <c r="C35" s="442"/>
      <c r="D35" s="442"/>
      <c r="E35" s="443"/>
      <c r="F35" s="221"/>
      <c r="G35" s="222"/>
      <c r="H35" s="223"/>
      <c r="I35" s="87"/>
      <c r="J35" s="87"/>
      <c r="K35" s="87"/>
      <c r="L35" s="22"/>
      <c r="M35" s="74"/>
      <c r="N35" s="3"/>
      <c r="O35" s="3"/>
      <c r="P35" s="3"/>
      <c r="U35" s="3"/>
      <c r="W35"/>
      <c r="X35" s="3"/>
      <c r="Y35" s="3"/>
      <c r="Z35" s="3"/>
    </row>
    <row r="36" spans="1:27" ht="15.75" thickBo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N36" s="3"/>
      <c r="O36" s="3"/>
      <c r="P36" s="3"/>
      <c r="U36" s="3"/>
      <c r="W36"/>
      <c r="X36" s="3"/>
      <c r="Y36" s="3"/>
      <c r="Z36" s="3"/>
    </row>
    <row r="37" spans="1:27" s="3" customFormat="1" ht="15.75" thickBot="1">
      <c r="A37" s="453" t="s">
        <v>199</v>
      </c>
      <c r="B37" s="454"/>
      <c r="C37" s="542" t="str">
        <f>IF(E47&lt;1,"Use Regular Arm",IF(E48&lt;1,"Use Heavy Duty Arm","Loads &gt; Standard Arms"))</f>
        <v>Use Regular Arm</v>
      </c>
      <c r="D37" s="543"/>
      <c r="E37" s="544"/>
      <c r="F37" s="19"/>
      <c r="G37" s="19"/>
      <c r="H37" s="19"/>
      <c r="I37" s="19"/>
      <c r="J37" s="19"/>
      <c r="K37"/>
    </row>
    <row r="38" spans="1:27" ht="15.75" thickBot="1">
      <c r="A38" s="535" t="s">
        <v>121</v>
      </c>
      <c r="B38" s="536"/>
      <c r="C38" s="536"/>
      <c r="D38" s="537" t="s">
        <v>87</v>
      </c>
      <c r="E38" s="538"/>
      <c r="F38" s="539"/>
      <c r="G38" s="540" t="s">
        <v>88</v>
      </c>
      <c r="H38" s="541"/>
      <c r="I38" s="19"/>
      <c r="J38" s="19"/>
      <c r="N38" s="3"/>
      <c r="O38" s="3"/>
      <c r="P38" s="3"/>
      <c r="Q38" s="3"/>
      <c r="Y38" s="3"/>
      <c r="Z38" s="3"/>
      <c r="AA38" s="3"/>
    </row>
    <row r="39" spans="1:27">
      <c r="A39" s="208" t="str">
        <f>IF(Dimensions!C41=1,"","A"&amp;Arm2Design!D23)</f>
        <v>A40</v>
      </c>
      <c r="B39" s="209" t="str">
        <f>IF(Dimensions!C41=1,"","/D")</f>
        <v>/D</v>
      </c>
      <c r="C39" s="209" t="str">
        <f>IF(C37="Use Heavy Duty Arm","/H","")</f>
        <v/>
      </c>
      <c r="D39" s="233" t="str">
        <f>IF(Dimensions!C41=1,"",AA27)</f>
        <v>P5</v>
      </c>
      <c r="E39" s="224" t="str">
        <f>B39</f>
        <v>/D</v>
      </c>
      <c r="F39" s="224" t="str">
        <f>IF(Dimensions!C41=1,"",IF(Dimensions!C44=2,"/L",""))</f>
        <v>/L</v>
      </c>
      <c r="G39" s="225" t="str">
        <f>G33</f>
        <v>DS</v>
      </c>
      <c r="H39" s="234"/>
      <c r="I39" s="19"/>
      <c r="J39" s="19"/>
      <c r="K39" s="19"/>
      <c r="N39" s="3"/>
      <c r="O39" s="3"/>
      <c r="P39" s="3"/>
      <c r="Q39" s="3"/>
      <c r="Y39" s="3"/>
      <c r="Z39" s="3"/>
      <c r="AA39" s="3"/>
    </row>
    <row r="40" spans="1:27" ht="15.75" thickBot="1">
      <c r="A40" s="504" t="str">
        <f>IF(C37="Loads &gt; Standard Arms","Std. Arm Capacity too small",A39&amp;B39&amp;C39&amp;"-")</f>
        <v>A40/D-</v>
      </c>
      <c r="B40" s="505"/>
      <c r="C40" s="506"/>
      <c r="D40" s="198" t="str">
        <f>IF(C37="Loads &gt; Standard Arms","No Standard Solution",D39&amp;E39&amp;F39&amp;"-")</f>
        <v>P5/D/L-</v>
      </c>
      <c r="E40" s="206"/>
      <c r="F40" s="206"/>
      <c r="G40" s="199" t="str">
        <f>IF(Dimensions!C41=1,"",IF(W19="Custom Shaft",W19,VLOOKUP(W19,Q6:R13,2)))</f>
        <v>DS/14/5</v>
      </c>
      <c r="H40" s="207"/>
      <c r="I40" s="19"/>
      <c r="J40" s="19"/>
      <c r="K40" s="19"/>
      <c r="R40" s="3"/>
      <c r="S40" s="3"/>
      <c r="T40" s="3"/>
      <c r="U40" s="3"/>
      <c r="X40" s="3"/>
      <c r="Y40" s="3"/>
      <c r="Z40" s="3"/>
      <c r="AA40" s="3"/>
    </row>
    <row r="41" spans="1:27" ht="15.75" thickBot="1">
      <c r="A41" s="441" t="str">
        <f>IF(Dimensions!C41=1,"",IF(Dimensions!D41&gt;Dimensions!D40,"Arm2 Length &gt; Arm 1 Length",IF(OR(C37="Loads &gt; Standard Arms",C31="Loads &gt; Standard Arms"),"Std. Arm Capacity too small",A33&amp;"/D"&amp;C33&amp;"-"&amp;A40&amp;D40&amp;G40)))</f>
        <v>A70/D-A40/D-P5/D/L-DS/14/5</v>
      </c>
      <c r="B41" s="442"/>
      <c r="C41" s="442"/>
      <c r="D41" s="442"/>
      <c r="E41" s="443"/>
      <c r="F41" s="204"/>
      <c r="G41" s="205"/>
      <c r="H41" s="205"/>
      <c r="I41" s="19"/>
      <c r="J41" s="19"/>
      <c r="K41" s="19"/>
      <c r="R41" s="3"/>
      <c r="S41" s="3"/>
      <c r="T41" s="3"/>
      <c r="U41" s="3"/>
      <c r="X41" s="3"/>
      <c r="Y41" s="3"/>
      <c r="Z41" s="3"/>
      <c r="AA41" s="3"/>
    </row>
    <row r="42" spans="1:27" s="3" customFormat="1" ht="15.75" thickBot="1">
      <c r="A42" s="267"/>
      <c r="B42" s="267"/>
      <c r="C42" s="267"/>
      <c r="D42" s="267"/>
      <c r="E42" s="267"/>
      <c r="F42" s="204"/>
      <c r="G42" s="205"/>
      <c r="H42" s="205"/>
      <c r="I42" s="19"/>
      <c r="J42" s="19"/>
      <c r="K42" s="19"/>
    </row>
    <row r="43" spans="1:27" ht="15.75" customHeight="1" thickBot="1">
      <c r="A43" s="482" t="s">
        <v>197</v>
      </c>
      <c r="B43" s="483"/>
      <c r="C43" s="532" t="str">
        <f>IF(Dimensions!C41&gt;1,A41,A35)</f>
        <v>A70/D-A40/D-P5/D/L-DS/14/5</v>
      </c>
      <c r="D43" s="533"/>
      <c r="E43" s="533"/>
      <c r="F43" s="534"/>
      <c r="J43" s="19"/>
      <c r="K43" s="19"/>
      <c r="Y43" s="3"/>
      <c r="Z43" s="3"/>
      <c r="AA43" s="3"/>
    </row>
    <row r="44" spans="1:27" ht="15.75" thickBot="1">
      <c r="A44" s="513"/>
      <c r="B44" s="514"/>
      <c r="C44" s="438" t="str">
        <f>"Arm 1"</f>
        <v>Arm 1</v>
      </c>
      <c r="D44" s="440"/>
      <c r="E44" s="439" t="str">
        <f>"Arm 2"</f>
        <v>Arm 2</v>
      </c>
      <c r="F44" s="440"/>
      <c r="J44" s="19"/>
      <c r="K44" s="3"/>
      <c r="Y44" s="3"/>
      <c r="Z44" s="3"/>
      <c r="AA44" s="3"/>
    </row>
    <row r="45" spans="1:27" s="3" customFormat="1" ht="15.75" thickBot="1">
      <c r="A45" s="511" t="s">
        <v>200</v>
      </c>
      <c r="B45" s="512"/>
      <c r="C45" s="515">
        <f>Dimensions!D40</f>
        <v>70</v>
      </c>
      <c r="D45" s="516"/>
      <c r="E45" s="515">
        <f>Dimensions!D41</f>
        <v>40</v>
      </c>
      <c r="F45" s="517"/>
      <c r="I45" s="19"/>
    </row>
    <row r="46" spans="1:27" ht="15.75" thickBot="1">
      <c r="A46" s="507" t="s">
        <v>152</v>
      </c>
      <c r="B46" s="508"/>
      <c r="C46" s="518">
        <v>0.98</v>
      </c>
      <c r="D46" s="519"/>
      <c r="E46" s="519"/>
      <c r="F46" s="520"/>
      <c r="I46" s="19"/>
      <c r="J46" s="3"/>
      <c r="K46" s="3"/>
      <c r="M46"/>
      <c r="U46" s="3"/>
      <c r="W46"/>
    </row>
    <row r="47" spans="1:27">
      <c r="A47" s="507" t="s">
        <v>94</v>
      </c>
      <c r="B47" s="508"/>
      <c r="C47" s="527">
        <f>L21/(C46*VLOOKUP(Dimensions!D40,A6:O11,8))</f>
        <v>0.68208258813114719</v>
      </c>
      <c r="D47" s="528"/>
      <c r="E47" s="521">
        <f>IF(Dimensions!C41=1,0,L29/(C46*VLOOKUP(Dimensions!D41,A6:O11,8)))</f>
        <v>0.69968143146276041</v>
      </c>
      <c r="F47" s="522"/>
      <c r="I47" s="19"/>
      <c r="J47" s="19"/>
      <c r="K47" s="3"/>
      <c r="M47"/>
      <c r="U47" s="3"/>
      <c r="W47"/>
    </row>
    <row r="48" spans="1:27" s="3" customFormat="1" ht="15.75" thickBot="1">
      <c r="A48" s="509" t="s">
        <v>95</v>
      </c>
      <c r="B48" s="510"/>
      <c r="C48" s="525">
        <f>M21/(C46*VLOOKUP(Dimensions!D40,A6:O11,15))</f>
        <v>0.65007536022602108</v>
      </c>
      <c r="D48" s="526"/>
      <c r="E48" s="523">
        <f>IF(Dimensions!C41=1,0,M29/(C46*VLOOKUP(Dimensions!D41,A6:O11,15)))</f>
        <v>0.63377239278227082</v>
      </c>
      <c r="F48" s="524"/>
      <c r="I48" s="19"/>
      <c r="J48" s="19"/>
    </row>
    <row r="49" spans="1:25">
      <c r="B49" s="19"/>
      <c r="C49" s="19"/>
      <c r="D49" s="19"/>
      <c r="E49" s="19"/>
      <c r="F49" s="19"/>
      <c r="G49" s="19"/>
      <c r="H49" s="19"/>
      <c r="I49" s="19"/>
      <c r="J49" s="19"/>
      <c r="L49"/>
    </row>
    <row r="50" spans="1:25">
      <c r="A50" s="139" t="s">
        <v>231</v>
      </c>
      <c r="B50" s="3"/>
      <c r="C50" s="3"/>
      <c r="F50" s="3"/>
      <c r="I50"/>
      <c r="K50" s="3"/>
      <c r="L50"/>
      <c r="M50"/>
      <c r="T50" s="3"/>
      <c r="U50" s="3"/>
      <c r="V50"/>
      <c r="W50"/>
    </row>
    <row r="51" spans="1:25" s="3" customFormat="1"/>
    <row r="52" spans="1:25" s="3" customFormat="1"/>
    <row r="53" spans="1:25">
      <c r="A53" s="140"/>
      <c r="B53" s="140"/>
      <c r="I53" s="19"/>
      <c r="J53" s="19"/>
      <c r="K53" s="3"/>
    </row>
    <row r="54" spans="1:25">
      <c r="J54" s="19"/>
      <c r="K54" s="19"/>
      <c r="L54" s="19"/>
      <c r="M54" s="19"/>
      <c r="V54"/>
      <c r="W54"/>
      <c r="X54" s="3"/>
      <c r="Y54" s="3"/>
    </row>
    <row r="55" spans="1:25">
      <c r="J55" s="19"/>
      <c r="K55" s="3"/>
      <c r="V55"/>
      <c r="W55"/>
      <c r="X55" s="3"/>
      <c r="Y55" s="3"/>
    </row>
    <row r="56" spans="1:25">
      <c r="J56" s="19"/>
      <c r="K56" s="3"/>
      <c r="L56"/>
      <c r="N56" s="3"/>
      <c r="O56" s="3"/>
      <c r="V56"/>
      <c r="W56"/>
      <c r="X56" s="3"/>
      <c r="Y56" s="3"/>
    </row>
    <row r="57" spans="1:25">
      <c r="K57" s="3"/>
    </row>
  </sheetData>
  <sheetProtection sheet="1" objects="1" scenarios="1"/>
  <mergeCells count="65">
    <mergeCell ref="Q3:AF3"/>
    <mergeCell ref="Y25:AB25"/>
    <mergeCell ref="C43:F43"/>
    <mergeCell ref="C44:D44"/>
    <mergeCell ref="E44:F44"/>
    <mergeCell ref="A40:C40"/>
    <mergeCell ref="A38:C38"/>
    <mergeCell ref="D38:F38"/>
    <mergeCell ref="G38:H38"/>
    <mergeCell ref="C37:E37"/>
    <mergeCell ref="R26:S26"/>
    <mergeCell ref="R21:U21"/>
    <mergeCell ref="R22:S22"/>
    <mergeCell ref="A3:O3"/>
    <mergeCell ref="A4:A5"/>
    <mergeCell ref="B4:H4"/>
    <mergeCell ref="C45:D45"/>
    <mergeCell ref="E45:F45"/>
    <mergeCell ref="C46:F46"/>
    <mergeCell ref="E47:F47"/>
    <mergeCell ref="E48:F48"/>
    <mergeCell ref="C48:D48"/>
    <mergeCell ref="C47:D47"/>
    <mergeCell ref="A46:B46"/>
    <mergeCell ref="A47:B47"/>
    <mergeCell ref="A48:B48"/>
    <mergeCell ref="A45:B45"/>
    <mergeCell ref="A44:B44"/>
    <mergeCell ref="A43:B43"/>
    <mergeCell ref="Q15:W15"/>
    <mergeCell ref="Q16:U16"/>
    <mergeCell ref="Q17:U17"/>
    <mergeCell ref="A23:L23"/>
    <mergeCell ref="B27:K27"/>
    <mergeCell ref="H21:K21"/>
    <mergeCell ref="A37:B37"/>
    <mergeCell ref="A41:E41"/>
    <mergeCell ref="R27:S27"/>
    <mergeCell ref="R25:S25"/>
    <mergeCell ref="Q18:U18"/>
    <mergeCell ref="Q19:U19"/>
    <mergeCell ref="R23:S23"/>
    <mergeCell ref="R24:S24"/>
    <mergeCell ref="A34:C34"/>
    <mergeCell ref="I4:O4"/>
    <mergeCell ref="O15:O16"/>
    <mergeCell ref="A15:L15"/>
    <mergeCell ref="AC6:AC13"/>
    <mergeCell ref="X6:X13"/>
    <mergeCell ref="Q4:V4"/>
    <mergeCell ref="W4:AA4"/>
    <mergeCell ref="AB4:AF4"/>
    <mergeCell ref="AD19:AE19"/>
    <mergeCell ref="Y15:AC15"/>
    <mergeCell ref="A35:E35"/>
    <mergeCell ref="B19:K19"/>
    <mergeCell ref="B20:K20"/>
    <mergeCell ref="C31:E31"/>
    <mergeCell ref="B28:K28"/>
    <mergeCell ref="A31:B31"/>
    <mergeCell ref="A32:C32"/>
    <mergeCell ref="D32:F32"/>
    <mergeCell ref="G32:H32"/>
    <mergeCell ref="N15:N17"/>
    <mergeCell ref="U23:U24"/>
  </mergeCells>
  <pageMargins left="0.7" right="0.7" top="0.75" bottom="0.75" header="0.3" footer="0.3"/>
  <pageSetup paperSize="3" scale="62" orientation="landscape" r:id="rId1"/>
  <ignoredErrors>
    <ignoredError sqref="V1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156091838F4479CE8F27A6E100A2D" ma:contentTypeVersion="0" ma:contentTypeDescription="Create a new document." ma:contentTypeScope="" ma:versionID="d01a7b8c8fbe646a915a7959a98f4e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FC120E-9A08-483F-BF38-587A5EE4A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205565-B1B7-40BC-8DE5-8BE9C7D7B0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F48C8E-1A1F-48FF-B605-4A08037E52D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Directions</vt:lpstr>
      <vt:lpstr>Arm1Design</vt:lpstr>
      <vt:lpstr>Arm2Design</vt:lpstr>
      <vt:lpstr>TabulationSheet</vt:lpstr>
      <vt:lpstr>Dimensions</vt:lpstr>
      <vt:lpstr>GraphValues</vt:lpstr>
      <vt:lpstr>CFI&amp;Designation</vt:lpstr>
      <vt:lpstr>Choices</vt:lpstr>
      <vt:lpstr>Arm1Design!Print_Area</vt:lpstr>
      <vt:lpstr>Arm2Design!Print_Area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Ashleigh</dc:creator>
  <cp:lastModifiedBy>st986ch</cp:lastModifiedBy>
  <cp:lastPrinted>2017-05-17T14:18:46Z</cp:lastPrinted>
  <dcterms:created xsi:type="dcterms:W3CDTF">2016-04-13T19:48:35Z</dcterms:created>
  <dcterms:modified xsi:type="dcterms:W3CDTF">2017-08-10T17:55:04Z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0x010100BDB156091838F4479CE8F27A6E100A2D</vt:lpwstr>
  </property>
</Properties>
</file>